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comments3.xml" ContentType="application/vnd.openxmlformats-officedocument.spreadsheetml.comments+xml"/>
  <Override PartName="/xl/threadedComments/threadedComment2.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03"/>
  <workbookPr defaultThemeVersion="166925"/>
  <mc:AlternateContent xmlns:mc="http://schemas.openxmlformats.org/markup-compatibility/2006">
    <mc:Choice Requires="x15">
      <x15ac:absPath xmlns:x15ac="http://schemas.microsoft.com/office/spreadsheetml/2010/11/ac" url="/Volumes/NO NAME/SASI AMBIENTAL 2026 V2 07.07.2026/31.07.2026 RTA OBSER. Y DOC AJUSTDOS FDLCB-SASI-003-2026/"/>
    </mc:Choice>
  </mc:AlternateContent>
  <xr:revisionPtr revIDLastSave="0" documentId="13_ncr:1_{941C0841-80B3-C54C-8477-F5758C79F53E}" xr6:coauthVersionLast="47" xr6:coauthVersionMax="47" xr10:uidLastSave="{00000000-0000-0000-0000-000000000000}"/>
  <bookViews>
    <workbookView xWindow="0" yWindow="760" windowWidth="34200" windowHeight="21380" firstSheet="1" activeTab="4" xr2:uid="{00000000-000D-0000-FFFF-FFFF00000000}"/>
  </bookViews>
  <sheets>
    <sheet name="LOTE 1_Pedagógico" sheetId="14" r:id="rId1"/>
    <sheet name="LOTE 2_Agroforestal" sheetId="11" r:id="rId2"/>
    <sheet name="LOTE 3_Ferretería" sheetId="19" r:id="rId3"/>
    <sheet name="LOTE 4_Agropecuario" sheetId="18" r:id="rId4"/>
    <sheet name="LOTE 5_Med_Vete" sheetId="17" r:id="rId5"/>
  </sheets>
  <definedNames>
    <definedName name="_xlnm._FilterDatabase" localSheetId="0" hidden="1">'LOTE 1_Pedagógico'!$A$4:$T$23</definedName>
    <definedName name="_xlnm._FilterDatabase" localSheetId="1" hidden="1">'LOTE 2_Agroforestal'!$A$5:$BP$153</definedName>
    <definedName name="_xlnm._FilterDatabase" localSheetId="2" hidden="1">'LOTE 3_Ferretería'!$A$4:$CZ$104</definedName>
    <definedName name="_xlnm._FilterDatabase" localSheetId="3" hidden="1">'LOTE 4_Agropecuario'!$A$5:$CZ$96</definedName>
    <definedName name="_xlnm._FilterDatabase" localSheetId="4" hidden="1">'LOTE 5_Med_Vete'!$A$4:$BR$205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F139" i="11" l="1"/>
  <c r="BD139" i="11"/>
  <c r="BG139" i="11" s="1"/>
  <c r="AV136" i="11"/>
  <c r="AT136" i="11"/>
  <c r="BG136" i="11" s="1"/>
  <c r="AQ135" i="11"/>
  <c r="AO135" i="11"/>
  <c r="BG135" i="11" s="1"/>
  <c r="Y64" i="11"/>
  <c r="Y63" i="11"/>
  <c r="W64" i="11"/>
  <c r="W61" i="11"/>
  <c r="W57" i="11"/>
  <c r="W55" i="11"/>
  <c r="W54" i="11"/>
  <c r="W53" i="11"/>
  <c r="W52" i="11"/>
  <c r="W51" i="11"/>
  <c r="U63" i="11"/>
  <c r="U60" i="11"/>
  <c r="U58" i="11"/>
  <c r="U57" i="11"/>
  <c r="I64" i="11"/>
  <c r="I62" i="11"/>
  <c r="I61" i="11"/>
  <c r="I60" i="11"/>
  <c r="I59" i="11"/>
  <c r="I58" i="11"/>
  <c r="I57" i="11"/>
  <c r="I56" i="11"/>
  <c r="I55" i="11"/>
  <c r="I54" i="11"/>
  <c r="I53" i="11"/>
  <c r="I52" i="11"/>
  <c r="I51" i="11"/>
  <c r="I50" i="11"/>
  <c r="I49" i="11"/>
  <c r="I48" i="11"/>
  <c r="I47" i="11"/>
  <c r="I46" i="11"/>
  <c r="I45" i="11"/>
  <c r="I44" i="11"/>
  <c r="I6" i="11"/>
  <c r="G64" i="11"/>
  <c r="G62" i="11"/>
  <c r="G61" i="11"/>
  <c r="G60" i="11"/>
  <c r="G59" i="11"/>
  <c r="G58" i="11"/>
  <c r="G57" i="11"/>
  <c r="G56" i="11"/>
  <c r="G55" i="11"/>
  <c r="G54" i="11"/>
  <c r="G53" i="11"/>
  <c r="G52" i="11"/>
  <c r="G51" i="11"/>
  <c r="G6" i="11"/>
  <c r="G50" i="11"/>
  <c r="G49" i="11"/>
  <c r="G48" i="11"/>
  <c r="G44" i="11"/>
  <c r="G47" i="11"/>
  <c r="G46" i="11"/>
  <c r="G45" i="11"/>
  <c r="CR37" i="18"/>
  <c r="CS37" i="18"/>
  <c r="CT37" i="18"/>
  <c r="CR53" i="18"/>
  <c r="CS53" i="18"/>
  <c r="CT53" i="18"/>
  <c r="CR54" i="18"/>
  <c r="CS54" i="18"/>
  <c r="CT54" i="18"/>
  <c r="CR55" i="18"/>
  <c r="CS55" i="18"/>
  <c r="CT55" i="18"/>
  <c r="CR56" i="18"/>
  <c r="CS56" i="18"/>
  <c r="CT56" i="18"/>
  <c r="CR70" i="18"/>
  <c r="CS70" i="18"/>
  <c r="CT70" i="18"/>
  <c r="CR71" i="18"/>
  <c r="CS71" i="18"/>
  <c r="CT71" i="18"/>
  <c r="CR72" i="18"/>
  <c r="CS72" i="18"/>
  <c r="CT72" i="18"/>
  <c r="CR73" i="18"/>
  <c r="CS73" i="18"/>
  <c r="CT73" i="18"/>
  <c r="CR74" i="18"/>
  <c r="CS74" i="18"/>
  <c r="CT74" i="18"/>
  <c r="CR75" i="18"/>
  <c r="CS75" i="18"/>
  <c r="CT75" i="18"/>
  <c r="CR76" i="18"/>
  <c r="CS76" i="18"/>
  <c r="CT76" i="18"/>
  <c r="CR77" i="18"/>
  <c r="CS77" i="18"/>
  <c r="CT77" i="18"/>
  <c r="CR78" i="18"/>
  <c r="CS78" i="18"/>
  <c r="CT78" i="18"/>
  <c r="CR79" i="18"/>
  <c r="CS79" i="18"/>
  <c r="CT79" i="18"/>
  <c r="CR80" i="18"/>
  <c r="CS80" i="18"/>
  <c r="CT80" i="18"/>
  <c r="CR82" i="18"/>
  <c r="CS82" i="18"/>
  <c r="CT82" i="18"/>
  <c r="CR83" i="18"/>
  <c r="CS83" i="18"/>
  <c r="CT83" i="18"/>
  <c r="CR84" i="18"/>
  <c r="CS84" i="18"/>
  <c r="CT84" i="18"/>
  <c r="CR85" i="18"/>
  <c r="CS85" i="18"/>
  <c r="CT85" i="18"/>
  <c r="CR86" i="18"/>
  <c r="CS86" i="18"/>
  <c r="CT86" i="18"/>
  <c r="CR87" i="18"/>
  <c r="CS87" i="18"/>
  <c r="CT87" i="18"/>
  <c r="CR88" i="18"/>
  <c r="CS88" i="18"/>
  <c r="CT88" i="18"/>
  <c r="CR89" i="18"/>
  <c r="CS89" i="18"/>
  <c r="CT89" i="18"/>
  <c r="CR90" i="18"/>
  <c r="CS90" i="18"/>
  <c r="CT90" i="18"/>
  <c r="CR91" i="18"/>
  <c r="CS91" i="18"/>
  <c r="CT91" i="18"/>
  <c r="CR92" i="18"/>
  <c r="CS92" i="18"/>
  <c r="CT92" i="18"/>
  <c r="CR93" i="18"/>
  <c r="CS93" i="18"/>
  <c r="CT93" i="18"/>
  <c r="AJ66" i="19"/>
  <c r="AL66" i="19" s="1"/>
  <c r="N66" i="19"/>
  <c r="P66" i="19" s="1"/>
  <c r="O66" i="19"/>
  <c r="CT101" i="19"/>
  <c r="CS101" i="19"/>
  <c r="CR101" i="19"/>
  <c r="AI100" i="19"/>
  <c r="AG100" i="19"/>
  <c r="AE100" i="19"/>
  <c r="AC100" i="19"/>
  <c r="CT99" i="19"/>
  <c r="CS99" i="19"/>
  <c r="CR99" i="19"/>
  <c r="CT98" i="19"/>
  <c r="CS98" i="19"/>
  <c r="CR98" i="19"/>
  <c r="CT97" i="19"/>
  <c r="CS97" i="19"/>
  <c r="CR97" i="19"/>
  <c r="CT96" i="19"/>
  <c r="CS96" i="19"/>
  <c r="CR96" i="19"/>
  <c r="CT95" i="19"/>
  <c r="CS95" i="19"/>
  <c r="CR95" i="19"/>
  <c r="CT94" i="19"/>
  <c r="CS94" i="19"/>
  <c r="CR94" i="19"/>
  <c r="AL93" i="19"/>
  <c r="AK93" i="19"/>
  <c r="P93" i="19"/>
  <c r="O93" i="19"/>
  <c r="CT92" i="19"/>
  <c r="CS92" i="19"/>
  <c r="CR92" i="19"/>
  <c r="BJ91" i="19"/>
  <c r="BI91" i="19"/>
  <c r="AR91" i="19"/>
  <c r="AQ91" i="19"/>
  <c r="AL91" i="19"/>
  <c r="AK91" i="19"/>
  <c r="CT90" i="19"/>
  <c r="CS90" i="19"/>
  <c r="CR90" i="19"/>
  <c r="BY89" i="19"/>
  <c r="BW89" i="19"/>
  <c r="BT89" i="19"/>
  <c r="BU89" i="19" s="1"/>
  <c r="AD89" i="19"/>
  <c r="AE89" i="19" s="1"/>
  <c r="CC88" i="19"/>
  <c r="BY88" i="19"/>
  <c r="BW88" i="19"/>
  <c r="BY87" i="19"/>
  <c r="BW87" i="19"/>
  <c r="BU87" i="19"/>
  <c r="BT87" i="19"/>
  <c r="AP86" i="19"/>
  <c r="AR86" i="19" s="1"/>
  <c r="P86" i="19"/>
  <c r="O86" i="19"/>
  <c r="N86" i="19"/>
  <c r="BY85" i="19"/>
  <c r="BW85" i="19"/>
  <c r="BU85" i="19"/>
  <c r="BT85" i="19"/>
  <c r="AE85" i="19"/>
  <c r="AD85" i="19"/>
  <c r="BY84" i="19"/>
  <c r="BW84" i="19"/>
  <c r="BW83" i="19"/>
  <c r="BA83" i="19"/>
  <c r="AZ83" i="19"/>
  <c r="P83" i="19"/>
  <c r="O83" i="19"/>
  <c r="CA82" i="19"/>
  <c r="BJ82" i="19"/>
  <c r="BI82" i="19"/>
  <c r="AR82" i="19"/>
  <c r="AQ82" i="19"/>
  <c r="AL82" i="19"/>
  <c r="CT82" i="19" s="1"/>
  <c r="AK82" i="19"/>
  <c r="BJ81" i="19"/>
  <c r="BI81" i="19"/>
  <c r="P81" i="19"/>
  <c r="O81" i="19"/>
  <c r="CT80" i="19"/>
  <c r="CU80" i="19" s="1"/>
  <c r="CX80" i="19" s="1"/>
  <c r="CV80" i="19" s="1"/>
  <c r="CW80" i="19" s="1"/>
  <c r="CS80" i="19"/>
  <c r="CR80" i="19"/>
  <c r="CT79" i="19"/>
  <c r="CS79" i="19"/>
  <c r="CR79" i="19"/>
  <c r="CT78" i="19"/>
  <c r="CS78" i="19"/>
  <c r="CR78" i="19"/>
  <c r="CT77" i="19"/>
  <c r="CS77" i="19"/>
  <c r="CR77" i="19"/>
  <c r="BR76" i="19"/>
  <c r="BS76" i="19" s="1"/>
  <c r="CT76" i="19" s="1"/>
  <c r="N76" i="19"/>
  <c r="O76" i="19" s="1"/>
  <c r="BO75" i="19"/>
  <c r="BP75" i="19" s="1"/>
  <c r="BL75" i="19"/>
  <c r="BM75" i="19" s="1"/>
  <c r="BI75" i="19"/>
  <c r="BJ75" i="19" s="1"/>
  <c r="AR74" i="19"/>
  <c r="AQ74" i="19"/>
  <c r="AA74" i="19"/>
  <c r="Y74" i="19"/>
  <c r="W74" i="19"/>
  <c r="P74" i="19"/>
  <c r="O74" i="19"/>
  <c r="AA73" i="19"/>
  <c r="Y73" i="19"/>
  <c r="W73" i="19"/>
  <c r="BD72" i="19"/>
  <c r="CT72" i="19" s="1"/>
  <c r="BC72" i="19"/>
  <c r="K71" i="19"/>
  <c r="I71" i="19"/>
  <c r="CT70" i="19"/>
  <c r="CS70" i="19"/>
  <c r="CR70" i="19"/>
  <c r="CT69" i="19"/>
  <c r="CS69" i="19"/>
  <c r="CR69" i="19"/>
  <c r="AR68" i="19"/>
  <c r="AQ68" i="19"/>
  <c r="AL68" i="19"/>
  <c r="AK68" i="19"/>
  <c r="P68" i="19"/>
  <c r="O68" i="19"/>
  <c r="BG67" i="19"/>
  <c r="I67" i="19"/>
  <c r="K65" i="19"/>
  <c r="I65" i="19"/>
  <c r="CT64" i="19"/>
  <c r="CS64" i="19"/>
  <c r="CR64" i="19"/>
  <c r="AI63" i="19"/>
  <c r="AG63" i="19"/>
  <c r="AE63" i="19"/>
  <c r="AC63" i="19"/>
  <c r="CS62" i="19"/>
  <c r="CD62" i="19"/>
  <c r="CT62" i="19" s="1"/>
  <c r="CT61" i="19"/>
  <c r="CR61" i="19"/>
  <c r="CD61" i="19"/>
  <c r="CS61" i="19" s="1"/>
  <c r="AA60" i="19"/>
  <c r="Y60" i="19"/>
  <c r="W60" i="19"/>
  <c r="CT59" i="19"/>
  <c r="CF59" i="19"/>
  <c r="CD59" i="19"/>
  <c r="CS59" i="19" s="1"/>
  <c r="CT58" i="19"/>
  <c r="CS58" i="19"/>
  <c r="CR58" i="19"/>
  <c r="BJ57" i="19"/>
  <c r="BI57" i="19"/>
  <c r="AR57" i="19"/>
  <c r="CT57" i="19" s="1"/>
  <c r="AQ57" i="19"/>
  <c r="CT56" i="19"/>
  <c r="P56" i="19"/>
  <c r="O56" i="19"/>
  <c r="G56" i="19"/>
  <c r="AZ55" i="19"/>
  <c r="BA55" i="19" s="1"/>
  <c r="N55" i="19"/>
  <c r="O55" i="19" s="1"/>
  <c r="K54" i="19"/>
  <c r="G54" i="19"/>
  <c r="N53" i="19"/>
  <c r="G53" i="19"/>
  <c r="CT52" i="19"/>
  <c r="CS52" i="19"/>
  <c r="CR52" i="19"/>
  <c r="CT51" i="19"/>
  <c r="CS51" i="19"/>
  <c r="CR51" i="19"/>
  <c r="N50" i="19"/>
  <c r="O50" i="19" s="1"/>
  <c r="O49" i="19"/>
  <c r="N49" i="19"/>
  <c r="P49" i="19" s="1"/>
  <c r="I49" i="19"/>
  <c r="AR48" i="19"/>
  <c r="AQ48" i="19"/>
  <c r="P48" i="19"/>
  <c r="O48" i="19"/>
  <c r="O47" i="19"/>
  <c r="N47" i="19"/>
  <c r="P47" i="19" s="1"/>
  <c r="K47" i="19"/>
  <c r="O46" i="19"/>
  <c r="N46" i="19"/>
  <c r="P46" i="19" s="1"/>
  <c r="I46" i="19"/>
  <c r="G46" i="19"/>
  <c r="P45" i="19"/>
  <c r="N45" i="19"/>
  <c r="O45" i="19" s="1"/>
  <c r="I45" i="19"/>
  <c r="P44" i="19"/>
  <c r="N44" i="19"/>
  <c r="O44" i="19" s="1"/>
  <c r="G44" i="19"/>
  <c r="CT43" i="19"/>
  <c r="CS43" i="19"/>
  <c r="CR43" i="19"/>
  <c r="N42" i="19"/>
  <c r="M42" i="19"/>
  <c r="AG41" i="19"/>
  <c r="AE41" i="19"/>
  <c r="AC41" i="19"/>
  <c r="AZ40" i="19"/>
  <c r="BA40" i="19" s="1"/>
  <c r="O40" i="19"/>
  <c r="P40" i="19" s="1"/>
  <c r="N40" i="19"/>
  <c r="N39" i="19"/>
  <c r="M39" i="19"/>
  <c r="AZ38" i="19"/>
  <c r="BA38" i="19" s="1"/>
  <c r="AN38" i="19"/>
  <c r="AO38" i="19" s="1"/>
  <c r="N37" i="19"/>
  <c r="M37" i="19"/>
  <c r="AW36" i="19"/>
  <c r="AX36" i="19" s="1"/>
  <c r="AT36" i="19"/>
  <c r="AU36" i="19" s="1"/>
  <c r="CS35" i="19"/>
  <c r="CD35" i="19"/>
  <c r="CT35" i="19" s="1"/>
  <c r="BI34" i="19"/>
  <c r="BH34" i="19"/>
  <c r="BJ34" i="19" s="1"/>
  <c r="N34" i="19"/>
  <c r="AQ33" i="19"/>
  <c r="AP33" i="19"/>
  <c r="AR33" i="19" s="1"/>
  <c r="AL33" i="19"/>
  <c r="AK33" i="19"/>
  <c r="N33" i="19"/>
  <c r="O33" i="19" s="1"/>
  <c r="AR32" i="19"/>
  <c r="AQ32" i="19"/>
  <c r="AP32" i="19"/>
  <c r="P32" i="19"/>
  <c r="O32" i="19"/>
  <c r="N32" i="19"/>
  <c r="AQ31" i="19"/>
  <c r="AP31" i="19"/>
  <c r="AR31" i="19" s="1"/>
  <c r="N31" i="19"/>
  <c r="P31" i="19" s="1"/>
  <c r="AR30" i="19"/>
  <c r="AQ30" i="19"/>
  <c r="AP30" i="19"/>
  <c r="P30" i="19"/>
  <c r="N30" i="19"/>
  <c r="O30" i="19" s="1"/>
  <c r="AQ29" i="19"/>
  <c r="AP29" i="19"/>
  <c r="AR29" i="19" s="1"/>
  <c r="N29" i="19"/>
  <c r="O28" i="19"/>
  <c r="N28" i="19"/>
  <c r="P28" i="19" s="1"/>
  <c r="P27" i="19"/>
  <c r="CT27" i="19" s="1"/>
  <c r="N27" i="19"/>
  <c r="O27" i="19" s="1"/>
  <c r="CT26" i="19"/>
  <c r="CS26" i="19"/>
  <c r="CR26" i="19"/>
  <c r="AA25" i="19"/>
  <c r="Y25" i="19"/>
  <c r="W25" i="19"/>
  <c r="CD24" i="19"/>
  <c r="AK24" i="19"/>
  <c r="AJ24" i="19"/>
  <c r="AL24" i="19" s="1"/>
  <c r="CS24" i="19" s="1"/>
  <c r="AP23" i="19"/>
  <c r="AQ23" i="19" s="1"/>
  <c r="CN22" i="19"/>
  <c r="CM22" i="19"/>
  <c r="CL22" i="19"/>
  <c r="CK22" i="19"/>
  <c r="CI22" i="19"/>
  <c r="CJ22" i="19" s="1"/>
  <c r="T22" i="19"/>
  <c r="U22" i="19" s="1"/>
  <c r="CT21" i="19"/>
  <c r="CS21" i="19"/>
  <c r="CR21" i="19"/>
  <c r="P20" i="19"/>
  <c r="CT20" i="19" s="1"/>
  <c r="O20" i="19"/>
  <c r="N20" i="19"/>
  <c r="CT19" i="19"/>
  <c r="CS19" i="19"/>
  <c r="CR19" i="19"/>
  <c r="CO18" i="19"/>
  <c r="CQ18" i="19" s="1"/>
  <c r="CT17" i="19"/>
  <c r="CS17" i="19"/>
  <c r="CR17" i="19"/>
  <c r="R16" i="19"/>
  <c r="S16" i="19" s="1"/>
  <c r="O16" i="19"/>
  <c r="P16" i="19" s="1"/>
  <c r="N16" i="19"/>
  <c r="CT15" i="19"/>
  <c r="CS15" i="19"/>
  <c r="CR15" i="19"/>
  <c r="BH14" i="19"/>
  <c r="BI14" i="19" s="1"/>
  <c r="O14" i="19"/>
  <c r="N14" i="19"/>
  <c r="P14" i="19" s="1"/>
  <c r="BH13" i="19"/>
  <c r="BI13" i="19" s="1"/>
  <c r="P13" i="19"/>
  <c r="O13" i="19"/>
  <c r="N13" i="19"/>
  <c r="BJ12" i="19"/>
  <c r="BH12" i="19"/>
  <c r="BI12" i="19" s="1"/>
  <c r="P12" i="19"/>
  <c r="O12" i="19"/>
  <c r="N12" i="19"/>
  <c r="P11" i="19"/>
  <c r="CR11" i="19" s="1"/>
  <c r="N11" i="19"/>
  <c r="O11" i="19" s="1"/>
  <c r="AR10" i="19"/>
  <c r="AQ10" i="19"/>
  <c r="AP10" i="19"/>
  <c r="N10" i="19"/>
  <c r="P10" i="19" s="1"/>
  <c r="CT9" i="19"/>
  <c r="CS9" i="19"/>
  <c r="CR9" i="19"/>
  <c r="CT8" i="19"/>
  <c r="CS8" i="19"/>
  <c r="CR8" i="19"/>
  <c r="AR7" i="19"/>
  <c r="AQ7" i="19"/>
  <c r="P7" i="19"/>
  <c r="O7" i="19"/>
  <c r="N7" i="19"/>
  <c r="AR6" i="19"/>
  <c r="AQ6" i="19"/>
  <c r="N6" i="19"/>
  <c r="O6" i="19" s="1"/>
  <c r="P5" i="19"/>
  <c r="O5" i="19"/>
  <c r="N5" i="19"/>
  <c r="I5" i="19"/>
  <c r="BI139" i="11" l="1"/>
  <c r="BH139" i="11"/>
  <c r="BI136" i="11"/>
  <c r="BH136" i="11"/>
  <c r="BI135" i="11"/>
  <c r="BH135" i="11"/>
  <c r="CU35" i="19"/>
  <c r="CS67" i="19"/>
  <c r="CU78" i="19"/>
  <c r="CX78" i="19" s="1"/>
  <c r="CU9" i="19"/>
  <c r="CX9" i="19" s="1"/>
  <c r="CS10" i="19"/>
  <c r="CR49" i="19"/>
  <c r="CS93" i="19"/>
  <c r="CT12" i="19"/>
  <c r="CS71" i="19"/>
  <c r="CT84" i="19"/>
  <c r="CR91" i="19"/>
  <c r="CT100" i="19"/>
  <c r="CU79" i="19"/>
  <c r="CX79" i="19" s="1"/>
  <c r="CV79" i="19" s="1"/>
  <c r="CW79" i="19" s="1"/>
  <c r="CU101" i="19"/>
  <c r="CX101" i="19" s="1"/>
  <c r="CY101" i="19" s="1"/>
  <c r="CT91" i="19"/>
  <c r="CS45" i="19"/>
  <c r="CU17" i="19"/>
  <c r="CX17" i="19" s="1"/>
  <c r="CT67" i="19"/>
  <c r="CU67" i="19" s="1"/>
  <c r="CX67" i="19" s="1"/>
  <c r="CS84" i="19"/>
  <c r="CU26" i="19"/>
  <c r="CX26" i="19" s="1"/>
  <c r="CU51" i="19"/>
  <c r="CX51" i="19" s="1"/>
  <c r="CY51" i="19" s="1"/>
  <c r="CU64" i="19"/>
  <c r="CX64" i="19" s="1"/>
  <c r="CY64" i="19" s="1"/>
  <c r="CT73" i="19"/>
  <c r="CT48" i="19"/>
  <c r="CU52" i="19"/>
  <c r="CX52" i="19" s="1"/>
  <c r="CV52" i="19" s="1"/>
  <c r="CW52" i="19" s="1"/>
  <c r="CU77" i="19"/>
  <c r="CX77" i="19" s="1"/>
  <c r="CV77" i="19" s="1"/>
  <c r="CW77" i="19" s="1"/>
  <c r="CT31" i="19"/>
  <c r="CU8" i="19"/>
  <c r="CU15" i="19"/>
  <c r="CX15" i="19" s="1"/>
  <c r="CS56" i="19"/>
  <c r="CU56" i="19" s="1"/>
  <c r="CX56" i="19" s="1"/>
  <c r="CV56" i="19" s="1"/>
  <c r="CW56" i="19" s="1"/>
  <c r="CT83" i="19"/>
  <c r="CR5" i="19"/>
  <c r="CS44" i="19"/>
  <c r="CU59" i="19"/>
  <c r="CT75" i="19"/>
  <c r="CS16" i="19"/>
  <c r="CS73" i="19"/>
  <c r="CR87" i="19"/>
  <c r="CU21" i="19"/>
  <c r="CX21" i="19" s="1"/>
  <c r="CT85" i="19"/>
  <c r="CR73" i="19"/>
  <c r="CS30" i="19"/>
  <c r="CT65" i="19"/>
  <c r="CU69" i="19"/>
  <c r="CX69" i="19" s="1"/>
  <c r="CY69" i="19" s="1"/>
  <c r="CS7" i="19"/>
  <c r="CR22" i="19"/>
  <c r="CT88" i="19"/>
  <c r="CU62" i="19"/>
  <c r="CX62" i="19" s="1"/>
  <c r="CY62" i="19" s="1"/>
  <c r="CU70" i="19"/>
  <c r="CX70" i="19" s="1"/>
  <c r="CY70" i="19" s="1"/>
  <c r="CT74" i="19"/>
  <c r="AK66" i="19"/>
  <c r="CT66" i="19"/>
  <c r="CS66" i="19"/>
  <c r="CR66" i="19"/>
  <c r="CS12" i="19"/>
  <c r="CU12" i="19" s="1"/>
  <c r="CR60" i="19"/>
  <c r="CU94" i="19"/>
  <c r="CX94" i="19" s="1"/>
  <c r="CV94" i="19" s="1"/>
  <c r="CW94" i="19" s="1"/>
  <c r="CU98" i="19"/>
  <c r="CX98" i="19" s="1"/>
  <c r="CV98" i="19" s="1"/>
  <c r="CW98" i="19" s="1"/>
  <c r="CT44" i="19"/>
  <c r="CR30" i="19"/>
  <c r="CT60" i="19"/>
  <c r="CR20" i="19"/>
  <c r="CT10" i="19"/>
  <c r="CS20" i="19"/>
  <c r="CU20" i="19" s="1"/>
  <c r="CX20" i="19" s="1"/>
  <c r="CT30" i="19"/>
  <c r="CT45" i="19"/>
  <c r="CU45" i="19" s="1"/>
  <c r="CR57" i="19"/>
  <c r="CR65" i="19"/>
  <c r="CT71" i="19"/>
  <c r="CU71" i="19" s="1"/>
  <c r="CU92" i="19"/>
  <c r="CX92" i="19" s="1"/>
  <c r="CV92" i="19" s="1"/>
  <c r="CW92" i="19" s="1"/>
  <c r="CU95" i="19"/>
  <c r="CX95" i="19" s="1"/>
  <c r="CV95" i="19" s="1"/>
  <c r="CW95" i="19" s="1"/>
  <c r="CU99" i="19"/>
  <c r="CX99" i="19" s="1"/>
  <c r="CV99" i="19" s="1"/>
  <c r="CW99" i="19" s="1"/>
  <c r="CT7" i="19"/>
  <c r="CS31" i="19"/>
  <c r="CS57" i="19"/>
  <c r="CU57" i="19" s="1"/>
  <c r="CX57" i="19" s="1"/>
  <c r="CU90" i="19"/>
  <c r="CX90" i="19" s="1"/>
  <c r="CY90" i="19" s="1"/>
  <c r="CR48" i="19"/>
  <c r="CS87" i="19"/>
  <c r="CS11" i="19"/>
  <c r="CS48" i="19"/>
  <c r="CS88" i="19"/>
  <c r="CU96" i="19"/>
  <c r="CX96" i="19" s="1"/>
  <c r="CV96" i="19" s="1"/>
  <c r="CW96" i="19" s="1"/>
  <c r="CX8" i="19"/>
  <c r="CY8" i="19" s="1"/>
  <c r="CR31" i="19"/>
  <c r="CR88" i="19"/>
  <c r="CU19" i="19"/>
  <c r="CX19" i="19" s="1"/>
  <c r="CR46" i="19"/>
  <c r="CR56" i="19"/>
  <c r="CU58" i="19"/>
  <c r="CX58" i="19" s="1"/>
  <c r="CV58" i="19" s="1"/>
  <c r="CW58" i="19" s="1"/>
  <c r="CT63" i="19"/>
  <c r="CS91" i="19"/>
  <c r="CR93" i="19"/>
  <c r="CT25" i="19"/>
  <c r="CS63" i="19"/>
  <c r="CR67" i="19"/>
  <c r="CT81" i="19"/>
  <c r="CT93" i="19"/>
  <c r="CU97" i="19"/>
  <c r="CX97" i="19" s="1"/>
  <c r="CR83" i="19"/>
  <c r="CY17" i="19"/>
  <c r="CV17" i="19"/>
  <c r="CW17" i="19" s="1"/>
  <c r="CY9" i="19"/>
  <c r="CV9" i="19"/>
  <c r="CW9" i="19" s="1"/>
  <c r="CT54" i="19"/>
  <c r="CS54" i="19"/>
  <c r="CR54" i="19"/>
  <c r="CY78" i="19"/>
  <c r="CV78" i="19"/>
  <c r="CW78" i="19" s="1"/>
  <c r="P6" i="19"/>
  <c r="CT38" i="19"/>
  <c r="CS38" i="19"/>
  <c r="CR38" i="19"/>
  <c r="CU43" i="19"/>
  <c r="CX43" i="19" s="1"/>
  <c r="CR25" i="19"/>
  <c r="CT28" i="19"/>
  <c r="CS28" i="19"/>
  <c r="CR28" i="19"/>
  <c r="CT41" i="19"/>
  <c r="CS41" i="19"/>
  <c r="CR41" i="19"/>
  <c r="CR44" i="19"/>
  <c r="CT49" i="19"/>
  <c r="CS49" i="19"/>
  <c r="CT18" i="19"/>
  <c r="CS18" i="19"/>
  <c r="CR18" i="19"/>
  <c r="CT32" i="19"/>
  <c r="CS32" i="19"/>
  <c r="CT36" i="19"/>
  <c r="CS36" i="19"/>
  <c r="CR36" i="19"/>
  <c r="CT47" i="19"/>
  <c r="CS47" i="19"/>
  <c r="CY15" i="19"/>
  <c r="CV15" i="19"/>
  <c r="CW15" i="19" s="1"/>
  <c r="P34" i="19"/>
  <c r="O34" i="19"/>
  <c r="AR23" i="19"/>
  <c r="CT55" i="19"/>
  <c r="CS55" i="19"/>
  <c r="CR55" i="19"/>
  <c r="BJ13" i="19"/>
  <c r="CR13" i="19" s="1"/>
  <c r="P29" i="19"/>
  <c r="O29" i="19"/>
  <c r="P39" i="19"/>
  <c r="CT39" i="19" s="1"/>
  <c r="O39" i="19"/>
  <c r="CR47" i="19"/>
  <c r="CT89" i="19"/>
  <c r="CS89" i="19"/>
  <c r="CT24" i="19"/>
  <c r="CU24" i="19" s="1"/>
  <c r="CX24" i="19" s="1"/>
  <c r="CR24" i="19"/>
  <c r="CR32" i="19"/>
  <c r="P50" i="19"/>
  <c r="CT68" i="19"/>
  <c r="CS68" i="19"/>
  <c r="CR68" i="19"/>
  <c r="CR86" i="19"/>
  <c r="CT86" i="19"/>
  <c r="CR16" i="19"/>
  <c r="P42" i="19"/>
  <c r="CT42" i="19" s="1"/>
  <c r="O42" i="19"/>
  <c r="P53" i="19"/>
  <c r="CT53" i="19" s="1"/>
  <c r="O53" i="19"/>
  <c r="CU61" i="19"/>
  <c r="CX61" i="19" s="1"/>
  <c r="CS86" i="19"/>
  <c r="CT5" i="19"/>
  <c r="CS5" i="19"/>
  <c r="CR12" i="19"/>
  <c r="CX12" i="19" s="1"/>
  <c r="CT16" i="19"/>
  <c r="CT22" i="19"/>
  <c r="CS22" i="19"/>
  <c r="P33" i="19"/>
  <c r="P37" i="19"/>
  <c r="O37" i="19"/>
  <c r="CY80" i="19"/>
  <c r="CT40" i="19"/>
  <c r="CS40" i="19"/>
  <c r="CR40" i="19"/>
  <c r="CS46" i="19"/>
  <c r="CR89" i="19"/>
  <c r="CY97" i="19"/>
  <c r="CV97" i="19"/>
  <c r="CW97" i="19" s="1"/>
  <c r="CR10" i="19"/>
  <c r="BJ14" i="19"/>
  <c r="CT14" i="19" s="1"/>
  <c r="CS25" i="19"/>
  <c r="CT46" i="19"/>
  <c r="CT11" i="19"/>
  <c r="CT87" i="19"/>
  <c r="CR45" i="19"/>
  <c r="CR62" i="19"/>
  <c r="CR63" i="19"/>
  <c r="CR72" i="19"/>
  <c r="CR81" i="19"/>
  <c r="CR7" i="19"/>
  <c r="CS72" i="19"/>
  <c r="CU72" i="19" s="1"/>
  <c r="CS81" i="19"/>
  <c r="CR100" i="19"/>
  <c r="O10" i="19"/>
  <c r="CP18" i="19"/>
  <c r="CR35" i="19"/>
  <c r="CX35" i="19" s="1"/>
  <c r="CR71" i="19"/>
  <c r="CR74" i="19"/>
  <c r="CR84" i="19"/>
  <c r="CS100" i="19"/>
  <c r="CS74" i="19"/>
  <c r="CR82" i="19"/>
  <c r="CR27" i="19"/>
  <c r="O31" i="19"/>
  <c r="CR75" i="19"/>
  <c r="CR76" i="19"/>
  <c r="CS82" i="19"/>
  <c r="CU82" i="19" s="1"/>
  <c r="CX82" i="19" s="1"/>
  <c r="CR85" i="19"/>
  <c r="AQ86" i="19"/>
  <c r="CS27" i="19"/>
  <c r="CU27" i="19" s="1"/>
  <c r="CR59" i="19"/>
  <c r="CS60" i="19"/>
  <c r="CS65" i="19"/>
  <c r="CS75" i="19"/>
  <c r="CS76" i="19"/>
  <c r="CU76" i="19" s="1"/>
  <c r="CX76" i="19" s="1"/>
  <c r="CS83" i="19"/>
  <c r="CS85" i="19"/>
  <c r="CU85" i="19" s="1"/>
  <c r="CX85" i="19" s="1"/>
  <c r="CU30" i="19" l="1"/>
  <c r="CU83" i="19"/>
  <c r="CX83" i="19" s="1"/>
  <c r="CU93" i="19"/>
  <c r="CX93" i="19" s="1"/>
  <c r="CV67" i="19"/>
  <c r="CW67" i="19" s="1"/>
  <c r="CY67" i="19"/>
  <c r="CU44" i="19"/>
  <c r="CY58" i="19"/>
  <c r="CU7" i="19"/>
  <c r="CX7" i="19" s="1"/>
  <c r="CU10" i="19"/>
  <c r="CX10" i="19" s="1"/>
  <c r="CY10" i="19" s="1"/>
  <c r="CY52" i="19"/>
  <c r="CY99" i="19"/>
  <c r="CU100" i="19"/>
  <c r="CX100" i="19" s="1"/>
  <c r="CY100" i="19" s="1"/>
  <c r="CY79" i="19"/>
  <c r="CV101" i="19"/>
  <c r="CW101" i="19" s="1"/>
  <c r="CU88" i="19"/>
  <c r="CX88" i="19" s="1"/>
  <c r="CY88" i="19" s="1"/>
  <c r="CU81" i="19"/>
  <c r="CX81" i="19" s="1"/>
  <c r="CY81" i="19" s="1"/>
  <c r="CY77" i="19"/>
  <c r="CU91" i="19"/>
  <c r="CX91" i="19" s="1"/>
  <c r="CY91" i="19" s="1"/>
  <c r="CU84" i="19"/>
  <c r="CX84" i="19" s="1"/>
  <c r="CX72" i="19"/>
  <c r="CV72" i="19" s="1"/>
  <c r="CW72" i="19" s="1"/>
  <c r="CU74" i="19"/>
  <c r="CX74" i="19" s="1"/>
  <c r="CV74" i="19" s="1"/>
  <c r="CW74" i="19" s="1"/>
  <c r="CY26" i="19"/>
  <c r="CV26" i="19"/>
  <c r="CW26" i="19" s="1"/>
  <c r="CV69" i="19"/>
  <c r="CW69" i="19" s="1"/>
  <c r="CU75" i="19"/>
  <c r="CX75" i="19" s="1"/>
  <c r="CY75" i="19" s="1"/>
  <c r="CU65" i="19"/>
  <c r="CX65" i="19" s="1"/>
  <c r="CY65" i="19" s="1"/>
  <c r="CV64" i="19"/>
  <c r="CW64" i="19" s="1"/>
  <c r="CX59" i="19"/>
  <c r="CY59" i="19" s="1"/>
  <c r="CV51" i="19"/>
  <c r="CW51" i="19" s="1"/>
  <c r="CU73" i="19"/>
  <c r="CX73" i="19" s="1"/>
  <c r="CY73" i="19" s="1"/>
  <c r="CV90" i="19"/>
  <c r="CW90" i="19" s="1"/>
  <c r="CU46" i="19"/>
  <c r="CX46" i="19" s="1"/>
  <c r="CY46" i="19" s="1"/>
  <c r="CV8" i="19"/>
  <c r="CW8" i="19" s="1"/>
  <c r="CU48" i="19"/>
  <c r="CX48" i="19" s="1"/>
  <c r="CY48" i="19" s="1"/>
  <c r="CU47" i="19"/>
  <c r="CX47" i="19" s="1"/>
  <c r="CV62" i="19"/>
  <c r="CW62" i="19" s="1"/>
  <c r="CY56" i="19"/>
  <c r="CU31" i="19"/>
  <c r="CX31" i="19" s="1"/>
  <c r="CU16" i="19"/>
  <c r="CX16" i="19" s="1"/>
  <c r="CY16" i="19" s="1"/>
  <c r="CU36" i="19"/>
  <c r="CX36" i="19" s="1"/>
  <c r="CV36" i="19" s="1"/>
  <c r="CW36" i="19" s="1"/>
  <c r="CY92" i="19"/>
  <c r="CX44" i="19"/>
  <c r="CV44" i="19" s="1"/>
  <c r="CW44" i="19" s="1"/>
  <c r="CU63" i="19"/>
  <c r="CX63" i="19" s="1"/>
  <c r="CY63" i="19" s="1"/>
  <c r="CU22" i="19"/>
  <c r="CX22" i="19" s="1"/>
  <c r="CY22" i="19" s="1"/>
  <c r="CV70" i="19"/>
  <c r="CW70" i="19" s="1"/>
  <c r="CX30" i="19"/>
  <c r="CY30" i="19" s="1"/>
  <c r="CU66" i="19"/>
  <c r="CX66" i="19" s="1"/>
  <c r="CY57" i="19"/>
  <c r="CV57" i="19"/>
  <c r="CW57" i="19" s="1"/>
  <c r="CY20" i="19"/>
  <c r="CV20" i="19"/>
  <c r="CW20" i="19" s="1"/>
  <c r="CU60" i="19"/>
  <c r="CX60" i="19" s="1"/>
  <c r="CV60" i="19" s="1"/>
  <c r="CW60" i="19" s="1"/>
  <c r="CY95" i="19"/>
  <c r="CY98" i="19"/>
  <c r="CY94" i="19"/>
  <c r="CU89" i="19"/>
  <c r="CX89" i="19" s="1"/>
  <c r="CV89" i="19" s="1"/>
  <c r="CW89" i="19" s="1"/>
  <c r="CX27" i="19"/>
  <c r="CV27" i="19" s="1"/>
  <c r="CW27" i="19" s="1"/>
  <c r="CV19" i="19"/>
  <c r="CW19" i="19" s="1"/>
  <c r="CY19" i="19"/>
  <c r="CU87" i="19"/>
  <c r="CX87" i="19" s="1"/>
  <c r="CY87" i="19" s="1"/>
  <c r="CY96" i="19"/>
  <c r="CU25" i="19"/>
  <c r="CX25" i="19" s="1"/>
  <c r="CY25" i="19" s="1"/>
  <c r="CU5" i="19"/>
  <c r="CX5" i="19" s="1"/>
  <c r="CY5" i="19" s="1"/>
  <c r="CX71" i="19"/>
  <c r="CV71" i="19" s="1"/>
  <c r="CW71" i="19" s="1"/>
  <c r="CU11" i="19"/>
  <c r="CX11" i="19" s="1"/>
  <c r="CV11" i="19" s="1"/>
  <c r="CW11" i="19" s="1"/>
  <c r="CV35" i="19"/>
  <c r="CW35" i="19" s="1"/>
  <c r="CY35" i="19"/>
  <c r="CY82" i="19"/>
  <c r="CV82" i="19"/>
  <c r="CW82" i="19" s="1"/>
  <c r="CY12" i="19"/>
  <c r="CV12" i="19"/>
  <c r="CW12" i="19" s="1"/>
  <c r="CY83" i="19"/>
  <c r="CV83" i="19"/>
  <c r="CW83" i="19" s="1"/>
  <c r="CU18" i="19"/>
  <c r="CX18" i="19" s="1"/>
  <c r="CU28" i="19"/>
  <c r="CX28" i="19" s="1"/>
  <c r="CU68" i="19"/>
  <c r="CX68" i="19" s="1"/>
  <c r="CU54" i="19"/>
  <c r="CX54" i="19" s="1"/>
  <c r="CT6" i="19"/>
  <c r="CS6" i="19"/>
  <c r="CR6" i="19"/>
  <c r="CV7" i="19"/>
  <c r="CW7" i="19" s="1"/>
  <c r="CY7" i="19"/>
  <c r="CV61" i="19"/>
  <c r="CW61" i="19" s="1"/>
  <c r="CY61" i="19"/>
  <c r="CR14" i="19"/>
  <c r="CX45" i="19"/>
  <c r="CY76" i="19"/>
  <c r="CV76" i="19"/>
  <c r="CW76" i="19" s="1"/>
  <c r="CU40" i="19"/>
  <c r="CX40" i="19" s="1"/>
  <c r="CS14" i="19"/>
  <c r="CU14" i="19" s="1"/>
  <c r="CS53" i="19"/>
  <c r="CU53" i="19" s="1"/>
  <c r="CR53" i="19"/>
  <c r="CT50" i="19"/>
  <c r="CR50" i="19"/>
  <c r="CS50" i="19"/>
  <c r="CU49" i="19"/>
  <c r="CX49" i="19" s="1"/>
  <c r="CS39" i="19"/>
  <c r="CU39" i="19" s="1"/>
  <c r="CR39" i="19"/>
  <c r="CU55" i="19"/>
  <c r="CX55" i="19" s="1"/>
  <c r="CS42" i="19"/>
  <c r="CU42" i="19" s="1"/>
  <c r="CR42" i="19"/>
  <c r="CT23" i="19"/>
  <c r="CR23" i="19"/>
  <c r="CS23" i="19"/>
  <c r="CS34" i="19"/>
  <c r="CR34" i="19"/>
  <c r="CT34" i="19"/>
  <c r="CY43" i="19"/>
  <c r="CV43" i="19"/>
  <c r="CW43" i="19" s="1"/>
  <c r="CT37" i="19"/>
  <c r="CS37" i="19"/>
  <c r="CR37" i="19"/>
  <c r="CU86" i="19"/>
  <c r="CX86" i="19" s="1"/>
  <c r="CY24" i="19"/>
  <c r="CV24" i="19"/>
  <c r="CW24" i="19" s="1"/>
  <c r="CS29" i="19"/>
  <c r="CR29" i="19"/>
  <c r="CT29" i="19"/>
  <c r="CU32" i="19"/>
  <c r="CX32" i="19" s="1"/>
  <c r="CU41" i="19"/>
  <c r="CX41" i="19" s="1"/>
  <c r="CY85" i="19"/>
  <c r="CV85" i="19"/>
  <c r="CW85" i="19" s="1"/>
  <c r="CT33" i="19"/>
  <c r="CS33" i="19"/>
  <c r="CR33" i="19"/>
  <c r="CV93" i="19"/>
  <c r="CW93" i="19" s="1"/>
  <c r="CY93" i="19"/>
  <c r="CY21" i="19"/>
  <c r="CV21" i="19"/>
  <c r="CW21" i="19" s="1"/>
  <c r="CT13" i="19"/>
  <c r="CS13" i="19"/>
  <c r="CU38" i="19"/>
  <c r="CX38" i="19" s="1"/>
  <c r="CV81" i="19" l="1"/>
  <c r="CW81" i="19" s="1"/>
  <c r="CV91" i="19"/>
  <c r="CW91" i="19" s="1"/>
  <c r="CV10" i="19"/>
  <c r="CW10" i="19" s="1"/>
  <c r="CV100" i="19"/>
  <c r="CW100" i="19" s="1"/>
  <c r="CV75" i="19"/>
  <c r="CW75" i="19" s="1"/>
  <c r="CY60" i="19"/>
  <c r="CV73" i="19"/>
  <c r="CW73" i="19" s="1"/>
  <c r="CU6" i="19"/>
  <c r="CX6" i="19" s="1"/>
  <c r="CY6" i="19" s="1"/>
  <c r="CV65" i="19"/>
  <c r="CW65" i="19" s="1"/>
  <c r="CV84" i="19"/>
  <c r="CW84" i="19" s="1"/>
  <c r="CY84" i="19"/>
  <c r="CY74" i="19"/>
  <c r="CV48" i="19"/>
  <c r="CW48" i="19" s="1"/>
  <c r="CV88" i="19"/>
  <c r="CW88" i="19" s="1"/>
  <c r="CX53" i="19"/>
  <c r="CV53" i="19" s="1"/>
  <c r="CW53" i="19" s="1"/>
  <c r="CV22" i="19"/>
  <c r="CW22" i="19" s="1"/>
  <c r="CY72" i="19"/>
  <c r="CV25" i="19"/>
  <c r="CW25" i="19" s="1"/>
  <c r="CY44" i="19"/>
  <c r="CV46" i="19"/>
  <c r="CW46" i="19" s="1"/>
  <c r="CV59" i="19"/>
  <c r="CW59" i="19" s="1"/>
  <c r="CY36" i="19"/>
  <c r="CV31" i="19"/>
  <c r="CW31" i="19" s="1"/>
  <c r="CY31" i="19"/>
  <c r="CV16" i="19"/>
  <c r="CW16" i="19" s="1"/>
  <c r="CV87" i="19"/>
  <c r="CW87" i="19" s="1"/>
  <c r="CY71" i="19"/>
  <c r="CU34" i="19"/>
  <c r="CX34" i="19" s="1"/>
  <c r="CY34" i="19" s="1"/>
  <c r="CY89" i="19"/>
  <c r="CV5" i="19"/>
  <c r="CW5" i="19" s="1"/>
  <c r="CV30" i="19"/>
  <c r="CW30" i="19" s="1"/>
  <c r="CY27" i="19"/>
  <c r="CU33" i="19"/>
  <c r="CX33" i="19" s="1"/>
  <c r="CY33" i="19" s="1"/>
  <c r="CV63" i="19"/>
  <c r="CW63" i="19" s="1"/>
  <c r="CV66" i="19"/>
  <c r="CW66" i="19" s="1"/>
  <c r="CY66" i="19"/>
  <c r="CX42" i="19"/>
  <c r="CV42" i="19" s="1"/>
  <c r="CW42" i="19" s="1"/>
  <c r="CU13" i="19"/>
  <c r="CX13" i="19" s="1"/>
  <c r="CV13" i="19" s="1"/>
  <c r="CW13" i="19" s="1"/>
  <c r="CY11" i="19"/>
  <c r="CX39" i="19"/>
  <c r="CV39" i="19" s="1"/>
  <c r="CW39" i="19" s="1"/>
  <c r="CX14" i="19"/>
  <c r="CV14" i="19" s="1"/>
  <c r="CW14" i="19" s="1"/>
  <c r="CY45" i="19"/>
  <c r="CV45" i="19"/>
  <c r="CW45" i="19" s="1"/>
  <c r="CV68" i="19"/>
  <c r="CW68" i="19" s="1"/>
  <c r="CY68" i="19"/>
  <c r="CY86" i="19"/>
  <c r="CV86" i="19"/>
  <c r="CW86" i="19" s="1"/>
  <c r="CU50" i="19"/>
  <c r="CX50" i="19" s="1"/>
  <c r="CY28" i="19"/>
  <c r="CV28" i="19"/>
  <c r="CW28" i="19" s="1"/>
  <c r="CV18" i="19"/>
  <c r="CW18" i="19" s="1"/>
  <c r="CY18" i="19"/>
  <c r="CV55" i="19"/>
  <c r="CW55" i="19" s="1"/>
  <c r="CY55" i="19"/>
  <c r="CU37" i="19"/>
  <c r="CX37" i="19" s="1"/>
  <c r="CY40" i="19"/>
  <c r="CV40" i="19"/>
  <c r="CW40" i="19" s="1"/>
  <c r="CV38" i="19"/>
  <c r="CW38" i="19" s="1"/>
  <c r="CY38" i="19"/>
  <c r="CV41" i="19"/>
  <c r="CW41" i="19" s="1"/>
  <c r="CY41" i="19"/>
  <c r="CY32" i="19"/>
  <c r="CV32" i="19"/>
  <c r="CW32" i="19" s="1"/>
  <c r="CV54" i="19"/>
  <c r="CW54" i="19" s="1"/>
  <c r="CY54" i="19"/>
  <c r="CU29" i="19"/>
  <c r="CX29" i="19" s="1"/>
  <c r="CU23" i="19"/>
  <c r="CX23" i="19" s="1"/>
  <c r="CY49" i="19"/>
  <c r="CV49" i="19"/>
  <c r="CW49" i="19" s="1"/>
  <c r="CY47" i="19"/>
  <c r="CV47" i="19"/>
  <c r="CW47" i="19" s="1"/>
  <c r="CV6" i="19" l="1"/>
  <c r="CW6" i="19" s="1"/>
  <c r="CY53" i="19"/>
  <c r="CY14" i="19"/>
  <c r="CV33" i="19"/>
  <c r="CW33" i="19" s="1"/>
  <c r="CV34" i="19"/>
  <c r="CW34" i="19" s="1"/>
  <c r="CY39" i="19"/>
  <c r="CY13" i="19"/>
  <c r="CY42" i="19"/>
  <c r="CY29" i="19"/>
  <c r="CV29" i="19"/>
  <c r="CW29" i="19" s="1"/>
  <c r="CY23" i="19"/>
  <c r="CV23" i="19"/>
  <c r="CW23" i="19" s="1"/>
  <c r="CV37" i="19"/>
  <c r="CW37" i="19" s="1"/>
  <c r="CY37" i="19"/>
  <c r="CX102" i="19"/>
  <c r="CY50" i="19"/>
  <c r="CV50" i="19"/>
  <c r="CW50" i="19" s="1"/>
  <c r="CY102" i="19" l="1"/>
  <c r="BV84" i="18"/>
  <c r="BV83" i="18"/>
  <c r="BJ82" i="18"/>
  <c r="BE81" i="18"/>
  <c r="BC81" i="18"/>
  <c r="BA81" i="18"/>
  <c r="BT80" i="18"/>
  <c r="CU79" i="18"/>
  <c r="CX79" i="18" s="1"/>
  <c r="BJ78" i="18"/>
  <c r="BW74" i="18"/>
  <c r="AM69" i="18"/>
  <c r="AK69" i="18"/>
  <c r="AM68" i="18"/>
  <c r="AK68" i="18"/>
  <c r="AM67" i="18"/>
  <c r="AK67" i="18"/>
  <c r="AY66" i="18"/>
  <c r="AW66" i="18"/>
  <c r="AU66" i="18"/>
  <c r="AS66" i="18"/>
  <c r="AQ65" i="18"/>
  <c r="AI65" i="18"/>
  <c r="AG64" i="18"/>
  <c r="I64" i="18"/>
  <c r="G64" i="18"/>
  <c r="AG63" i="18"/>
  <c r="I63" i="18"/>
  <c r="G63" i="18"/>
  <c r="AG62" i="18"/>
  <c r="I62" i="18"/>
  <c r="G62" i="18"/>
  <c r="AO61" i="18"/>
  <c r="AM61" i="18"/>
  <c r="AK61" i="18"/>
  <c r="AG60" i="18"/>
  <c r="I60" i="18"/>
  <c r="G60" i="18"/>
  <c r="AK59" i="18"/>
  <c r="AI59" i="18"/>
  <c r="I58" i="18"/>
  <c r="G58" i="18"/>
  <c r="AG57" i="18"/>
  <c r="I57" i="18"/>
  <c r="G57" i="18"/>
  <c r="BN54" i="18"/>
  <c r="CP52" i="18"/>
  <c r="CQ52" i="18" s="1"/>
  <c r="CM52" i="18"/>
  <c r="CN52" i="18" s="1"/>
  <c r="K51" i="18"/>
  <c r="I51" i="18"/>
  <c r="G51" i="18"/>
  <c r="K50" i="18"/>
  <c r="I50" i="18"/>
  <c r="G50" i="18"/>
  <c r="I49" i="18"/>
  <c r="G49" i="18"/>
  <c r="K48" i="18"/>
  <c r="I48" i="18"/>
  <c r="G48" i="18"/>
  <c r="K47" i="18"/>
  <c r="I47" i="18"/>
  <c r="G47" i="18"/>
  <c r="K46" i="18"/>
  <c r="I46" i="18"/>
  <c r="G46" i="18"/>
  <c r="K45" i="18"/>
  <c r="I45" i="18"/>
  <c r="G45" i="18"/>
  <c r="K44" i="18"/>
  <c r="I44" i="18"/>
  <c r="K43" i="18"/>
  <c r="I43" i="18"/>
  <c r="G43" i="18"/>
  <c r="K42" i="18"/>
  <c r="I42" i="18"/>
  <c r="G42" i="18"/>
  <c r="CJ41" i="18"/>
  <c r="CK41" i="18" s="1"/>
  <c r="CG41" i="18"/>
  <c r="CH41" i="18" s="1"/>
  <c r="K40" i="18"/>
  <c r="I40" i="18"/>
  <c r="G40" i="18"/>
  <c r="K39" i="18"/>
  <c r="I39" i="18"/>
  <c r="G39" i="18"/>
  <c r="K38" i="18"/>
  <c r="I38" i="18"/>
  <c r="G38" i="18"/>
  <c r="CD36" i="18"/>
  <c r="CE36" i="18" s="1"/>
  <c r="CA36" i="18"/>
  <c r="CB36" i="18" s="1"/>
  <c r="K35" i="18"/>
  <c r="I35" i="18"/>
  <c r="G35" i="18"/>
  <c r="AE34" i="18"/>
  <c r="K34" i="18"/>
  <c r="I34" i="18"/>
  <c r="G34" i="18"/>
  <c r="K33" i="18"/>
  <c r="I33" i="18"/>
  <c r="G33" i="18"/>
  <c r="M32" i="18"/>
  <c r="K32" i="18"/>
  <c r="I32" i="18"/>
  <c r="G32" i="18"/>
  <c r="AE31" i="18"/>
  <c r="K31" i="18"/>
  <c r="I31" i="18"/>
  <c r="G31" i="18"/>
  <c r="Z30" i="18"/>
  <c r="K30" i="18"/>
  <c r="I30" i="18"/>
  <c r="G30" i="18"/>
  <c r="AB29" i="18"/>
  <c r="AC29" i="18" s="1"/>
  <c r="M29" i="18"/>
  <c r="K28" i="18"/>
  <c r="I28" i="18"/>
  <c r="G28" i="18"/>
  <c r="K27" i="18"/>
  <c r="I27" i="18"/>
  <c r="G27" i="18"/>
  <c r="K26" i="18"/>
  <c r="I26" i="18"/>
  <c r="G26" i="18"/>
  <c r="K25" i="18"/>
  <c r="I25" i="18"/>
  <c r="G25" i="18"/>
  <c r="K24" i="18"/>
  <c r="I24" i="18"/>
  <c r="G24" i="18"/>
  <c r="K23" i="18"/>
  <c r="I23" i="18"/>
  <c r="G23" i="18"/>
  <c r="K22" i="18"/>
  <c r="I22" i="18"/>
  <c r="G22" i="18"/>
  <c r="K21" i="18"/>
  <c r="I21" i="18"/>
  <c r="G21" i="18"/>
  <c r="W20" i="18"/>
  <c r="X20" i="18" s="1"/>
  <c r="T20" i="18"/>
  <c r="U20" i="18" s="1"/>
  <c r="M20" i="18"/>
  <c r="R19" i="18"/>
  <c r="M19" i="18"/>
  <c r="K18" i="18"/>
  <c r="I18" i="18"/>
  <c r="G18" i="18"/>
  <c r="O17" i="18"/>
  <c r="P17" i="18" s="1"/>
  <c r="M17" i="18"/>
  <c r="K16" i="18"/>
  <c r="I16" i="18"/>
  <c r="G16" i="18"/>
  <c r="K15" i="18"/>
  <c r="I15" i="18"/>
  <c r="G15" i="18"/>
  <c r="K14" i="18"/>
  <c r="I14" i="18"/>
  <c r="G14" i="18"/>
  <c r="K13" i="18"/>
  <c r="I13" i="18"/>
  <c r="G13" i="18"/>
  <c r="K12" i="18"/>
  <c r="I12" i="18"/>
  <c r="G12" i="18"/>
  <c r="K11" i="18"/>
  <c r="I11" i="18"/>
  <c r="G11" i="18"/>
  <c r="K10" i="18"/>
  <c r="I10" i="18"/>
  <c r="G10" i="18"/>
  <c r="K9" i="18"/>
  <c r="I9" i="18"/>
  <c r="G9" i="18"/>
  <c r="K8" i="18"/>
  <c r="I8" i="18"/>
  <c r="G8" i="18"/>
  <c r="K7" i="18"/>
  <c r="I7" i="18"/>
  <c r="G7" i="18"/>
  <c r="K6" i="18"/>
  <c r="I6" i="18"/>
  <c r="G6" i="18"/>
  <c r="CR81" i="18" l="1"/>
  <c r="CS81" i="18"/>
  <c r="CT81" i="18"/>
  <c r="CR69" i="18"/>
  <c r="CT69" i="18"/>
  <c r="CS69" i="18"/>
  <c r="CS68" i="18"/>
  <c r="CR68" i="18"/>
  <c r="CT68" i="18"/>
  <c r="CR67" i="18"/>
  <c r="CT67" i="18"/>
  <c r="CS67" i="18"/>
  <c r="CR66" i="18"/>
  <c r="CT66" i="18"/>
  <c r="CS66" i="18"/>
  <c r="CT65" i="18"/>
  <c r="CR65" i="18"/>
  <c r="CS65" i="18"/>
  <c r="CR64" i="18"/>
  <c r="CS64" i="18"/>
  <c r="CT64" i="18"/>
  <c r="CS63" i="18"/>
  <c r="CT63" i="18"/>
  <c r="CR63" i="18"/>
  <c r="CT62" i="18"/>
  <c r="CR62" i="18"/>
  <c r="CS62" i="18"/>
  <c r="CS61" i="18"/>
  <c r="CT61" i="18"/>
  <c r="CR61" i="18"/>
  <c r="CT60" i="18"/>
  <c r="CS60" i="18"/>
  <c r="CR60" i="18"/>
  <c r="CT59" i="18"/>
  <c r="CR59" i="18"/>
  <c r="CS59" i="18"/>
  <c r="CT58" i="18"/>
  <c r="CR58" i="18"/>
  <c r="CS58" i="18"/>
  <c r="CS57" i="18"/>
  <c r="CR57" i="18"/>
  <c r="CT57" i="18"/>
  <c r="CU57" i="18" s="1"/>
  <c r="CX57" i="18" s="1"/>
  <c r="CT52" i="18"/>
  <c r="CR52" i="18"/>
  <c r="CS52" i="18"/>
  <c r="CR51" i="18"/>
  <c r="CS51" i="18"/>
  <c r="CT51" i="18"/>
  <c r="CR50" i="18"/>
  <c r="CT50" i="18"/>
  <c r="CU50" i="18" s="1"/>
  <c r="CS50" i="18"/>
  <c r="CS49" i="18"/>
  <c r="CT49" i="18"/>
  <c r="CR49" i="18"/>
  <c r="CT48" i="18"/>
  <c r="CU48" i="18" s="1"/>
  <c r="CX48" i="18" s="1"/>
  <c r="CS48" i="18"/>
  <c r="CR48" i="18"/>
  <c r="CT47" i="18"/>
  <c r="CS47" i="18"/>
  <c r="CR47" i="18"/>
  <c r="CT46" i="18"/>
  <c r="CU46" i="18" s="1"/>
  <c r="CX46" i="18" s="1"/>
  <c r="CR46" i="18"/>
  <c r="CS46" i="18"/>
  <c r="CS45" i="18"/>
  <c r="CR45" i="18"/>
  <c r="CT45" i="18"/>
  <c r="CU45" i="18" s="1"/>
  <c r="CX45" i="18" s="1"/>
  <c r="CT44" i="18"/>
  <c r="CS44" i="18"/>
  <c r="CR44" i="18"/>
  <c r="CT43" i="18"/>
  <c r="CS43" i="18"/>
  <c r="CR43" i="18"/>
  <c r="CT42" i="18"/>
  <c r="CR42" i="18"/>
  <c r="CS42" i="18"/>
  <c r="CS41" i="18"/>
  <c r="CR41" i="18"/>
  <c r="CT41" i="18"/>
  <c r="CR40" i="18"/>
  <c r="CT40" i="18"/>
  <c r="CS40" i="18"/>
  <c r="CT39" i="18"/>
  <c r="CS39" i="18"/>
  <c r="CR39" i="18"/>
  <c r="CR38" i="18"/>
  <c r="CT38" i="18"/>
  <c r="CS38" i="18"/>
  <c r="CR36" i="18"/>
  <c r="CS36" i="18"/>
  <c r="CT36" i="18"/>
  <c r="CT35" i="18"/>
  <c r="CR35" i="18"/>
  <c r="CS35" i="18"/>
  <c r="CS34" i="18"/>
  <c r="CT34" i="18"/>
  <c r="CR34" i="18"/>
  <c r="CR33" i="18"/>
  <c r="CS33" i="18"/>
  <c r="CT33" i="18"/>
  <c r="CR32" i="18"/>
  <c r="CS32" i="18"/>
  <c r="CT32" i="18"/>
  <c r="CS31" i="18"/>
  <c r="CT31" i="18"/>
  <c r="CR31" i="18"/>
  <c r="CT30" i="18"/>
  <c r="CR30" i="18"/>
  <c r="CS30" i="18"/>
  <c r="CR29" i="18"/>
  <c r="CS29" i="18"/>
  <c r="CT29" i="18"/>
  <c r="CR28" i="18"/>
  <c r="CS28" i="18"/>
  <c r="CT28" i="18"/>
  <c r="CU28" i="18" s="1"/>
  <c r="CX28" i="18" s="1"/>
  <c r="CT27" i="18"/>
  <c r="CS27" i="18"/>
  <c r="CR27" i="18"/>
  <c r="CS26" i="18"/>
  <c r="CT26" i="18"/>
  <c r="CU26" i="18" s="1"/>
  <c r="CX26" i="18" s="1"/>
  <c r="CR26" i="18"/>
  <c r="CT25" i="18"/>
  <c r="CR25" i="18"/>
  <c r="CS25" i="18"/>
  <c r="CS24" i="18"/>
  <c r="CR24" i="18"/>
  <c r="CT24" i="18"/>
  <c r="CU24" i="18" s="1"/>
  <c r="CX24" i="18" s="1"/>
  <c r="CT23" i="18"/>
  <c r="CU23" i="18" s="1"/>
  <c r="CX23" i="18" s="1"/>
  <c r="CS23" i="18"/>
  <c r="CR23" i="18"/>
  <c r="CS22" i="18"/>
  <c r="CR22" i="18"/>
  <c r="CT22" i="18"/>
  <c r="CR21" i="18"/>
  <c r="CS21" i="18"/>
  <c r="CT21" i="18"/>
  <c r="CT20" i="18"/>
  <c r="CS20" i="18"/>
  <c r="CR20" i="18"/>
  <c r="CS19" i="18"/>
  <c r="CT19" i="18"/>
  <c r="CR19" i="18"/>
  <c r="CT18" i="18"/>
  <c r="CS18" i="18"/>
  <c r="CR18" i="18"/>
  <c r="CT17" i="18"/>
  <c r="CS17" i="18"/>
  <c r="CR17" i="18"/>
  <c r="CT16" i="18"/>
  <c r="CS16" i="18"/>
  <c r="CR16" i="18"/>
  <c r="CT15" i="18"/>
  <c r="CS15" i="18"/>
  <c r="CR15" i="18"/>
  <c r="CT14" i="18"/>
  <c r="CS14" i="18"/>
  <c r="CR14" i="18"/>
  <c r="CR13" i="18"/>
  <c r="CT13" i="18"/>
  <c r="CS13" i="18"/>
  <c r="CT12" i="18"/>
  <c r="CR12" i="18"/>
  <c r="CS12" i="18"/>
  <c r="CT11" i="18"/>
  <c r="CS11" i="18"/>
  <c r="CR11" i="18"/>
  <c r="CT10" i="18"/>
  <c r="CS10" i="18"/>
  <c r="CR10" i="18"/>
  <c r="CT9" i="18"/>
  <c r="CS9" i="18"/>
  <c r="CR9" i="18"/>
  <c r="CT8" i="18"/>
  <c r="CU8" i="18" s="1"/>
  <c r="CV8" i="18" s="1"/>
  <c r="CS8" i="18"/>
  <c r="CR8" i="18"/>
  <c r="CS7" i="18"/>
  <c r="CR7" i="18"/>
  <c r="CT7" i="18"/>
  <c r="CU7" i="18" s="1"/>
  <c r="CX7" i="18" s="1"/>
  <c r="CT6" i="18"/>
  <c r="CS6" i="18"/>
  <c r="CR6" i="18"/>
  <c r="CU67" i="18"/>
  <c r="CX67" i="18" s="1"/>
  <c r="CU65" i="18"/>
  <c r="CX65" i="18" s="1"/>
  <c r="CU62" i="18"/>
  <c r="CX62" i="18" s="1"/>
  <c r="CU58" i="18"/>
  <c r="CX58" i="18" s="1"/>
  <c r="CU42" i="18"/>
  <c r="CX42" i="18" s="1"/>
  <c r="CU39" i="18"/>
  <c r="CU34" i="18"/>
  <c r="CX34" i="18" s="1"/>
  <c r="CU15" i="18"/>
  <c r="CX15" i="18" s="1"/>
  <c r="CU14" i="18"/>
  <c r="CX14" i="18" s="1"/>
  <c r="CU13" i="18"/>
  <c r="CX13" i="18" s="1"/>
  <c r="CU12" i="18"/>
  <c r="CX12" i="18" s="1"/>
  <c r="CU55" i="18"/>
  <c r="CX55" i="18" s="1"/>
  <c r="CU53" i="18"/>
  <c r="CX53" i="18" s="1"/>
  <c r="CU71" i="18"/>
  <c r="CX71" i="18" s="1"/>
  <c r="CU93" i="18"/>
  <c r="CX93" i="18" s="1"/>
  <c r="CU92" i="18"/>
  <c r="CX92" i="18" s="1"/>
  <c r="CU91" i="18"/>
  <c r="CX91" i="18" s="1"/>
  <c r="CU90" i="18"/>
  <c r="CX90" i="18" s="1"/>
  <c r="CU89" i="18"/>
  <c r="CX89" i="18" s="1"/>
  <c r="CU88" i="18"/>
  <c r="CX88" i="18" s="1"/>
  <c r="CU87" i="18"/>
  <c r="CX87" i="18" s="1"/>
  <c r="CU86" i="18"/>
  <c r="CX86" i="18" s="1"/>
  <c r="CU85" i="18"/>
  <c r="CX85" i="18" s="1"/>
  <c r="CU84" i="18"/>
  <c r="CX84" i="18" s="1"/>
  <c r="CU83" i="18"/>
  <c r="CX83" i="18" s="1"/>
  <c r="CU80" i="18"/>
  <c r="CX80" i="18" s="1"/>
  <c r="CU77" i="18"/>
  <c r="CX77" i="18" s="1"/>
  <c r="CU76" i="18"/>
  <c r="CX76" i="18" s="1"/>
  <c r="CU75" i="18"/>
  <c r="CX75" i="18" s="1"/>
  <c r="CU74" i="18"/>
  <c r="CX74" i="18" s="1"/>
  <c r="CU73" i="18"/>
  <c r="CX73" i="18" s="1"/>
  <c r="CU72" i="18"/>
  <c r="CX72" i="18" s="1"/>
  <c r="CU56" i="18"/>
  <c r="CX56" i="18" s="1"/>
  <c r="CU70" i="18"/>
  <c r="CX70" i="18" s="1"/>
  <c r="CU37" i="18"/>
  <c r="CX37" i="18" s="1"/>
  <c r="CU36" i="18"/>
  <c r="CV36" i="18" s="1"/>
  <c r="CY79" i="18"/>
  <c r="CV79" i="18"/>
  <c r="CW79" i="18" s="1"/>
  <c r="CU41" i="18"/>
  <c r="CV41" i="18" s="1"/>
  <c r="CU54" i="18"/>
  <c r="CX54" i="18" s="1"/>
  <c r="CU78" i="18"/>
  <c r="CX78" i="18" s="1"/>
  <c r="CU82" i="18"/>
  <c r="CX82" i="18" s="1"/>
  <c r="CX50" i="18" l="1"/>
  <c r="CU49" i="18"/>
  <c r="CU44" i="18"/>
  <c r="CX44" i="18" s="1"/>
  <c r="CU40" i="18"/>
  <c r="CX40" i="18" s="1"/>
  <c r="CU35" i="18"/>
  <c r="CX35" i="18" s="1"/>
  <c r="CU33" i="18"/>
  <c r="CX33" i="18" s="1"/>
  <c r="CU30" i="18"/>
  <c r="CV30" i="18" s="1"/>
  <c r="CU25" i="18"/>
  <c r="CX25" i="18" s="1"/>
  <c r="CU11" i="18"/>
  <c r="CV11" i="18" s="1"/>
  <c r="CU6" i="18"/>
  <c r="CX6" i="18" s="1"/>
  <c r="CU61" i="18"/>
  <c r="CX61" i="18" s="1"/>
  <c r="CU60" i="18"/>
  <c r="CX60" i="18" s="1"/>
  <c r="CU59" i="18"/>
  <c r="CX59" i="18" s="1"/>
  <c r="CU51" i="18"/>
  <c r="CX51" i="18" s="1"/>
  <c r="CU16" i="18"/>
  <c r="CX16" i="18" s="1"/>
  <c r="CU9" i="18"/>
  <c r="CV9" i="18" s="1"/>
  <c r="CV39" i="18"/>
  <c r="CU19" i="18"/>
  <c r="CX19" i="18" s="1"/>
  <c r="CU38" i="18"/>
  <c r="CV38" i="18" s="1"/>
  <c r="CU47" i="18"/>
  <c r="CX47" i="18" s="1"/>
  <c r="CV37" i="18"/>
  <c r="CW37" i="18" s="1"/>
  <c r="CY37" i="18"/>
  <c r="CV59" i="18"/>
  <c r="CW59" i="18" s="1"/>
  <c r="CY59" i="18"/>
  <c r="CU10" i="18"/>
  <c r="CV10" i="18" s="1"/>
  <c r="CU64" i="18"/>
  <c r="CX64" i="18" s="1"/>
  <c r="CU31" i="18"/>
  <c r="CX31" i="18" s="1"/>
  <c r="CU32" i="18"/>
  <c r="CX32" i="18" s="1"/>
  <c r="CU69" i="18"/>
  <c r="CX69" i="18" s="1"/>
  <c r="CU27" i="18"/>
  <c r="CX27" i="18" s="1"/>
  <c r="CY70" i="18"/>
  <c r="CV70" i="18"/>
  <c r="CW70" i="18" s="1"/>
  <c r="CY71" i="18"/>
  <c r="CV71" i="18"/>
  <c r="CW71" i="18" s="1"/>
  <c r="CV83" i="18"/>
  <c r="CW83" i="18" s="1"/>
  <c r="CY83" i="18"/>
  <c r="CV75" i="18"/>
  <c r="CW75" i="18" s="1"/>
  <c r="CY75" i="18"/>
  <c r="CY74" i="18"/>
  <c r="CV74" i="18"/>
  <c r="CW74" i="18" s="1"/>
  <c r="CY56" i="18"/>
  <c r="CV56" i="18"/>
  <c r="CW56" i="18" s="1"/>
  <c r="CY24" i="18"/>
  <c r="CV24" i="18"/>
  <c r="CW24" i="18" s="1"/>
  <c r="CU68" i="18"/>
  <c r="CX68" i="18" s="1"/>
  <c r="CU43" i="18"/>
  <c r="CX43" i="18" s="1"/>
  <c r="CU21" i="18"/>
  <c r="CX21" i="18" s="1"/>
  <c r="CU63" i="18"/>
  <c r="CX63" i="18" s="1"/>
  <c r="CX49" i="18"/>
  <c r="CY55" i="18"/>
  <c r="CV55" i="18"/>
  <c r="CW55" i="18" s="1"/>
  <c r="CV53" i="18"/>
  <c r="CW53" i="18" s="1"/>
  <c r="CY53" i="18"/>
  <c r="CY91" i="18"/>
  <c r="CV91" i="18"/>
  <c r="CW91" i="18" s="1"/>
  <c r="CY87" i="18"/>
  <c r="CV87" i="18"/>
  <c r="CW87" i="18" s="1"/>
  <c r="CY76" i="18"/>
  <c r="CV76" i="18"/>
  <c r="CW76" i="18" s="1"/>
  <c r="CV72" i="18"/>
  <c r="CW72" i="18" s="1"/>
  <c r="CY72" i="18"/>
  <c r="CV46" i="18"/>
  <c r="CW46" i="18" s="1"/>
  <c r="CY46" i="18"/>
  <c r="CY42" i="18"/>
  <c r="CV42" i="18"/>
  <c r="CW42" i="18" s="1"/>
  <c r="CY35" i="18"/>
  <c r="CV35" i="18"/>
  <c r="CW35" i="18" s="1"/>
  <c r="CU66" i="18"/>
  <c r="CX66" i="18" s="1"/>
  <c r="CU20" i="18"/>
  <c r="CX20" i="18" s="1"/>
  <c r="CU18" i="18"/>
  <c r="CX18" i="18" s="1"/>
  <c r="CU81" i="18"/>
  <c r="CX81" i="18" s="1"/>
  <c r="CU22" i="18"/>
  <c r="CX22" i="18" s="1"/>
  <c r="CY93" i="18"/>
  <c r="CV93" i="18"/>
  <c r="CW93" i="18" s="1"/>
  <c r="CV92" i="18"/>
  <c r="CW92" i="18" s="1"/>
  <c r="CY92" i="18"/>
  <c r="CY90" i="18"/>
  <c r="CV90" i="18"/>
  <c r="CW90" i="18" s="1"/>
  <c r="CV89" i="18"/>
  <c r="CW89" i="18" s="1"/>
  <c r="CY89" i="18"/>
  <c r="CY88" i="18"/>
  <c r="CV88" i="18"/>
  <c r="CW88" i="18" s="1"/>
  <c r="CV86" i="18"/>
  <c r="CW86" i="18" s="1"/>
  <c r="CY86" i="18"/>
  <c r="CV85" i="18"/>
  <c r="CW85" i="18" s="1"/>
  <c r="CY85" i="18"/>
  <c r="CY84" i="18"/>
  <c r="CV84" i="18"/>
  <c r="CW84" i="18" s="1"/>
  <c r="CY80" i="18"/>
  <c r="CV80" i="18"/>
  <c r="CW80" i="18" s="1"/>
  <c r="CV77" i="18"/>
  <c r="CW77" i="18" s="1"/>
  <c r="CY77" i="18"/>
  <c r="CY73" i="18"/>
  <c r="CV73" i="18"/>
  <c r="CW73" i="18" s="1"/>
  <c r="CY45" i="18"/>
  <c r="CV45" i="18"/>
  <c r="CW45" i="18" s="1"/>
  <c r="CY12" i="18"/>
  <c r="CV12" i="18"/>
  <c r="CW12" i="18" s="1"/>
  <c r="CY36" i="18"/>
  <c r="CX36" i="18"/>
  <c r="CY82" i="18"/>
  <c r="CV82" i="18"/>
  <c r="CW82" i="18" s="1"/>
  <c r="CV6" i="18"/>
  <c r="CW6" i="18" s="1"/>
  <c r="CY6" i="18"/>
  <c r="CV15" i="18"/>
  <c r="CW15" i="18" s="1"/>
  <c r="CY15" i="18"/>
  <c r="CY41" i="18"/>
  <c r="CX41" i="18"/>
  <c r="CV48" i="18"/>
  <c r="CW48" i="18" s="1"/>
  <c r="CY48" i="18"/>
  <c r="CV7" i="18"/>
  <c r="CW7" i="18" s="1"/>
  <c r="CY7" i="18"/>
  <c r="CY8" i="18"/>
  <c r="CX8" i="18"/>
  <c r="CV78" i="18"/>
  <c r="CW78" i="18" s="1"/>
  <c r="CY78" i="18"/>
  <c r="CV54" i="18"/>
  <c r="CW54" i="18" s="1"/>
  <c r="CY54" i="18"/>
  <c r="CV13" i="18"/>
  <c r="CW13" i="18" s="1"/>
  <c r="CY13" i="18"/>
  <c r="CY62" i="18"/>
  <c r="CV62" i="18"/>
  <c r="CW62" i="18" s="1"/>
  <c r="CY67" i="18"/>
  <c r="CV67" i="18"/>
  <c r="CW67" i="18" s="1"/>
  <c r="CV26" i="18"/>
  <c r="CW26" i="18" s="1"/>
  <c r="CY26" i="18"/>
  <c r="CV57" i="18"/>
  <c r="CW57" i="18" s="1"/>
  <c r="CY57" i="18"/>
  <c r="CV28" i="18"/>
  <c r="CW28" i="18" s="1"/>
  <c r="CY28" i="18"/>
  <c r="CU52" i="18"/>
  <c r="CX52" i="18" s="1"/>
  <c r="CY34" i="18"/>
  <c r="CV34" i="18"/>
  <c r="CW34" i="18" s="1"/>
  <c r="CU29" i="18"/>
  <c r="CX29" i="18" s="1"/>
  <c r="CV14" i="18"/>
  <c r="CW14" i="18" s="1"/>
  <c r="CY14" i="18"/>
  <c r="CY65" i="18"/>
  <c r="CV65" i="18"/>
  <c r="CW65" i="18" s="1"/>
  <c r="CU17" i="18"/>
  <c r="CX17" i="18" s="1"/>
  <c r="CV58" i="18"/>
  <c r="CW58" i="18" s="1"/>
  <c r="CY58" i="18"/>
  <c r="CV23" i="18"/>
  <c r="CW23" i="18" s="1"/>
  <c r="CY23" i="18"/>
  <c r="CY40" i="18" l="1"/>
  <c r="CV40" i="18"/>
  <c r="CW40" i="18" s="1"/>
  <c r="CY25" i="18"/>
  <c r="CV25" i="18"/>
  <c r="CW25" i="18" s="1"/>
  <c r="CV61" i="18"/>
  <c r="CW61" i="18" s="1"/>
  <c r="CY61" i="18"/>
  <c r="CY16" i="18"/>
  <c r="CV16" i="18"/>
  <c r="CW16" i="18" s="1"/>
  <c r="CY50" i="18"/>
  <c r="CV50" i="18"/>
  <c r="CW50" i="18" s="1"/>
  <c r="CY44" i="18"/>
  <c r="CV44" i="18"/>
  <c r="CW44" i="18" s="1"/>
  <c r="CY33" i="18"/>
  <c r="CV33" i="18"/>
  <c r="CW33" i="18" s="1"/>
  <c r="CY30" i="18"/>
  <c r="CX30" i="18"/>
  <c r="CX11" i="18"/>
  <c r="CY11" i="18"/>
  <c r="CV60" i="18"/>
  <c r="CW60" i="18" s="1"/>
  <c r="CY60" i="18"/>
  <c r="CY51" i="18"/>
  <c r="CV51" i="18"/>
  <c r="CW51" i="18" s="1"/>
  <c r="CY9" i="18"/>
  <c r="CY94" i="18" s="1"/>
  <c r="CX9" i="18"/>
  <c r="CX94" i="18" s="1"/>
  <c r="CY39" i="18"/>
  <c r="CX39" i="18"/>
  <c r="CX38" i="18"/>
  <c r="CY38" i="18"/>
  <c r="CY10" i="18"/>
  <c r="CX10" i="18"/>
  <c r="CY64" i="18"/>
  <c r="CV64" i="18"/>
  <c r="CW64" i="18" s="1"/>
  <c r="CY31" i="18"/>
  <c r="CV31" i="18"/>
  <c r="CW31" i="18" s="1"/>
  <c r="CY32" i="18"/>
  <c r="CV32" i="18"/>
  <c r="CW32" i="18" s="1"/>
  <c r="CV69" i="18"/>
  <c r="CW69" i="18" s="1"/>
  <c r="CY69" i="18"/>
  <c r="CV27" i="18"/>
  <c r="CW27" i="18" s="1"/>
  <c r="CY27" i="18"/>
  <c r="CV43" i="18"/>
  <c r="CW43" i="18" s="1"/>
  <c r="CY43" i="18"/>
  <c r="CV21" i="18"/>
  <c r="CW21" i="18" s="1"/>
  <c r="CY21" i="18"/>
  <c r="CY63" i="18"/>
  <c r="CV63" i="18"/>
  <c r="CW63" i="18" s="1"/>
  <c r="CY49" i="18"/>
  <c r="CV49" i="18"/>
  <c r="CW49" i="18" s="1"/>
  <c r="CY20" i="18"/>
  <c r="CV20" i="18"/>
  <c r="CW20" i="18" s="1"/>
  <c r="CV47" i="18"/>
  <c r="CW47" i="18" s="1"/>
  <c r="CY47" i="18"/>
  <c r="CV81" i="18"/>
  <c r="CW81" i="18" s="1"/>
  <c r="CY81" i="18"/>
  <c r="CV68" i="18"/>
  <c r="CW68" i="18" s="1"/>
  <c r="CY68" i="18"/>
  <c r="CV22" i="18"/>
  <c r="CW22" i="18" s="1"/>
  <c r="CY22" i="18"/>
  <c r="CV19" i="18"/>
  <c r="CW19" i="18" s="1"/>
  <c r="CY19" i="18"/>
  <c r="CY66" i="18"/>
  <c r="CV66" i="18"/>
  <c r="CW66" i="18" s="1"/>
  <c r="CY18" i="18"/>
  <c r="CV18" i="18"/>
  <c r="CW18" i="18" s="1"/>
  <c r="CY29" i="18"/>
  <c r="CV29" i="18"/>
  <c r="CW29" i="18" s="1"/>
  <c r="CY52" i="18"/>
  <c r="CV52" i="18"/>
  <c r="CW52" i="18" s="1"/>
  <c r="CY17" i="18"/>
  <c r="CV17" i="18"/>
  <c r="CW17" i="18" s="1"/>
  <c r="BH58" i="11" l="1"/>
  <c r="BI58" i="11"/>
  <c r="BJ58" i="11" s="1"/>
  <c r="BM58" i="11" s="1"/>
  <c r="AZ130" i="11"/>
  <c r="BG130" i="11" s="1"/>
  <c r="S42" i="11"/>
  <c r="AZ42" i="11"/>
  <c r="BB38" i="11"/>
  <c r="S38" i="11"/>
  <c r="S34" i="11"/>
  <c r="BB34" i="11"/>
  <c r="BG34" i="11" s="1"/>
  <c r="S23" i="11"/>
  <c r="S24" i="11"/>
  <c r="AX21" i="11"/>
  <c r="AX22" i="11"/>
  <c r="AX23" i="11"/>
  <c r="AX27" i="11"/>
  <c r="AX28" i="11"/>
  <c r="AZ21" i="11"/>
  <c r="AZ26" i="11"/>
  <c r="BB21" i="11"/>
  <c r="BB22" i="11"/>
  <c r="BB24" i="11"/>
  <c r="BB27" i="11"/>
  <c r="BB28" i="11"/>
  <c r="BB31" i="11"/>
  <c r="I26" i="11"/>
  <c r="BG33" i="11"/>
  <c r="BH33" i="11"/>
  <c r="BI33" i="11"/>
  <c r="BG39" i="11"/>
  <c r="BH39" i="11"/>
  <c r="BI39" i="11"/>
  <c r="BG40" i="11"/>
  <c r="BH40" i="11"/>
  <c r="BI40" i="11"/>
  <c r="BG75" i="11"/>
  <c r="BH75" i="11"/>
  <c r="BI75" i="11"/>
  <c r="BG76" i="11"/>
  <c r="BH76" i="11"/>
  <c r="BI76" i="11"/>
  <c r="BG99" i="11"/>
  <c r="BH99" i="11"/>
  <c r="BI99" i="11"/>
  <c r="BG100" i="11"/>
  <c r="BH100" i="11"/>
  <c r="BI100" i="11"/>
  <c r="BG101" i="11"/>
  <c r="BH101" i="11"/>
  <c r="BI101" i="11"/>
  <c r="BG102" i="11"/>
  <c r="BH102" i="11"/>
  <c r="BI102" i="11"/>
  <c r="BG103" i="11"/>
  <c r="BH103" i="11"/>
  <c r="BI103" i="11"/>
  <c r="BG104" i="11"/>
  <c r="BH104" i="11"/>
  <c r="BI104" i="11"/>
  <c r="BG105" i="11"/>
  <c r="BH105" i="11"/>
  <c r="BI105" i="11"/>
  <c r="BG106" i="11"/>
  <c r="BH106" i="11"/>
  <c r="BI106" i="11"/>
  <c r="BG107" i="11"/>
  <c r="BH107" i="11"/>
  <c r="BI107" i="11"/>
  <c r="BG108" i="11"/>
  <c r="BH108" i="11"/>
  <c r="BI108" i="11"/>
  <c r="BG109" i="11"/>
  <c r="BH109" i="11"/>
  <c r="BI109" i="11"/>
  <c r="BG110" i="11"/>
  <c r="BH110" i="11"/>
  <c r="BI110" i="11"/>
  <c r="BG111" i="11"/>
  <c r="BH111" i="11"/>
  <c r="BI111" i="11"/>
  <c r="BG112" i="11"/>
  <c r="BH112" i="11"/>
  <c r="BI112" i="11"/>
  <c r="BG113" i="11"/>
  <c r="BH113" i="11"/>
  <c r="BI113" i="11"/>
  <c r="BG114" i="11"/>
  <c r="BH114" i="11"/>
  <c r="BI114" i="11"/>
  <c r="BG115" i="11"/>
  <c r="BH115" i="11"/>
  <c r="BI115" i="11"/>
  <c r="BJ115" i="11" s="1"/>
  <c r="BG116" i="11"/>
  <c r="BH116" i="11"/>
  <c r="BI116" i="11"/>
  <c r="BG117" i="11"/>
  <c r="BH117" i="11"/>
  <c r="BI117" i="11"/>
  <c r="BG118" i="11"/>
  <c r="BH118" i="11"/>
  <c r="BI118" i="11"/>
  <c r="BG119" i="11"/>
  <c r="BH119" i="11"/>
  <c r="BI119" i="11"/>
  <c r="BJ119" i="11" s="1"/>
  <c r="BG120" i="11"/>
  <c r="BH120" i="11"/>
  <c r="BI120" i="11"/>
  <c r="BG121" i="11"/>
  <c r="BH121" i="11"/>
  <c r="BI121" i="11"/>
  <c r="BG122" i="11"/>
  <c r="BH122" i="11"/>
  <c r="BI122" i="11"/>
  <c r="BG123" i="11"/>
  <c r="BH123" i="11"/>
  <c r="BI123" i="11"/>
  <c r="BG124" i="11"/>
  <c r="BH124" i="11"/>
  <c r="BI124" i="11"/>
  <c r="BG125" i="11"/>
  <c r="BH125" i="11"/>
  <c r="BI125" i="11"/>
  <c r="BG126" i="11"/>
  <c r="BH126" i="11"/>
  <c r="BI126" i="11"/>
  <c r="BG127" i="11"/>
  <c r="BH127" i="11"/>
  <c r="BI127" i="11"/>
  <c r="BG129" i="11"/>
  <c r="BH129" i="11"/>
  <c r="BI129" i="11"/>
  <c r="BG131" i="11"/>
  <c r="BH131" i="11"/>
  <c r="BI131" i="11"/>
  <c r="BG132" i="11"/>
  <c r="BH132" i="11"/>
  <c r="BI132" i="11"/>
  <c r="BG133" i="11"/>
  <c r="BH133" i="11"/>
  <c r="BI133" i="11"/>
  <c r="BG134" i="11"/>
  <c r="BH134" i="11"/>
  <c r="BI134" i="11"/>
  <c r="BG138" i="11"/>
  <c r="BH138" i="11"/>
  <c r="BI138" i="11"/>
  <c r="BJ138" i="11" s="1"/>
  <c r="BG140" i="11"/>
  <c r="BH140" i="11"/>
  <c r="BI140" i="11"/>
  <c r="BG141" i="11"/>
  <c r="BH141" i="11"/>
  <c r="BI141" i="11"/>
  <c r="BJ141" i="11" s="1"/>
  <c r="BG142" i="11"/>
  <c r="BH142" i="11"/>
  <c r="BI142" i="11"/>
  <c r="BG143" i="11"/>
  <c r="BH143" i="11"/>
  <c r="BI143" i="11"/>
  <c r="BG144" i="11"/>
  <c r="BH144" i="11"/>
  <c r="BI144" i="11"/>
  <c r="BG145" i="11"/>
  <c r="BH145" i="11"/>
  <c r="BI145" i="11"/>
  <c r="BJ145" i="11" s="1"/>
  <c r="BG146" i="11"/>
  <c r="BH146" i="11"/>
  <c r="BI146" i="11"/>
  <c r="BG147" i="11"/>
  <c r="BH147" i="11"/>
  <c r="BI147" i="11"/>
  <c r="BG148" i="11"/>
  <c r="BH148" i="11"/>
  <c r="BI148" i="11"/>
  <c r="BG149" i="11"/>
  <c r="BH149" i="11"/>
  <c r="BI149" i="11"/>
  <c r="BG13" i="11"/>
  <c r="BH13" i="11"/>
  <c r="BI13" i="11"/>
  <c r="BG14" i="11"/>
  <c r="BH14" i="11"/>
  <c r="BI14" i="11"/>
  <c r="BG15" i="11"/>
  <c r="BH15" i="11"/>
  <c r="BI15" i="11"/>
  <c r="BG17" i="11"/>
  <c r="BH17" i="11"/>
  <c r="BI17" i="11"/>
  <c r="BG18" i="11"/>
  <c r="BH18" i="11"/>
  <c r="BI18" i="11"/>
  <c r="BG19" i="11"/>
  <c r="BH19" i="11"/>
  <c r="BI19" i="11"/>
  <c r="BJ195" i="17"/>
  <c r="BK195" i="17"/>
  <c r="BL195" i="17"/>
  <c r="BL202" i="17"/>
  <c r="BK202" i="17"/>
  <c r="BJ202" i="17"/>
  <c r="BL201" i="17"/>
  <c r="BK201" i="17"/>
  <c r="BJ201" i="17"/>
  <c r="BL200" i="17"/>
  <c r="BK200" i="17"/>
  <c r="BJ200" i="17"/>
  <c r="BL199" i="17"/>
  <c r="BK199" i="17"/>
  <c r="BJ199" i="17"/>
  <c r="BL198" i="17"/>
  <c r="BK198" i="17"/>
  <c r="BJ198" i="17"/>
  <c r="BL197" i="17"/>
  <c r="BK197" i="17"/>
  <c r="BJ197" i="17"/>
  <c r="BL196" i="17"/>
  <c r="BK196" i="17"/>
  <c r="BJ196" i="17"/>
  <c r="BL194" i="17"/>
  <c r="BK194" i="17"/>
  <c r="BJ194" i="17"/>
  <c r="BL193" i="17"/>
  <c r="BK193" i="17"/>
  <c r="BJ193" i="17"/>
  <c r="BL192" i="17"/>
  <c r="BK192" i="17"/>
  <c r="BJ192" i="17"/>
  <c r="BL191" i="17"/>
  <c r="BK191" i="17"/>
  <c r="BJ191" i="17"/>
  <c r="BL190" i="17"/>
  <c r="BK190" i="17"/>
  <c r="BJ190" i="17"/>
  <c r="BL189" i="17"/>
  <c r="BK189" i="17"/>
  <c r="BJ189" i="17"/>
  <c r="BL188" i="17"/>
  <c r="BK188" i="17"/>
  <c r="BJ188" i="17"/>
  <c r="BL187" i="17"/>
  <c r="BK187" i="17"/>
  <c r="BJ187" i="17"/>
  <c r="BL186" i="17"/>
  <c r="BK186" i="17"/>
  <c r="BJ186" i="17"/>
  <c r="BL185" i="17"/>
  <c r="BK185" i="17"/>
  <c r="BJ185" i="17"/>
  <c r="K184" i="17"/>
  <c r="I184" i="17"/>
  <c r="G184" i="17"/>
  <c r="BL183" i="17"/>
  <c r="BK183" i="17"/>
  <c r="BJ183" i="17"/>
  <c r="O182" i="17"/>
  <c r="M182" i="17"/>
  <c r="K182" i="17"/>
  <c r="I182" i="17"/>
  <c r="G182" i="17"/>
  <c r="BL181" i="17"/>
  <c r="BK181" i="17"/>
  <c r="BJ181" i="17"/>
  <c r="O180" i="17"/>
  <c r="M180" i="17"/>
  <c r="K180" i="17"/>
  <c r="O179" i="17"/>
  <c r="M179" i="17"/>
  <c r="I179" i="17"/>
  <c r="G179" i="17"/>
  <c r="O178" i="17"/>
  <c r="M178" i="17"/>
  <c r="G178" i="17"/>
  <c r="AG177" i="17"/>
  <c r="I177" i="17"/>
  <c r="G177" i="17"/>
  <c r="O176" i="17"/>
  <c r="M176" i="17"/>
  <c r="I176" i="17"/>
  <c r="G176" i="17"/>
  <c r="AG175" i="17"/>
  <c r="O175" i="17"/>
  <c r="M175" i="17"/>
  <c r="AG174" i="17"/>
  <c r="O174" i="17"/>
  <c r="M174" i="17"/>
  <c r="I174" i="17"/>
  <c r="G174" i="17"/>
  <c r="O173" i="17"/>
  <c r="M173" i="17"/>
  <c r="G173" i="17"/>
  <c r="AI172" i="17"/>
  <c r="AG172" i="17"/>
  <c r="O172" i="17"/>
  <c r="M172" i="17"/>
  <c r="BL171" i="17"/>
  <c r="BK171" i="17"/>
  <c r="BJ171" i="17"/>
  <c r="AE170" i="17"/>
  <c r="AC170" i="17"/>
  <c r="AA170" i="17"/>
  <c r="Y170" i="17"/>
  <c r="BL169" i="17"/>
  <c r="BK169" i="17"/>
  <c r="BJ169" i="17"/>
  <c r="BL168" i="17"/>
  <c r="BK168" i="17"/>
  <c r="BJ168" i="17"/>
  <c r="BL167" i="17"/>
  <c r="BK167" i="17"/>
  <c r="BJ167" i="17"/>
  <c r="BL166" i="17"/>
  <c r="BK166" i="17"/>
  <c r="BJ166" i="17"/>
  <c r="BL165" i="17"/>
  <c r="BK165" i="17"/>
  <c r="BJ165" i="17"/>
  <c r="BL164" i="17"/>
  <c r="BK164" i="17"/>
  <c r="BJ164" i="17"/>
  <c r="BL163" i="17"/>
  <c r="BK163" i="17"/>
  <c r="BJ163" i="17"/>
  <c r="BL162" i="17"/>
  <c r="BK162" i="17"/>
  <c r="BJ162" i="17"/>
  <c r="BL161" i="17"/>
  <c r="BK161" i="17"/>
  <c r="BJ161" i="17"/>
  <c r="BL160" i="17"/>
  <c r="BK160" i="17"/>
  <c r="BJ160" i="17"/>
  <c r="BL159" i="17"/>
  <c r="BK159" i="17"/>
  <c r="BJ159" i="17"/>
  <c r="BL158" i="17"/>
  <c r="BK158" i="17"/>
  <c r="BJ158" i="17"/>
  <c r="BL157" i="17"/>
  <c r="BK157" i="17"/>
  <c r="BJ157" i="17"/>
  <c r="BL156" i="17"/>
  <c r="BK156" i="17"/>
  <c r="BJ156" i="17"/>
  <c r="BL155" i="17"/>
  <c r="BK155" i="17"/>
  <c r="BJ155" i="17"/>
  <c r="BL154" i="17"/>
  <c r="BK154" i="17"/>
  <c r="BJ154" i="17"/>
  <c r="BL153" i="17"/>
  <c r="BK153" i="17"/>
  <c r="BJ153" i="17"/>
  <c r="BL152" i="17"/>
  <c r="BK152" i="17"/>
  <c r="BJ152" i="17"/>
  <c r="BL151" i="17"/>
  <c r="BK151" i="17"/>
  <c r="BJ151" i="17"/>
  <c r="BL150" i="17"/>
  <c r="BK150" i="17"/>
  <c r="BJ150" i="17"/>
  <c r="BL149" i="17"/>
  <c r="BK149" i="17"/>
  <c r="BJ149" i="17"/>
  <c r="BL148" i="17"/>
  <c r="BK148" i="17"/>
  <c r="BJ148" i="17"/>
  <c r="BL147" i="17"/>
  <c r="BK147" i="17"/>
  <c r="BJ147" i="17"/>
  <c r="BL146" i="17"/>
  <c r="BK146" i="17"/>
  <c r="BJ146" i="17"/>
  <c r="BL145" i="17"/>
  <c r="BK145" i="17"/>
  <c r="BJ145" i="17"/>
  <c r="W144" i="17"/>
  <c r="U144" i="17"/>
  <c r="S144" i="17"/>
  <c r="Q144" i="17"/>
  <c r="BL143" i="17"/>
  <c r="BK143" i="17"/>
  <c r="BJ143" i="17"/>
  <c r="BL142" i="17"/>
  <c r="BK142" i="17"/>
  <c r="BJ142" i="17"/>
  <c r="BL141" i="17"/>
  <c r="BK141" i="17"/>
  <c r="BJ141" i="17"/>
  <c r="BL140" i="17"/>
  <c r="BK140" i="17"/>
  <c r="BJ140" i="17"/>
  <c r="BL139" i="17"/>
  <c r="BK139" i="17"/>
  <c r="BJ139" i="17"/>
  <c r="AP138" i="17"/>
  <c r="AP137" i="17"/>
  <c r="AP136" i="17"/>
  <c r="AP135" i="17"/>
  <c r="BL134" i="17"/>
  <c r="BK134" i="17"/>
  <c r="BJ134" i="17"/>
  <c r="BL133" i="17"/>
  <c r="BK133" i="17"/>
  <c r="BJ133" i="17"/>
  <c r="BG132" i="17"/>
  <c r="BD132" i="17"/>
  <c r="BL131" i="17"/>
  <c r="BK131" i="17"/>
  <c r="BJ131" i="17"/>
  <c r="BL130" i="17"/>
  <c r="BK130" i="17"/>
  <c r="BJ130" i="17"/>
  <c r="BL129" i="17"/>
  <c r="BK129" i="17"/>
  <c r="BJ129" i="17"/>
  <c r="BL128" i="17"/>
  <c r="BK128" i="17"/>
  <c r="BJ128" i="17"/>
  <c r="Q127" i="17"/>
  <c r="I127" i="17"/>
  <c r="G127" i="17"/>
  <c r="Q126" i="17"/>
  <c r="I126" i="17"/>
  <c r="G126" i="17"/>
  <c r="Q125" i="17"/>
  <c r="I125" i="17"/>
  <c r="G125" i="17"/>
  <c r="Q124" i="17"/>
  <c r="I124" i="17"/>
  <c r="G124" i="17"/>
  <c r="Q123" i="17"/>
  <c r="I123" i="17"/>
  <c r="G123" i="17"/>
  <c r="Q122" i="17"/>
  <c r="I122" i="17"/>
  <c r="G122" i="17"/>
  <c r="Q121" i="17"/>
  <c r="I121" i="17"/>
  <c r="G121" i="17"/>
  <c r="BL120" i="17"/>
  <c r="BK120" i="17"/>
  <c r="BJ120" i="17"/>
  <c r="Q119" i="17"/>
  <c r="I119" i="17"/>
  <c r="G119" i="17"/>
  <c r="Q118" i="17"/>
  <c r="I118" i="17"/>
  <c r="G118" i="17"/>
  <c r="O117" i="17"/>
  <c r="M117" i="17"/>
  <c r="I117" i="17"/>
  <c r="G117" i="17"/>
  <c r="O116" i="17"/>
  <c r="M116" i="17"/>
  <c r="I116" i="17"/>
  <c r="G116" i="17"/>
  <c r="BL115" i="17"/>
  <c r="BK115" i="17"/>
  <c r="BJ115" i="17"/>
  <c r="BL114" i="17"/>
  <c r="BK114" i="17"/>
  <c r="BJ114" i="17"/>
  <c r="BL113" i="17"/>
  <c r="BK113" i="17"/>
  <c r="BJ113" i="17"/>
  <c r="AP112" i="17"/>
  <c r="AP111" i="17"/>
  <c r="BL110" i="17"/>
  <c r="BK110" i="17"/>
  <c r="BJ110" i="17"/>
  <c r="BL109" i="17"/>
  <c r="BK109" i="17"/>
  <c r="BJ109" i="17"/>
  <c r="BL108" i="17"/>
  <c r="BK108" i="17"/>
  <c r="BJ108" i="17"/>
  <c r="BL107" i="17"/>
  <c r="BK107" i="17"/>
  <c r="BJ107" i="17"/>
  <c r="BL106" i="17"/>
  <c r="BK106" i="17"/>
  <c r="BJ106" i="17"/>
  <c r="BL105" i="17"/>
  <c r="BK105" i="17"/>
  <c r="BJ105" i="17"/>
  <c r="BL104" i="17"/>
  <c r="BK104" i="17"/>
  <c r="BJ104" i="17"/>
  <c r="BL103" i="17"/>
  <c r="BK103" i="17"/>
  <c r="BJ103" i="17"/>
  <c r="BL102" i="17"/>
  <c r="BK102" i="17"/>
  <c r="BJ102" i="17"/>
  <c r="BL101" i="17"/>
  <c r="BK101" i="17"/>
  <c r="BJ101" i="17"/>
  <c r="BL100" i="17"/>
  <c r="BK100" i="17"/>
  <c r="BJ100" i="17"/>
  <c r="BL99" i="17"/>
  <c r="BK99" i="17"/>
  <c r="BJ99" i="17"/>
  <c r="O98" i="17"/>
  <c r="M98" i="17"/>
  <c r="K98" i="17"/>
  <c r="K97" i="17"/>
  <c r="I97" i="17"/>
  <c r="G97" i="17"/>
  <c r="BL96" i="17"/>
  <c r="BK96" i="17"/>
  <c r="BJ96" i="17"/>
  <c r="BL95" i="17"/>
  <c r="BK95" i="17"/>
  <c r="BJ95" i="17"/>
  <c r="BL94" i="17"/>
  <c r="BK94" i="17"/>
  <c r="BJ94" i="17"/>
  <c r="O93" i="17"/>
  <c r="M93" i="17"/>
  <c r="K93" i="17"/>
  <c r="O92" i="17"/>
  <c r="M92" i="17"/>
  <c r="K92" i="17"/>
  <c r="O91" i="17"/>
  <c r="M91" i="17"/>
  <c r="K91" i="17"/>
  <c r="O90" i="17"/>
  <c r="M90" i="17"/>
  <c r="AM89" i="17"/>
  <c r="O89" i="17"/>
  <c r="M89" i="17"/>
  <c r="K89" i="17"/>
  <c r="BL88" i="17"/>
  <c r="BK88" i="17"/>
  <c r="BJ88" i="17"/>
  <c r="BL87" i="17"/>
  <c r="BK87" i="17"/>
  <c r="BJ87" i="17"/>
  <c r="AK86" i="17"/>
  <c r="BL85" i="17"/>
  <c r="BK85" i="17"/>
  <c r="BJ85" i="17"/>
  <c r="BL84" i="17"/>
  <c r="BK84" i="17"/>
  <c r="BJ84" i="17"/>
  <c r="AK83" i="17"/>
  <c r="AK82" i="17"/>
  <c r="BL81" i="17"/>
  <c r="BK81" i="17"/>
  <c r="BJ81" i="17"/>
  <c r="O80" i="17"/>
  <c r="M80" i="17"/>
  <c r="K80" i="17"/>
  <c r="M79" i="17"/>
  <c r="AK78" i="17"/>
  <c r="O78" i="17"/>
  <c r="M78" i="17"/>
  <c r="K78" i="17"/>
  <c r="AK77" i="17"/>
  <c r="M77" i="17"/>
  <c r="O76" i="17"/>
  <c r="M76" i="17"/>
  <c r="K76" i="17"/>
  <c r="AK75" i="17"/>
  <c r="AK74" i="17"/>
  <c r="BL73" i="17"/>
  <c r="BK73" i="17"/>
  <c r="BJ73" i="17"/>
  <c r="AK72" i="17"/>
  <c r="O72" i="17"/>
  <c r="M72" i="17"/>
  <c r="K72" i="17"/>
  <c r="I72" i="17"/>
  <c r="G72" i="17"/>
  <c r="AK71" i="17"/>
  <c r="K71" i="17"/>
  <c r="O70" i="17"/>
  <c r="M70" i="17"/>
  <c r="K70" i="17"/>
  <c r="O69" i="17"/>
  <c r="M69" i="17"/>
  <c r="K69" i="17"/>
  <c r="O68" i="17"/>
  <c r="M68" i="17"/>
  <c r="K68" i="17"/>
  <c r="O67" i="17"/>
  <c r="M67" i="17"/>
  <c r="K67" i="17"/>
  <c r="BL66" i="17"/>
  <c r="BK66" i="17"/>
  <c r="BJ66" i="17"/>
  <c r="AK65" i="17"/>
  <c r="BL64" i="17"/>
  <c r="BK64" i="17"/>
  <c r="BJ64" i="17"/>
  <c r="AK63" i="17"/>
  <c r="AK62" i="17"/>
  <c r="AK61" i="17"/>
  <c r="AK60" i="17"/>
  <c r="O60" i="17"/>
  <c r="M60" i="17"/>
  <c r="K60" i="17"/>
  <c r="AK59" i="17"/>
  <c r="BL58" i="17"/>
  <c r="BK58" i="17"/>
  <c r="BJ58" i="17"/>
  <c r="O57" i="17"/>
  <c r="M57" i="17"/>
  <c r="K57" i="17"/>
  <c r="I57" i="17"/>
  <c r="G57" i="17"/>
  <c r="O56" i="17"/>
  <c r="M56" i="17"/>
  <c r="K56" i="17"/>
  <c r="K55" i="17"/>
  <c r="I55" i="17"/>
  <c r="G55" i="17"/>
  <c r="K54" i="17"/>
  <c r="I54" i="17"/>
  <c r="G54" i="17"/>
  <c r="O53" i="17"/>
  <c r="M53" i="17"/>
  <c r="K53" i="17"/>
  <c r="BL52" i="17"/>
  <c r="BK52" i="17"/>
  <c r="BJ52" i="17"/>
  <c r="BL51" i="17"/>
  <c r="BK51" i="17"/>
  <c r="BJ51" i="17"/>
  <c r="BL50" i="17"/>
  <c r="BK50" i="17"/>
  <c r="BJ50" i="17"/>
  <c r="BL49" i="17"/>
  <c r="BK49" i="17"/>
  <c r="BJ49" i="17"/>
  <c r="O48" i="17"/>
  <c r="M48" i="17"/>
  <c r="I48" i="17"/>
  <c r="G48" i="17"/>
  <c r="BL47" i="17"/>
  <c r="BK47" i="17"/>
  <c r="BJ47" i="17"/>
  <c r="BL46" i="17"/>
  <c r="BK46" i="17"/>
  <c r="BJ46" i="17"/>
  <c r="BL45" i="17"/>
  <c r="BK45" i="17"/>
  <c r="BJ45" i="17"/>
  <c r="BL44" i="17"/>
  <c r="BK44" i="17"/>
  <c r="BJ44" i="17"/>
  <c r="AN43" i="17"/>
  <c r="AK43" i="17"/>
  <c r="BL43" i="17" s="1"/>
  <c r="BL42" i="17"/>
  <c r="BK42" i="17"/>
  <c r="BJ42" i="17"/>
  <c r="BL41" i="17"/>
  <c r="BK41" i="17"/>
  <c r="BJ41" i="17"/>
  <c r="BL40" i="17"/>
  <c r="BK40" i="17"/>
  <c r="BJ40" i="17"/>
  <c r="BL39" i="17"/>
  <c r="BK39" i="17"/>
  <c r="BJ39" i="17"/>
  <c r="BL38" i="17"/>
  <c r="BK38" i="17"/>
  <c r="BJ38" i="17"/>
  <c r="BL37" i="17"/>
  <c r="BK37" i="17"/>
  <c r="BJ37" i="17"/>
  <c r="BL36" i="17"/>
  <c r="BK36" i="17"/>
  <c r="BJ36" i="17"/>
  <c r="BL35" i="17"/>
  <c r="BK35" i="17"/>
  <c r="BJ35" i="17"/>
  <c r="BL34" i="17"/>
  <c r="BK34" i="17"/>
  <c r="BJ34" i="17"/>
  <c r="BL33" i="17"/>
  <c r="BK33" i="17"/>
  <c r="BJ33" i="17"/>
  <c r="AN32" i="17"/>
  <c r="BL31" i="17"/>
  <c r="BK31" i="17"/>
  <c r="BJ31" i="17"/>
  <c r="AO30" i="17"/>
  <c r="BL29" i="17"/>
  <c r="BK29" i="17"/>
  <c r="BJ29" i="17"/>
  <c r="BL28" i="17"/>
  <c r="BK28" i="17"/>
  <c r="BJ28" i="17"/>
  <c r="AP27" i="17"/>
  <c r="BL26" i="17"/>
  <c r="BK26" i="17"/>
  <c r="BJ26" i="17"/>
  <c r="BL25" i="17"/>
  <c r="BK25" i="17"/>
  <c r="BJ25" i="17"/>
  <c r="BL24" i="17"/>
  <c r="BK24" i="17"/>
  <c r="BJ24" i="17"/>
  <c r="BL23" i="17"/>
  <c r="BK23" i="17"/>
  <c r="BJ23" i="17"/>
  <c r="BL22" i="17"/>
  <c r="BK22" i="17"/>
  <c r="BJ22" i="17"/>
  <c r="BL21" i="17"/>
  <c r="BK21" i="17"/>
  <c r="BJ21" i="17"/>
  <c r="BL20" i="17"/>
  <c r="BK20" i="17"/>
  <c r="BJ20" i="17"/>
  <c r="BL19" i="17"/>
  <c r="BK19" i="17"/>
  <c r="BJ19" i="17"/>
  <c r="BL18" i="17"/>
  <c r="BK18" i="17"/>
  <c r="BJ18" i="17"/>
  <c r="BL17" i="17"/>
  <c r="BK17" i="17"/>
  <c r="BJ17" i="17"/>
  <c r="BL16" i="17"/>
  <c r="BK16" i="17"/>
  <c r="BJ16" i="17"/>
  <c r="BL15" i="17"/>
  <c r="BK15" i="17"/>
  <c r="BJ15" i="17"/>
  <c r="BL14" i="17"/>
  <c r="BK14" i="17"/>
  <c r="BJ14" i="17"/>
  <c r="BL13" i="17"/>
  <c r="BK13" i="17"/>
  <c r="BJ13" i="17"/>
  <c r="AN12" i="17"/>
  <c r="BL11" i="17"/>
  <c r="BK11" i="17"/>
  <c r="BJ11" i="17"/>
  <c r="BL10" i="17"/>
  <c r="BK10" i="17"/>
  <c r="BJ10" i="17"/>
  <c r="BL9" i="17"/>
  <c r="BK9" i="17"/>
  <c r="BJ9" i="17"/>
  <c r="BL8" i="17"/>
  <c r="BK8" i="17"/>
  <c r="BJ8" i="17"/>
  <c r="AW7" i="17"/>
  <c r="AX7" i="17" s="1"/>
  <c r="AT6" i="17"/>
  <c r="AU6" i="17" s="1"/>
  <c r="BL5" i="17"/>
  <c r="BK5" i="17"/>
  <c r="BJ5" i="17"/>
  <c r="BJ117" i="11" l="1"/>
  <c r="BJ144" i="11"/>
  <c r="BJ127" i="11"/>
  <c r="BJ132" i="11"/>
  <c r="BJ118" i="11"/>
  <c r="BJ114" i="11"/>
  <c r="BJ148" i="11"/>
  <c r="BJ120" i="11"/>
  <c r="BJ106" i="11"/>
  <c r="BJ147" i="11"/>
  <c r="BJ135" i="11"/>
  <c r="BI22" i="11"/>
  <c r="BJ129" i="11"/>
  <c r="BJ124" i="11"/>
  <c r="BG24" i="11"/>
  <c r="BJ112" i="11"/>
  <c r="BJ108" i="11"/>
  <c r="BJ104" i="11"/>
  <c r="BJ100" i="11"/>
  <c r="BJ40" i="11"/>
  <c r="BK58" i="11"/>
  <c r="BN58" i="11"/>
  <c r="BJ105" i="11"/>
  <c r="BJ133" i="11"/>
  <c r="BG58" i="11"/>
  <c r="BJ126" i="11"/>
  <c r="BJ111" i="11"/>
  <c r="BJ107" i="11"/>
  <c r="BJ123" i="11"/>
  <c r="BH21" i="11"/>
  <c r="BJ143" i="11"/>
  <c r="BJ103" i="11"/>
  <c r="BJ99" i="11"/>
  <c r="BJ39" i="11"/>
  <c r="BI21" i="11"/>
  <c r="BJ125" i="11"/>
  <c r="BJ109" i="11"/>
  <c r="BJ121" i="11"/>
  <c r="BJ102" i="11"/>
  <c r="BJ76" i="11"/>
  <c r="BJ149" i="11"/>
  <c r="BM149" i="11" s="1"/>
  <c r="BN149" i="11" s="1"/>
  <c r="BG23" i="11"/>
  <c r="BJ140" i="11"/>
  <c r="BJ116" i="11"/>
  <c r="BG22" i="11"/>
  <c r="BI34" i="11"/>
  <c r="BH34" i="11"/>
  <c r="BJ139" i="11"/>
  <c r="BJ131" i="11"/>
  <c r="BH22" i="11"/>
  <c r="BJ146" i="11"/>
  <c r="BJ101" i="11"/>
  <c r="BJ75" i="11"/>
  <c r="BJ136" i="11"/>
  <c r="BJ142" i="11"/>
  <c r="BJ134" i="11"/>
  <c r="BJ110" i="11"/>
  <c r="BG21" i="11"/>
  <c r="BI130" i="11"/>
  <c r="BJ113" i="11"/>
  <c r="BI23" i="11"/>
  <c r="BJ33" i="11"/>
  <c r="BH23" i="11"/>
  <c r="BJ122" i="11"/>
  <c r="BH130" i="11"/>
  <c r="BI24" i="11"/>
  <c r="BH24" i="11"/>
  <c r="BJ112" i="17"/>
  <c r="BJ111" i="17"/>
  <c r="BK43" i="17"/>
  <c r="BM43" i="17" s="1"/>
  <c r="BN43" i="17" s="1"/>
  <c r="BJ43" i="17"/>
  <c r="BM5" i="17"/>
  <c r="BN5" i="17" s="1"/>
  <c r="BM114" i="17"/>
  <c r="BP114" i="17" s="1"/>
  <c r="BM24" i="17"/>
  <c r="BM131" i="17"/>
  <c r="BP131" i="17" s="1"/>
  <c r="BM49" i="17"/>
  <c r="BN49" i="17" s="1"/>
  <c r="BM41" i="17"/>
  <c r="BN41" i="17" s="1"/>
  <c r="BM39" i="17"/>
  <c r="BN39" i="17" s="1"/>
  <c r="BM37" i="17"/>
  <c r="BM36" i="17"/>
  <c r="BN36" i="17" s="1"/>
  <c r="BM29" i="17"/>
  <c r="BN29" i="17" s="1"/>
  <c r="BM26" i="17"/>
  <c r="BM23" i="17"/>
  <c r="BN23" i="17" s="1"/>
  <c r="BM22" i="17"/>
  <c r="BN22" i="17" s="1"/>
  <c r="BM17" i="17"/>
  <c r="BN17" i="17" s="1"/>
  <c r="BM15" i="17"/>
  <c r="BN15" i="17" s="1"/>
  <c r="BM11" i="17"/>
  <c r="BN11" i="17" s="1"/>
  <c r="BM202" i="17"/>
  <c r="BP202" i="17" s="1"/>
  <c r="BQ202" i="17" s="1"/>
  <c r="BM201" i="17"/>
  <c r="BP201" i="17" s="1"/>
  <c r="BM200" i="17"/>
  <c r="BP200" i="17" s="1"/>
  <c r="BQ200" i="17" s="1"/>
  <c r="BM199" i="17"/>
  <c r="BP199" i="17" s="1"/>
  <c r="BM198" i="17"/>
  <c r="BP198" i="17" s="1"/>
  <c r="BM197" i="17"/>
  <c r="BP197" i="17" s="1"/>
  <c r="BM196" i="17"/>
  <c r="BP196" i="17" s="1"/>
  <c r="BM195" i="17"/>
  <c r="BP195" i="17" s="1"/>
  <c r="BN195" i="17" s="1"/>
  <c r="BM194" i="17"/>
  <c r="BP194" i="17" s="1"/>
  <c r="BN194" i="17" s="1"/>
  <c r="BM193" i="17"/>
  <c r="BP193" i="17" s="1"/>
  <c r="BN193" i="17" s="1"/>
  <c r="BM192" i="17"/>
  <c r="BP192" i="17" s="1"/>
  <c r="BN192" i="17" s="1"/>
  <c r="BM191" i="17"/>
  <c r="BP191" i="17" s="1"/>
  <c r="BM190" i="17"/>
  <c r="BP190" i="17" s="1"/>
  <c r="BM189" i="17"/>
  <c r="BP189" i="17" s="1"/>
  <c r="BM188" i="17"/>
  <c r="BP188" i="17" s="1"/>
  <c r="BM187" i="17"/>
  <c r="BN187" i="17" s="1"/>
  <c r="BM186" i="17"/>
  <c r="BN186" i="17" s="1"/>
  <c r="BM185" i="17"/>
  <c r="BN185" i="17" s="1"/>
  <c r="BM183" i="17"/>
  <c r="BP183" i="17" s="1"/>
  <c r="BM181" i="17"/>
  <c r="BP181" i="17" s="1"/>
  <c r="BM171" i="17"/>
  <c r="BN171" i="17" s="1"/>
  <c r="BM169" i="17"/>
  <c r="BN169" i="17" s="1"/>
  <c r="BM168" i="17"/>
  <c r="BN168" i="17" s="1"/>
  <c r="BM167" i="17"/>
  <c r="BN167" i="17" s="1"/>
  <c r="BM166" i="17"/>
  <c r="BN166" i="17" s="1"/>
  <c r="BM165" i="17"/>
  <c r="BN165" i="17" s="1"/>
  <c r="BM164" i="17"/>
  <c r="BN164" i="17" s="1"/>
  <c r="BM35" i="17"/>
  <c r="BN35" i="17" s="1"/>
  <c r="BM33" i="17"/>
  <c r="BN33" i="17" s="1"/>
  <c r="BM25" i="17"/>
  <c r="BN25" i="17" s="1"/>
  <c r="BM14" i="17"/>
  <c r="BN14" i="17" s="1"/>
  <c r="BM10" i="17"/>
  <c r="BN10" i="17" s="1"/>
  <c r="BM9" i="17"/>
  <c r="BN9" i="17" s="1"/>
  <c r="BM163" i="17"/>
  <c r="BN163" i="17" s="1"/>
  <c r="BM162" i="17"/>
  <c r="BN162" i="17" s="1"/>
  <c r="BM161" i="17"/>
  <c r="BN161" i="17" s="1"/>
  <c r="BM160" i="17"/>
  <c r="BN160" i="17" s="1"/>
  <c r="BM159" i="17"/>
  <c r="BN159" i="17" s="1"/>
  <c r="BM158" i="17"/>
  <c r="BN158" i="17" s="1"/>
  <c r="BM157" i="17"/>
  <c r="BN157" i="17" s="1"/>
  <c r="BM156" i="17"/>
  <c r="BN156" i="17" s="1"/>
  <c r="BM155" i="17"/>
  <c r="BN155" i="17" s="1"/>
  <c r="BM154" i="17"/>
  <c r="BN154" i="17" s="1"/>
  <c r="BM153" i="17"/>
  <c r="BN153" i="17" s="1"/>
  <c r="BM152" i="17"/>
  <c r="BN152" i="17" s="1"/>
  <c r="BM151" i="17"/>
  <c r="BN151" i="17" s="1"/>
  <c r="BM150" i="17"/>
  <c r="BN150" i="17" s="1"/>
  <c r="BM149" i="17"/>
  <c r="BN149" i="17" s="1"/>
  <c r="BM148" i="17"/>
  <c r="BN148" i="17" s="1"/>
  <c r="BM147" i="17"/>
  <c r="BN147" i="17" s="1"/>
  <c r="BM146" i="17"/>
  <c r="BN146" i="17" s="1"/>
  <c r="BM145" i="17"/>
  <c r="BN145" i="17" s="1"/>
  <c r="BM143" i="17"/>
  <c r="BN143" i="17" s="1"/>
  <c r="BM142" i="17"/>
  <c r="BN142" i="17" s="1"/>
  <c r="BM141" i="17"/>
  <c r="BP141" i="17" s="1"/>
  <c r="BQ141" i="17" s="1"/>
  <c r="BM140" i="17"/>
  <c r="BN140" i="17" s="1"/>
  <c r="BM139" i="17"/>
  <c r="BN139" i="17" s="1"/>
  <c r="BM134" i="17"/>
  <c r="BP134" i="17" s="1"/>
  <c r="BM133" i="17"/>
  <c r="BP133" i="17" s="1"/>
  <c r="BM130" i="17"/>
  <c r="BP130" i="17" s="1"/>
  <c r="BQ130" i="17" s="1"/>
  <c r="BM129" i="17"/>
  <c r="BP129" i="17" s="1"/>
  <c r="BM128" i="17"/>
  <c r="BP128" i="17" s="1"/>
  <c r="BL127" i="17"/>
  <c r="BK127" i="17"/>
  <c r="BJ127" i="17"/>
  <c r="BJ125" i="17"/>
  <c r="BJ123" i="17"/>
  <c r="BJ121" i="17"/>
  <c r="BM120" i="17"/>
  <c r="BP120" i="17" s="1"/>
  <c r="BJ118" i="17"/>
  <c r="BJ116" i="17"/>
  <c r="BM115" i="17"/>
  <c r="BP115" i="17" s="1"/>
  <c r="BQ115" i="17" s="1"/>
  <c r="BM38" i="17"/>
  <c r="BN38" i="17" s="1"/>
  <c r="BM21" i="17"/>
  <c r="BN21" i="17" s="1"/>
  <c r="BM20" i="17"/>
  <c r="BN20" i="17" s="1"/>
  <c r="BM19" i="17"/>
  <c r="BN19" i="17" s="1"/>
  <c r="BM18" i="17"/>
  <c r="BN18" i="17" s="1"/>
  <c r="BM16" i="17"/>
  <c r="BN16" i="17" s="1"/>
  <c r="BM13" i="17"/>
  <c r="BN13" i="17" s="1"/>
  <c r="BM8" i="17"/>
  <c r="BN8" i="17" s="1"/>
  <c r="BM113" i="17"/>
  <c r="BP113" i="17" s="1"/>
  <c r="BQ113" i="17" s="1"/>
  <c r="BM110" i="17"/>
  <c r="BP110" i="17" s="1"/>
  <c r="BM109" i="17"/>
  <c r="BP109" i="17" s="1"/>
  <c r="BM108" i="17"/>
  <c r="BP108" i="17" s="1"/>
  <c r="BM107" i="17"/>
  <c r="BP107" i="17" s="1"/>
  <c r="BM106" i="17"/>
  <c r="BP106" i="17" s="1"/>
  <c r="BM105" i="17"/>
  <c r="BP105" i="17" s="1"/>
  <c r="BM104" i="17"/>
  <c r="BP104" i="17" s="1"/>
  <c r="BM103" i="17"/>
  <c r="BP103" i="17" s="1"/>
  <c r="BQ103" i="17" s="1"/>
  <c r="BM102" i="17"/>
  <c r="BP102" i="17" s="1"/>
  <c r="BM101" i="17"/>
  <c r="BP101" i="17" s="1"/>
  <c r="BM100" i="17"/>
  <c r="BP100" i="17" s="1"/>
  <c r="BM99" i="17"/>
  <c r="BP99" i="17" s="1"/>
  <c r="BM96" i="17"/>
  <c r="BP96" i="17" s="1"/>
  <c r="BM95" i="17"/>
  <c r="BP95" i="17" s="1"/>
  <c r="BM94" i="17"/>
  <c r="BP94" i="17" s="1"/>
  <c r="BM88" i="17"/>
  <c r="BP88" i="17" s="1"/>
  <c r="BM87" i="17"/>
  <c r="BP87" i="17" s="1"/>
  <c r="BM85" i="17"/>
  <c r="BP85" i="17" s="1"/>
  <c r="BM84" i="17"/>
  <c r="BP84" i="17" s="1"/>
  <c r="BM81" i="17"/>
  <c r="BP81" i="17" s="1"/>
  <c r="BM73" i="17"/>
  <c r="BP73" i="17" s="1"/>
  <c r="BM66" i="17"/>
  <c r="BP66" i="17" s="1"/>
  <c r="BM64" i="17"/>
  <c r="BP64" i="17" s="1"/>
  <c r="BM58" i="17"/>
  <c r="BP58" i="17" s="1"/>
  <c r="BM52" i="17"/>
  <c r="BN52" i="17" s="1"/>
  <c r="BM51" i="17"/>
  <c r="BN51" i="17" s="1"/>
  <c r="BM50" i="17"/>
  <c r="BN50" i="17" s="1"/>
  <c r="BM34" i="17"/>
  <c r="BN34" i="17" s="1"/>
  <c r="BM47" i="17"/>
  <c r="BN47" i="17" s="1"/>
  <c r="BM46" i="17"/>
  <c r="BN46" i="17" s="1"/>
  <c r="BM45" i="17"/>
  <c r="BN45" i="17" s="1"/>
  <c r="BM44" i="17"/>
  <c r="BN44" i="17" s="1"/>
  <c r="BM42" i="17"/>
  <c r="BN42" i="17" s="1"/>
  <c r="BM40" i="17"/>
  <c r="BN40" i="17" s="1"/>
  <c r="BM31" i="17"/>
  <c r="BN31" i="17" s="1"/>
  <c r="BM28" i="17"/>
  <c r="BN28" i="17" s="1"/>
  <c r="BJ184" i="17"/>
  <c r="BL184" i="17"/>
  <c r="BK184" i="17"/>
  <c r="BJ182" i="17"/>
  <c r="BK182" i="17"/>
  <c r="BL182" i="17"/>
  <c r="BL180" i="17"/>
  <c r="BK180" i="17"/>
  <c r="BJ180" i="17"/>
  <c r="BL179" i="17"/>
  <c r="BK179" i="17"/>
  <c r="BJ179" i="17"/>
  <c r="BL178" i="17"/>
  <c r="BK178" i="17"/>
  <c r="BJ178" i="17"/>
  <c r="BJ177" i="17"/>
  <c r="BK177" i="17"/>
  <c r="BL177" i="17"/>
  <c r="BJ176" i="17"/>
  <c r="BK176" i="17"/>
  <c r="BL176" i="17"/>
  <c r="BM176" i="17" s="1"/>
  <c r="BL175" i="17"/>
  <c r="BK175" i="17"/>
  <c r="BJ175" i="17"/>
  <c r="BK174" i="17"/>
  <c r="BJ174" i="17"/>
  <c r="BL174" i="17"/>
  <c r="BL173" i="17"/>
  <c r="BK173" i="17"/>
  <c r="BJ173" i="17"/>
  <c r="BL172" i="17"/>
  <c r="BK172" i="17"/>
  <c r="BJ172" i="17"/>
  <c r="BL170" i="17"/>
  <c r="BK170" i="17"/>
  <c r="BJ170" i="17"/>
  <c r="BJ144" i="17"/>
  <c r="BK144" i="17"/>
  <c r="BL144" i="17"/>
  <c r="BN141" i="17"/>
  <c r="BO141" i="17" s="1"/>
  <c r="BL138" i="17"/>
  <c r="BK138" i="17"/>
  <c r="BJ138" i="17"/>
  <c r="BK137" i="17"/>
  <c r="BL137" i="17"/>
  <c r="BJ137" i="17"/>
  <c r="BJ136" i="17"/>
  <c r="BK136" i="17"/>
  <c r="BL136" i="17"/>
  <c r="BJ135" i="17"/>
  <c r="BK135" i="17"/>
  <c r="BL135" i="17"/>
  <c r="BM135" i="17" s="1"/>
  <c r="BN134" i="17"/>
  <c r="BO134" i="17" s="1"/>
  <c r="BQ134" i="17"/>
  <c r="BQ133" i="17"/>
  <c r="BN133" i="17"/>
  <c r="BO133" i="17" s="1"/>
  <c r="BH132" i="17"/>
  <c r="BI132" i="17" s="1"/>
  <c r="BE132" i="17"/>
  <c r="BF132" i="17" s="1"/>
  <c r="BQ129" i="17"/>
  <c r="BN129" i="17"/>
  <c r="BO129" i="17" s="1"/>
  <c r="BQ128" i="17"/>
  <c r="BN128" i="17"/>
  <c r="BO128" i="17" s="1"/>
  <c r="BK126" i="17"/>
  <c r="BL126" i="17"/>
  <c r="BJ126" i="17"/>
  <c r="BK125" i="17"/>
  <c r="BL125" i="17"/>
  <c r="BM125" i="17" s="1"/>
  <c r="BP125" i="17" s="1"/>
  <c r="BK124" i="17"/>
  <c r="BL124" i="17"/>
  <c r="BM124" i="17" s="1"/>
  <c r="BP124" i="17" s="1"/>
  <c r="BJ124" i="17"/>
  <c r="BK123" i="17"/>
  <c r="BL123" i="17"/>
  <c r="BM123" i="17" s="1"/>
  <c r="BP123" i="17" s="1"/>
  <c r="BL122" i="17"/>
  <c r="BK122" i="17"/>
  <c r="BJ122" i="17"/>
  <c r="BL121" i="17"/>
  <c r="BK121" i="17"/>
  <c r="BQ120" i="17"/>
  <c r="BN120" i="17"/>
  <c r="BO120" i="17" s="1"/>
  <c r="BL119" i="17"/>
  <c r="BK119" i="17"/>
  <c r="BJ119" i="17"/>
  <c r="BL118" i="17"/>
  <c r="BK118" i="17"/>
  <c r="BK117" i="17"/>
  <c r="BL117" i="17"/>
  <c r="BJ117" i="17"/>
  <c r="BL116" i="17"/>
  <c r="BK116" i="17"/>
  <c r="BN115" i="17"/>
  <c r="BO115" i="17" s="1"/>
  <c r="BL112" i="17"/>
  <c r="BK112" i="17"/>
  <c r="BL111" i="17"/>
  <c r="BK111" i="17"/>
  <c r="BL98" i="17"/>
  <c r="BK98" i="17"/>
  <c r="BJ98" i="17"/>
  <c r="BL97" i="17"/>
  <c r="BK97" i="17"/>
  <c r="BJ97" i="17"/>
  <c r="BL93" i="17"/>
  <c r="BK93" i="17"/>
  <c r="BJ93" i="17"/>
  <c r="BK92" i="17"/>
  <c r="BL92" i="17"/>
  <c r="BM92" i="17" s="1"/>
  <c r="BJ92" i="17"/>
  <c r="BK91" i="17"/>
  <c r="BL91" i="17"/>
  <c r="BM91" i="17" s="1"/>
  <c r="BJ91" i="17"/>
  <c r="BJ90" i="17"/>
  <c r="BK90" i="17"/>
  <c r="BL90" i="17"/>
  <c r="BL89" i="17"/>
  <c r="BJ89" i="17"/>
  <c r="BK89" i="17"/>
  <c r="BK86" i="17"/>
  <c r="BL86" i="17"/>
  <c r="BM86" i="17" s="1"/>
  <c r="BJ86" i="17"/>
  <c r="BL83" i="17"/>
  <c r="BK83" i="17"/>
  <c r="BJ83" i="17"/>
  <c r="BJ82" i="17"/>
  <c r="BK82" i="17"/>
  <c r="BL82" i="17"/>
  <c r="BM82" i="17" s="1"/>
  <c r="BP82" i="17" s="1"/>
  <c r="BJ80" i="17"/>
  <c r="BL80" i="17"/>
  <c r="BK80" i="17"/>
  <c r="BJ79" i="17"/>
  <c r="BL79" i="17"/>
  <c r="BK79" i="17"/>
  <c r="BL78" i="17"/>
  <c r="BJ78" i="17"/>
  <c r="BK78" i="17"/>
  <c r="BJ77" i="17"/>
  <c r="BL77" i="17"/>
  <c r="BK77" i="17"/>
  <c r="BJ76" i="17"/>
  <c r="BK76" i="17"/>
  <c r="BL76" i="17"/>
  <c r="BL75" i="17"/>
  <c r="BK75" i="17"/>
  <c r="BJ75" i="17"/>
  <c r="BK74" i="17"/>
  <c r="BJ74" i="17"/>
  <c r="BL74" i="17"/>
  <c r="BM74" i="17" s="1"/>
  <c r="BP74" i="17" s="1"/>
  <c r="BJ72" i="17"/>
  <c r="BK72" i="17"/>
  <c r="BL72" i="17"/>
  <c r="BM72" i="17" s="1"/>
  <c r="BJ71" i="17"/>
  <c r="BL71" i="17"/>
  <c r="BK71" i="17"/>
  <c r="BJ70" i="17"/>
  <c r="BK70" i="17"/>
  <c r="BL70" i="17"/>
  <c r="BK69" i="17"/>
  <c r="BJ69" i="17"/>
  <c r="BL69" i="17"/>
  <c r="BM69" i="17" s="1"/>
  <c r="BL68" i="17"/>
  <c r="BK68" i="17"/>
  <c r="BJ68" i="17"/>
  <c r="BL67" i="17"/>
  <c r="BK67" i="17"/>
  <c r="BJ67" i="17"/>
  <c r="BJ65" i="17"/>
  <c r="BK65" i="17"/>
  <c r="BL65" i="17"/>
  <c r="BJ63" i="17"/>
  <c r="BK63" i="17"/>
  <c r="BL63" i="17"/>
  <c r="BM63" i="17" s="1"/>
  <c r="BK62" i="17"/>
  <c r="BL62" i="17"/>
  <c r="BJ62" i="17"/>
  <c r="BK61" i="17"/>
  <c r="BJ61" i="17"/>
  <c r="BL61" i="17"/>
  <c r="BL60" i="17"/>
  <c r="BK60" i="17"/>
  <c r="BJ60" i="17"/>
  <c r="BL59" i="17"/>
  <c r="BK59" i="17"/>
  <c r="BJ59" i="17"/>
  <c r="BL57" i="17"/>
  <c r="BK57" i="17"/>
  <c r="BJ57" i="17"/>
  <c r="BL56" i="17"/>
  <c r="BK56" i="17"/>
  <c r="BJ56" i="17"/>
  <c r="BL55" i="17"/>
  <c r="BK55" i="17"/>
  <c r="BJ55" i="17"/>
  <c r="BJ54" i="17"/>
  <c r="BL54" i="17"/>
  <c r="BK54" i="17"/>
  <c r="BL53" i="17"/>
  <c r="BJ53" i="17"/>
  <c r="BK53" i="17"/>
  <c r="BL48" i="17"/>
  <c r="BK48" i="17"/>
  <c r="BJ48" i="17"/>
  <c r="BJ32" i="17"/>
  <c r="BK32" i="17"/>
  <c r="BL32" i="17"/>
  <c r="BK30" i="17"/>
  <c r="BJ30" i="17"/>
  <c r="BL30" i="17"/>
  <c r="BM30" i="17" s="1"/>
  <c r="BN30" i="17" s="1"/>
  <c r="BL27" i="17"/>
  <c r="BK27" i="17"/>
  <c r="BJ27" i="17"/>
  <c r="BJ12" i="17"/>
  <c r="BK12" i="17"/>
  <c r="BL12" i="17"/>
  <c r="BJ7" i="17"/>
  <c r="BK7" i="17"/>
  <c r="BL7" i="17"/>
  <c r="BM7" i="17" s="1"/>
  <c r="BN7" i="17" s="1"/>
  <c r="BJ6" i="17"/>
  <c r="BK6" i="17"/>
  <c r="BL6" i="17"/>
  <c r="BM6" i="17" s="1"/>
  <c r="BN6" i="17" s="1"/>
  <c r="BJ34" i="11" l="1"/>
  <c r="BJ130" i="11"/>
  <c r="BJ23" i="11"/>
  <c r="BJ24" i="11"/>
  <c r="BP135" i="17"/>
  <c r="BQ110" i="17"/>
  <c r="BN110" i="17"/>
  <c r="BO110" i="17" s="1"/>
  <c r="BQ109" i="17"/>
  <c r="BN109" i="17"/>
  <c r="BO109" i="17" s="1"/>
  <c r="BQ108" i="17"/>
  <c r="BN108" i="17"/>
  <c r="BO108" i="17" s="1"/>
  <c r="BQ107" i="17"/>
  <c r="BN107" i="17"/>
  <c r="BO107" i="17" s="1"/>
  <c r="BQ106" i="17"/>
  <c r="BN106" i="17"/>
  <c r="BO106" i="17" s="1"/>
  <c r="BQ105" i="17"/>
  <c r="BN105" i="17"/>
  <c r="BO105" i="17" s="1"/>
  <c r="BQ104" i="17"/>
  <c r="BN104" i="17"/>
  <c r="BO104" i="17" s="1"/>
  <c r="BM65" i="17"/>
  <c r="BP65" i="17" s="1"/>
  <c r="BP63" i="17"/>
  <c r="BM90" i="17"/>
  <c r="BP90" i="17" s="1"/>
  <c r="BN130" i="17"/>
  <c r="BO130" i="17" s="1"/>
  <c r="BM144" i="17"/>
  <c r="BP144" i="17" s="1"/>
  <c r="BM61" i="17"/>
  <c r="BP61" i="17" s="1"/>
  <c r="BM182" i="17"/>
  <c r="BP182" i="17" s="1"/>
  <c r="BP72" i="17"/>
  <c r="BM117" i="17"/>
  <c r="BP117" i="17" s="1"/>
  <c r="BQ117" i="17" s="1"/>
  <c r="BM174" i="17"/>
  <c r="BP174" i="17" s="1"/>
  <c r="BM12" i="17"/>
  <c r="BN12" i="17" s="1"/>
  <c r="BM62" i="17"/>
  <c r="BP62" i="17" s="1"/>
  <c r="BM76" i="17"/>
  <c r="BP76" i="17" s="1"/>
  <c r="BQ76" i="17" s="1"/>
  <c r="BN113" i="17"/>
  <c r="BO113" i="17" s="1"/>
  <c r="BM136" i="17"/>
  <c r="BP136" i="17" s="1"/>
  <c r="BM32" i="17"/>
  <c r="BN32" i="17" s="1"/>
  <c r="BM70" i="17"/>
  <c r="BP70" i="17" s="1"/>
  <c r="BQ43" i="17"/>
  <c r="BP43" i="17"/>
  <c r="BQ49" i="17"/>
  <c r="BP49" i="17"/>
  <c r="BQ41" i="17"/>
  <c r="BP41" i="17"/>
  <c r="BQ39" i="17"/>
  <c r="BP39" i="17"/>
  <c r="BQ36" i="17"/>
  <c r="BP36" i="17"/>
  <c r="BQ29" i="17"/>
  <c r="BP29" i="17"/>
  <c r="BQ23" i="17"/>
  <c r="BP23" i="17"/>
  <c r="BQ22" i="17"/>
  <c r="BP22" i="17"/>
  <c r="BQ17" i="17"/>
  <c r="BP17" i="17"/>
  <c r="BQ15" i="17"/>
  <c r="BP15" i="17"/>
  <c r="BQ11" i="17"/>
  <c r="BP11" i="17"/>
  <c r="BQ187" i="17"/>
  <c r="BP187" i="17"/>
  <c r="BQ186" i="17"/>
  <c r="BP186" i="17"/>
  <c r="BQ185" i="17"/>
  <c r="BP185" i="17"/>
  <c r="BQ171" i="17"/>
  <c r="BP171" i="17"/>
  <c r="BQ169" i="17"/>
  <c r="BP169" i="17"/>
  <c r="BQ168" i="17"/>
  <c r="BP168" i="17"/>
  <c r="BQ167" i="17"/>
  <c r="BP167" i="17"/>
  <c r="BQ166" i="17"/>
  <c r="BP166" i="17"/>
  <c r="BQ165" i="17"/>
  <c r="BP165" i="17"/>
  <c r="BQ164" i="17"/>
  <c r="BP164" i="17"/>
  <c r="BQ35" i="17"/>
  <c r="BP35" i="17"/>
  <c r="BQ33" i="17"/>
  <c r="BP33" i="17"/>
  <c r="BQ25" i="17"/>
  <c r="BP25" i="17"/>
  <c r="BQ14" i="17"/>
  <c r="BP14" i="17"/>
  <c r="BQ10" i="17"/>
  <c r="BP10" i="17"/>
  <c r="BQ9" i="17"/>
  <c r="BP9" i="17"/>
  <c r="BP5" i="17"/>
  <c r="BQ5" i="17"/>
  <c r="BQ163" i="17"/>
  <c r="BP163" i="17"/>
  <c r="BQ162" i="17"/>
  <c r="BP162" i="17"/>
  <c r="BQ161" i="17"/>
  <c r="BP161" i="17"/>
  <c r="BQ160" i="17"/>
  <c r="BP160" i="17"/>
  <c r="BQ159" i="17"/>
  <c r="BP159" i="17"/>
  <c r="BQ158" i="17"/>
  <c r="BP158" i="17"/>
  <c r="BQ157" i="17"/>
  <c r="BP157" i="17"/>
  <c r="BQ156" i="17"/>
  <c r="BP156" i="17"/>
  <c r="BQ155" i="17"/>
  <c r="BP155" i="17"/>
  <c r="BQ154" i="17"/>
  <c r="BP154" i="17"/>
  <c r="BQ153" i="17"/>
  <c r="BP153" i="17"/>
  <c r="BQ152" i="17"/>
  <c r="BP152" i="17"/>
  <c r="BQ151" i="17"/>
  <c r="BP151" i="17"/>
  <c r="BQ150" i="17"/>
  <c r="BP150" i="17"/>
  <c r="BQ149" i="17"/>
  <c r="BP149" i="17"/>
  <c r="BQ148" i="17"/>
  <c r="BP148" i="17"/>
  <c r="BQ147" i="17"/>
  <c r="BP147" i="17"/>
  <c r="BQ146" i="17"/>
  <c r="BP146" i="17"/>
  <c r="BQ145" i="17"/>
  <c r="BP145" i="17"/>
  <c r="BQ143" i="17"/>
  <c r="BP143" i="17"/>
  <c r="BQ142" i="17"/>
  <c r="BP142" i="17"/>
  <c r="BQ140" i="17"/>
  <c r="BP140" i="17"/>
  <c r="BQ139" i="17"/>
  <c r="BP139" i="17"/>
  <c r="BQ38" i="17"/>
  <c r="BP38" i="17"/>
  <c r="BQ21" i="17"/>
  <c r="BP21" i="17"/>
  <c r="BQ20" i="17"/>
  <c r="BP20" i="17"/>
  <c r="BQ19" i="17"/>
  <c r="BP19" i="17"/>
  <c r="BQ18" i="17"/>
  <c r="BP18" i="17"/>
  <c r="BQ16" i="17"/>
  <c r="BP16" i="17"/>
  <c r="BQ13" i="17"/>
  <c r="BP13" i="17"/>
  <c r="BQ8" i="17"/>
  <c r="BP8" i="17"/>
  <c r="BQ52" i="17"/>
  <c r="BP52" i="17"/>
  <c r="BQ51" i="17"/>
  <c r="BP51" i="17"/>
  <c r="BQ50" i="17"/>
  <c r="BP50" i="17"/>
  <c r="BQ34" i="17"/>
  <c r="BP34" i="17"/>
  <c r="BQ47" i="17"/>
  <c r="BP47" i="17"/>
  <c r="BQ46" i="17"/>
  <c r="BP46" i="17"/>
  <c r="BQ45" i="17"/>
  <c r="BP45" i="17"/>
  <c r="BQ44" i="17"/>
  <c r="BP44" i="17"/>
  <c r="BQ42" i="17"/>
  <c r="BP42" i="17"/>
  <c r="BQ40" i="17"/>
  <c r="BP40" i="17"/>
  <c r="BQ31" i="17"/>
  <c r="BP31" i="17"/>
  <c r="BQ28" i="17"/>
  <c r="BP28" i="17"/>
  <c r="BQ30" i="17"/>
  <c r="BP30" i="17"/>
  <c r="BQ7" i="17"/>
  <c r="BP7" i="17"/>
  <c r="BQ6" i="17"/>
  <c r="BP6" i="17"/>
  <c r="BN37" i="17"/>
  <c r="BN26" i="17"/>
  <c r="BN24" i="17"/>
  <c r="BN202" i="17"/>
  <c r="BO202" i="17" s="1"/>
  <c r="BQ201" i="17"/>
  <c r="BN201" i="17"/>
  <c r="BO201" i="17" s="1"/>
  <c r="BN200" i="17"/>
  <c r="BO200" i="17" s="1"/>
  <c r="BM126" i="17"/>
  <c r="BP126" i="17" s="1"/>
  <c r="BQ126" i="17" s="1"/>
  <c r="BQ114" i="17"/>
  <c r="BN114" i="17"/>
  <c r="BO114" i="17" s="1"/>
  <c r="BQ199" i="17"/>
  <c r="BN199" i="17"/>
  <c r="BO199" i="17" s="1"/>
  <c r="BQ198" i="17"/>
  <c r="BN198" i="17"/>
  <c r="BO198" i="17" s="1"/>
  <c r="BQ197" i="17"/>
  <c r="BN197" i="17"/>
  <c r="BO197" i="17" s="1"/>
  <c r="BQ196" i="17"/>
  <c r="BN196" i="17"/>
  <c r="BO196" i="17" s="1"/>
  <c r="BQ131" i="17"/>
  <c r="BN131" i="17"/>
  <c r="BO131" i="17" s="1"/>
  <c r="BN103" i="17"/>
  <c r="BO103" i="17" s="1"/>
  <c r="BQ102" i="17"/>
  <c r="BN102" i="17"/>
  <c r="BO102" i="17" s="1"/>
  <c r="BQ101" i="17"/>
  <c r="BN101" i="17"/>
  <c r="BO101" i="17" s="1"/>
  <c r="BQ100" i="17"/>
  <c r="BN100" i="17"/>
  <c r="BO100" i="17" s="1"/>
  <c r="BQ99" i="17"/>
  <c r="BN99" i="17"/>
  <c r="BO99" i="17" s="1"/>
  <c r="BQ194" i="17"/>
  <c r="BO194" i="17"/>
  <c r="BO195" i="17"/>
  <c r="BQ195" i="17"/>
  <c r="BM177" i="17"/>
  <c r="BP177" i="17" s="1"/>
  <c r="BQ193" i="17"/>
  <c r="BO193" i="17"/>
  <c r="BQ192" i="17"/>
  <c r="BO192" i="17"/>
  <c r="BQ191" i="17"/>
  <c r="BN191" i="17"/>
  <c r="BO191" i="17" s="1"/>
  <c r="BQ190" i="17"/>
  <c r="BN190" i="17"/>
  <c r="BO190" i="17" s="1"/>
  <c r="BQ189" i="17"/>
  <c r="BN189" i="17"/>
  <c r="BO189" i="17" s="1"/>
  <c r="BQ188" i="17"/>
  <c r="BN188" i="17"/>
  <c r="BO188" i="17" s="1"/>
  <c r="BQ183" i="17"/>
  <c r="BN183" i="17"/>
  <c r="BO183" i="17" s="1"/>
  <c r="BQ181" i="17"/>
  <c r="BN181" i="17"/>
  <c r="BO181" i="17" s="1"/>
  <c r="BQ96" i="17"/>
  <c r="BN96" i="17"/>
  <c r="BO96" i="17" s="1"/>
  <c r="BQ95" i="17"/>
  <c r="BN95" i="17"/>
  <c r="BO95" i="17" s="1"/>
  <c r="BQ94" i="17"/>
  <c r="BN94" i="17"/>
  <c r="BO94" i="17" s="1"/>
  <c r="BQ85" i="17"/>
  <c r="BN85" i="17"/>
  <c r="BO85" i="17" s="1"/>
  <c r="BQ84" i="17"/>
  <c r="BN84" i="17"/>
  <c r="BO84" i="17" s="1"/>
  <c r="BQ81" i="17"/>
  <c r="BN81" i="17"/>
  <c r="BO81" i="17" s="1"/>
  <c r="BQ73" i="17"/>
  <c r="BN73" i="17"/>
  <c r="BO73" i="17" s="1"/>
  <c r="BQ66" i="17"/>
  <c r="BN66" i="17"/>
  <c r="BO66" i="17" s="1"/>
  <c r="BQ64" i="17"/>
  <c r="BN64" i="17"/>
  <c r="BO64" i="17" s="1"/>
  <c r="BQ58" i="17"/>
  <c r="BN58" i="17"/>
  <c r="BO58" i="17" s="1"/>
  <c r="BM127" i="17"/>
  <c r="BP127" i="17" s="1"/>
  <c r="BM60" i="17"/>
  <c r="BM57" i="17"/>
  <c r="BM178" i="17"/>
  <c r="BM56" i="17"/>
  <c r="BP56" i="17" s="1"/>
  <c r="BQ88" i="17"/>
  <c r="BN88" i="17"/>
  <c r="BO88" i="17" s="1"/>
  <c r="BQ87" i="17"/>
  <c r="BN87" i="17"/>
  <c r="BO87" i="17" s="1"/>
  <c r="BQ135" i="17"/>
  <c r="BN135" i="17"/>
  <c r="BO135" i="17" s="1"/>
  <c r="BK132" i="17"/>
  <c r="BJ132" i="17"/>
  <c r="BL132" i="17"/>
  <c r="BQ125" i="17"/>
  <c r="BN125" i="17"/>
  <c r="BO125" i="17" s="1"/>
  <c r="BQ124" i="17"/>
  <c r="BN124" i="17"/>
  <c r="BO124" i="17" s="1"/>
  <c r="BQ123" i="17"/>
  <c r="BN123" i="17"/>
  <c r="BO123" i="17" s="1"/>
  <c r="BQ82" i="17"/>
  <c r="BN82" i="17"/>
  <c r="BO82" i="17" s="1"/>
  <c r="BQ74" i="17"/>
  <c r="BN74" i="17"/>
  <c r="BO74" i="17" s="1"/>
  <c r="BM137" i="17"/>
  <c r="BP137" i="17" s="1"/>
  <c r="BM122" i="17"/>
  <c r="BP122" i="17" s="1"/>
  <c r="BM121" i="17"/>
  <c r="BP121" i="17" s="1"/>
  <c r="BM89" i="17"/>
  <c r="BP89" i="17" s="1"/>
  <c r="BP86" i="17"/>
  <c r="BM67" i="17"/>
  <c r="BP67" i="17" s="1"/>
  <c r="BM54" i="17"/>
  <c r="BP54" i="17" s="1"/>
  <c r="BM27" i="17"/>
  <c r="BN27" i="17" s="1"/>
  <c r="BP27" i="17" s="1"/>
  <c r="BP176" i="17"/>
  <c r="BM138" i="17"/>
  <c r="BP138" i="17" s="1"/>
  <c r="BM119" i="17"/>
  <c r="BP119" i="17" s="1"/>
  <c r="BQ119" i="17" s="1"/>
  <c r="BM118" i="17"/>
  <c r="BP118" i="17" s="1"/>
  <c r="BM116" i="17"/>
  <c r="BP116" i="17" s="1"/>
  <c r="BM112" i="17"/>
  <c r="BP112" i="17" s="1"/>
  <c r="BM111" i="17"/>
  <c r="BP111" i="17" s="1"/>
  <c r="BM98" i="17"/>
  <c r="BP98" i="17" s="1"/>
  <c r="BM97" i="17"/>
  <c r="BP97" i="17" s="1"/>
  <c r="BM93" i="17"/>
  <c r="BP93" i="17" s="1"/>
  <c r="BP92" i="17"/>
  <c r="BP91" i="17"/>
  <c r="BP69" i="17"/>
  <c r="BM175" i="17"/>
  <c r="BP175" i="17" s="1"/>
  <c r="BM173" i="17"/>
  <c r="BP173" i="17" s="1"/>
  <c r="BM172" i="17"/>
  <c r="BP172" i="17" s="1"/>
  <c r="BM170" i="17"/>
  <c r="BN170" i="17" s="1"/>
  <c r="BM83" i="17"/>
  <c r="BP83" i="17" s="1"/>
  <c r="BM80" i="17"/>
  <c r="BP80" i="17" s="1"/>
  <c r="BM79" i="17"/>
  <c r="BP79" i="17" s="1"/>
  <c r="BM78" i="17"/>
  <c r="BP78" i="17" s="1"/>
  <c r="BM77" i="17"/>
  <c r="BP77" i="17" s="1"/>
  <c r="BM75" i="17"/>
  <c r="BP75" i="17" s="1"/>
  <c r="BN75" i="17" s="1"/>
  <c r="BM71" i="17"/>
  <c r="BP71" i="17" s="1"/>
  <c r="BM68" i="17"/>
  <c r="BP68" i="17" s="1"/>
  <c r="BM59" i="17"/>
  <c r="BP59" i="17" s="1"/>
  <c r="BM55" i="17"/>
  <c r="BP55" i="17" s="1"/>
  <c r="BM53" i="17"/>
  <c r="BP53" i="17" s="1"/>
  <c r="BM48" i="17"/>
  <c r="BP48" i="17" s="1"/>
  <c r="BM184" i="17"/>
  <c r="BP184" i="17" s="1"/>
  <c r="BM180" i="17"/>
  <c r="BP180" i="17" s="1"/>
  <c r="BM179" i="17"/>
  <c r="BP179" i="17" s="1"/>
  <c r="BQ65" i="17" l="1"/>
  <c r="BN65" i="17"/>
  <c r="BO65" i="17" s="1"/>
  <c r="BQ63" i="17"/>
  <c r="BN63" i="17"/>
  <c r="BO63" i="17" s="1"/>
  <c r="BQ144" i="17"/>
  <c r="BN144" i="17"/>
  <c r="BO144" i="17" s="1"/>
  <c r="BQ136" i="17"/>
  <c r="BN136" i="17"/>
  <c r="BO136" i="17" s="1"/>
  <c r="BQ177" i="17"/>
  <c r="BN177" i="17"/>
  <c r="BO177" i="17" s="1"/>
  <c r="BN90" i="17"/>
  <c r="BO90" i="17" s="1"/>
  <c r="BQ90" i="17"/>
  <c r="BQ12" i="17"/>
  <c r="BP12" i="17"/>
  <c r="BQ32" i="17"/>
  <c r="BP32" i="17"/>
  <c r="BQ61" i="17"/>
  <c r="BN61" i="17"/>
  <c r="BO61" i="17" s="1"/>
  <c r="BQ72" i="17"/>
  <c r="BN72" i="17"/>
  <c r="BO72" i="17" s="1"/>
  <c r="BQ70" i="17"/>
  <c r="BN70" i="17"/>
  <c r="BO70" i="17" s="1"/>
  <c r="BN117" i="17"/>
  <c r="BO117" i="17" s="1"/>
  <c r="BN126" i="17"/>
  <c r="BO126" i="17" s="1"/>
  <c r="BN76" i="17"/>
  <c r="BO76" i="17" s="1"/>
  <c r="BM132" i="17"/>
  <c r="BP132" i="17" s="1"/>
  <c r="BQ37" i="17"/>
  <c r="BP37" i="17"/>
  <c r="BQ26" i="17"/>
  <c r="BP26" i="17"/>
  <c r="BQ24" i="17"/>
  <c r="BP24" i="17"/>
  <c r="BQ170" i="17"/>
  <c r="BP170" i="17"/>
  <c r="BQ56" i="17"/>
  <c r="BN56" i="17"/>
  <c r="BO56" i="17" s="1"/>
  <c r="BP178" i="17"/>
  <c r="BQ178" i="17" s="1"/>
  <c r="BP60" i="17"/>
  <c r="BN60" i="17" s="1"/>
  <c r="BO60" i="17" s="1"/>
  <c r="BP57" i="17"/>
  <c r="BQ127" i="17"/>
  <c r="BN127" i="17"/>
  <c r="BO127" i="17" s="1"/>
  <c r="BN137" i="17"/>
  <c r="BO137" i="17" s="1"/>
  <c r="BQ137" i="17"/>
  <c r="BN122" i="17"/>
  <c r="BO122" i="17" s="1"/>
  <c r="BQ122" i="17"/>
  <c r="BN121" i="17"/>
  <c r="BO121" i="17" s="1"/>
  <c r="BQ121" i="17"/>
  <c r="BN89" i="17"/>
  <c r="BO89" i="17" s="1"/>
  <c r="BQ89" i="17"/>
  <c r="BN86" i="17"/>
  <c r="BO86" i="17" s="1"/>
  <c r="BQ86" i="17"/>
  <c r="BN67" i="17"/>
  <c r="BO67" i="17" s="1"/>
  <c r="BQ67" i="17"/>
  <c r="BN54" i="17"/>
  <c r="BO54" i="17" s="1"/>
  <c r="BQ54" i="17"/>
  <c r="BQ27" i="17"/>
  <c r="BN176" i="17"/>
  <c r="BO176" i="17" s="1"/>
  <c r="BQ176" i="17"/>
  <c r="BN138" i="17"/>
  <c r="BO138" i="17" s="1"/>
  <c r="BQ138" i="17"/>
  <c r="BN119" i="17"/>
  <c r="BO119" i="17" s="1"/>
  <c r="BN118" i="17"/>
  <c r="BO118" i="17" s="1"/>
  <c r="BQ118" i="17"/>
  <c r="BN116" i="17"/>
  <c r="BO116" i="17" s="1"/>
  <c r="BQ116" i="17"/>
  <c r="BN112" i="17"/>
  <c r="BO112" i="17" s="1"/>
  <c r="BQ112" i="17"/>
  <c r="BN111" i="17"/>
  <c r="BO111" i="17" s="1"/>
  <c r="BQ111" i="17"/>
  <c r="BN98" i="17"/>
  <c r="BO98" i="17" s="1"/>
  <c r="BQ98" i="17"/>
  <c r="BN97" i="17"/>
  <c r="BO97" i="17" s="1"/>
  <c r="BQ97" i="17"/>
  <c r="BN93" i="17"/>
  <c r="BO93" i="17" s="1"/>
  <c r="BQ93" i="17"/>
  <c r="BN92" i="17"/>
  <c r="BO92" i="17" s="1"/>
  <c r="BQ92" i="17"/>
  <c r="BN91" i="17"/>
  <c r="BO91" i="17" s="1"/>
  <c r="BQ91" i="17"/>
  <c r="BN69" i="17"/>
  <c r="BO69" i="17" s="1"/>
  <c r="BQ69" i="17"/>
  <c r="BN62" i="17"/>
  <c r="BO62" i="17" s="1"/>
  <c r="BQ62" i="17"/>
  <c r="BN182" i="17"/>
  <c r="BO182" i="17" s="1"/>
  <c r="BQ182" i="17"/>
  <c r="BN175" i="17"/>
  <c r="BO175" i="17" s="1"/>
  <c r="BQ175" i="17"/>
  <c r="BN174" i="17"/>
  <c r="BO174" i="17" s="1"/>
  <c r="BQ174" i="17"/>
  <c r="BN173" i="17"/>
  <c r="BO173" i="17" s="1"/>
  <c r="BQ173" i="17"/>
  <c r="BN172" i="17"/>
  <c r="BO172" i="17" s="1"/>
  <c r="BQ172" i="17"/>
  <c r="BN83" i="17"/>
  <c r="BO83" i="17" s="1"/>
  <c r="BQ83" i="17"/>
  <c r="BN80" i="17"/>
  <c r="BO80" i="17" s="1"/>
  <c r="BQ80" i="17"/>
  <c r="BN79" i="17"/>
  <c r="BO79" i="17" s="1"/>
  <c r="BQ79" i="17"/>
  <c r="BN78" i="17"/>
  <c r="BO78" i="17" s="1"/>
  <c r="BQ78" i="17"/>
  <c r="BN77" i="17"/>
  <c r="BO77" i="17" s="1"/>
  <c r="BQ77" i="17"/>
  <c r="BQ75" i="17"/>
  <c r="BN71" i="17"/>
  <c r="BO71" i="17" s="1"/>
  <c r="BQ71" i="17"/>
  <c r="BN68" i="17"/>
  <c r="BO68" i="17" s="1"/>
  <c r="BQ68" i="17"/>
  <c r="BN59" i="17"/>
  <c r="BO59" i="17" s="1"/>
  <c r="BQ59" i="17"/>
  <c r="BN55" i="17"/>
  <c r="BO55" i="17" s="1"/>
  <c r="BQ55" i="17"/>
  <c r="BN53" i="17"/>
  <c r="BO53" i="17" s="1"/>
  <c r="BQ53" i="17"/>
  <c r="BN48" i="17"/>
  <c r="BO48" i="17" s="1"/>
  <c r="BQ48" i="17"/>
  <c r="BN184" i="17"/>
  <c r="BO184" i="17" s="1"/>
  <c r="BQ184" i="17"/>
  <c r="BN180" i="17"/>
  <c r="BO180" i="17" s="1"/>
  <c r="BQ180" i="17"/>
  <c r="BN179" i="17"/>
  <c r="BO179" i="17" s="1"/>
  <c r="BQ179" i="17"/>
  <c r="BQ132" i="17" l="1"/>
  <c r="BN132" i="17"/>
  <c r="BO132" i="17" s="1"/>
  <c r="BN57" i="17"/>
  <c r="BO57" i="17" s="1"/>
  <c r="BQ57" i="17"/>
  <c r="BQ203" i="17" s="1"/>
  <c r="BN178" i="17"/>
  <c r="BO178" i="17" s="1"/>
  <c r="BQ60" i="17"/>
  <c r="BP203" i="17"/>
  <c r="BJ14" i="11" l="1"/>
  <c r="BM14" i="11" s="1"/>
  <c r="BK14" i="11" s="1"/>
  <c r="BJ15" i="11"/>
  <c r="BM15" i="11" s="1"/>
  <c r="BK15" i="11" s="1"/>
  <c r="BJ19" i="11"/>
  <c r="BM19" i="11" s="1"/>
  <c r="BK19" i="11" s="1"/>
  <c r="BM104" i="11"/>
  <c r="BK104" i="11" s="1"/>
  <c r="BM142" i="11" l="1"/>
  <c r="BK142" i="11" s="1"/>
  <c r="BJ17" i="11"/>
  <c r="BM17" i="11" s="1"/>
  <c r="BK17" i="11" s="1"/>
  <c r="BJ18" i="11"/>
  <c r="BM18" i="11" s="1"/>
  <c r="BK18" i="11" s="1"/>
  <c r="BJ13" i="11"/>
  <c r="BM13" i="11" s="1"/>
  <c r="BK13" i="11" s="1"/>
  <c r="BM33" i="11"/>
  <c r="BK33" i="11" s="1"/>
  <c r="BM148" i="11"/>
  <c r="BK148" i="11" s="1"/>
  <c r="BM144" i="11"/>
  <c r="BK144" i="11" s="1"/>
  <c r="BM140" i="11"/>
  <c r="BK140" i="11" s="1"/>
  <c r="BM133" i="11"/>
  <c r="BK133" i="11" s="1"/>
  <c r="BM108" i="11"/>
  <c r="BM103" i="11"/>
  <c r="BK103" i="11" s="1"/>
  <c r="BM145" i="11"/>
  <c r="BK145" i="11" s="1"/>
  <c r="BM141" i="11"/>
  <c r="BK141" i="11" s="1"/>
  <c r="BM138" i="11"/>
  <c r="BM134" i="11"/>
  <c r="BM109" i="11"/>
  <c r="BK109" i="11" s="1"/>
  <c r="BM105" i="11"/>
  <c r="BK105" i="11" s="1"/>
  <c r="BM146" i="11"/>
  <c r="BK146" i="11" s="1"/>
  <c r="BM139" i="11"/>
  <c r="BK139" i="11" s="1"/>
  <c r="BM102" i="11"/>
  <c r="BK102" i="11" s="1"/>
  <c r="BM76" i="11"/>
  <c r="BK76" i="11" s="1"/>
  <c r="BM39" i="11"/>
  <c r="BK39" i="11" s="1"/>
  <c r="BM135" i="11"/>
  <c r="BK135" i="11" s="1"/>
  <c r="BM110" i="11"/>
  <c r="BK110" i="11" s="1"/>
  <c r="BM147" i="11"/>
  <c r="BK147" i="11" s="1"/>
  <c r="BM143" i="11"/>
  <c r="BK143" i="11" s="1"/>
  <c r="BM136" i="11"/>
  <c r="BK136" i="11" s="1"/>
  <c r="BM132" i="11"/>
  <c r="BK132" i="11" s="1"/>
  <c r="BM107" i="11"/>
  <c r="BM106" i="11"/>
  <c r="BM99" i="11"/>
  <c r="BK99" i="11" s="1"/>
  <c r="BM40" i="11"/>
  <c r="BK40" i="11" s="1"/>
  <c r="BM101" i="11"/>
  <c r="BK101" i="11" s="1"/>
  <c r="BM75" i="11"/>
  <c r="BK75" i="11" s="1"/>
  <c r="BM130" i="11"/>
  <c r="BM124" i="11"/>
  <c r="BK124" i="11" s="1"/>
  <c r="BM120" i="11"/>
  <c r="BK120" i="11" s="1"/>
  <c r="BM118" i="11"/>
  <c r="BK118" i="11" s="1"/>
  <c r="BM116" i="11"/>
  <c r="BK116" i="11" s="1"/>
  <c r="BM114" i="11"/>
  <c r="BK114" i="11" s="1"/>
  <c r="BM112" i="11"/>
  <c r="BK112" i="11" s="1"/>
  <c r="BM131" i="11"/>
  <c r="BK131" i="11" s="1"/>
  <c r="BM123" i="11"/>
  <c r="BK123" i="11" s="1"/>
  <c r="BM121" i="11"/>
  <c r="BK121" i="11" s="1"/>
  <c r="BM119" i="11"/>
  <c r="BK119" i="11" s="1"/>
  <c r="BM117" i="11"/>
  <c r="BK117" i="11" s="1"/>
  <c r="BM115" i="11"/>
  <c r="BK115" i="11" s="1"/>
  <c r="BM113" i="11"/>
  <c r="BK113" i="11" s="1"/>
  <c r="BM111" i="11"/>
  <c r="BK111" i="11" s="1"/>
  <c r="BN14" i="11"/>
  <c r="BN19" i="11"/>
  <c r="BN15" i="11"/>
  <c r="BK149" i="11" l="1"/>
  <c r="BN130" i="11"/>
  <c r="BK130" i="11"/>
  <c r="BK108" i="11"/>
  <c r="BN108" i="11"/>
  <c r="BK138" i="11"/>
  <c r="BN138" i="11"/>
  <c r="BK134" i="11"/>
  <c r="BN134" i="11"/>
  <c r="BK107" i="11"/>
  <c r="BN107" i="11"/>
  <c r="BK106" i="11"/>
  <c r="BN106" i="11"/>
  <c r="BM126" i="11"/>
  <c r="BM122" i="11"/>
  <c r="BM129" i="11"/>
  <c r="BM127" i="11"/>
  <c r="BM125" i="11"/>
  <c r="BN99" i="11"/>
  <c r="BN39" i="11"/>
  <c r="BN104" i="11"/>
  <c r="BN146" i="11"/>
  <c r="BN103" i="11"/>
  <c r="BN131" i="11"/>
  <c r="BN117" i="11"/>
  <c r="BN116" i="11"/>
  <c r="BN124" i="11"/>
  <c r="BN113" i="11"/>
  <c r="BN121" i="11"/>
  <c r="BN112" i="11"/>
  <c r="BN120" i="11"/>
  <c r="BN115" i="11"/>
  <c r="BN123" i="11"/>
  <c r="BN114" i="11"/>
  <c r="BN111" i="11"/>
  <c r="BN119" i="11"/>
  <c r="BN118" i="11"/>
  <c r="BK126" i="11" l="1"/>
  <c r="BL126" i="11" s="1"/>
  <c r="BN126" i="11"/>
  <c r="BK122" i="11"/>
  <c r="BL122" i="11" s="1"/>
  <c r="BN122" i="11"/>
  <c r="BK129" i="11"/>
  <c r="BN129" i="11"/>
  <c r="BK127" i="11"/>
  <c r="BN127" i="11"/>
  <c r="BK125" i="11"/>
  <c r="BN125" i="11"/>
  <c r="BL107" i="11"/>
  <c r="BL108" i="11"/>
  <c r="BL138" i="11"/>
  <c r="BL134" i="11"/>
  <c r="BL106" i="11"/>
  <c r="BN144" i="11"/>
  <c r="BN145" i="11"/>
  <c r="BN133" i="11"/>
  <c r="BN142" i="11"/>
  <c r="BN105" i="11"/>
  <c r="BN147" i="11"/>
  <c r="BN40" i="11"/>
  <c r="BN143" i="11"/>
  <c r="BN101" i="11"/>
  <c r="BN33" i="11"/>
  <c r="BN136" i="11"/>
  <c r="BN140" i="11"/>
  <c r="BN135" i="11"/>
  <c r="BN110" i="11"/>
  <c r="BN17" i="11"/>
  <c r="BN132" i="11"/>
  <c r="BN76" i="11"/>
  <c r="BN141" i="11"/>
  <c r="BN148" i="11"/>
  <c r="BN13" i="11"/>
  <c r="BN102" i="11"/>
  <c r="BN18" i="11"/>
  <c r="BN139" i="11"/>
  <c r="BN75" i="11"/>
  <c r="BN109" i="11"/>
  <c r="BL129" i="11" l="1"/>
  <c r="BL127" i="11"/>
  <c r="BL125" i="11"/>
  <c r="M21" i="14"/>
  <c r="L21" i="14"/>
  <c r="K21" i="14"/>
  <c r="N21" i="14" l="1"/>
  <c r="Q21" i="14" s="1"/>
  <c r="K6" i="14"/>
  <c r="L6" i="14"/>
  <c r="M6" i="14"/>
  <c r="K7" i="14"/>
  <c r="L7" i="14"/>
  <c r="M7" i="14"/>
  <c r="K8" i="14"/>
  <c r="L8" i="14"/>
  <c r="M8" i="14"/>
  <c r="K9" i="14"/>
  <c r="L9" i="14"/>
  <c r="M9" i="14"/>
  <c r="K10" i="14"/>
  <c r="L10" i="14"/>
  <c r="M10" i="14"/>
  <c r="K11" i="14"/>
  <c r="L11" i="14"/>
  <c r="M11" i="14"/>
  <c r="K12" i="14"/>
  <c r="L12" i="14"/>
  <c r="M12" i="14"/>
  <c r="K13" i="14"/>
  <c r="L13" i="14"/>
  <c r="M13" i="14"/>
  <c r="K14" i="14"/>
  <c r="L14" i="14"/>
  <c r="M14" i="14"/>
  <c r="K15" i="14"/>
  <c r="L15" i="14"/>
  <c r="M15" i="14"/>
  <c r="K16" i="14"/>
  <c r="L16" i="14"/>
  <c r="M16" i="14"/>
  <c r="K17" i="14"/>
  <c r="L17" i="14"/>
  <c r="M17" i="14"/>
  <c r="K18" i="14"/>
  <c r="L18" i="14"/>
  <c r="M18" i="14"/>
  <c r="K19" i="14"/>
  <c r="L19" i="14"/>
  <c r="M19" i="14"/>
  <c r="K20" i="14"/>
  <c r="L20" i="14"/>
  <c r="M20" i="14"/>
  <c r="K22" i="14"/>
  <c r="L22" i="14"/>
  <c r="M22" i="14"/>
  <c r="O21" i="14" l="1"/>
  <c r="P21" i="14" s="1"/>
  <c r="R21" i="14"/>
  <c r="N20" i="14"/>
  <c r="Q20" i="14" s="1"/>
  <c r="R20" i="14" s="1"/>
  <c r="N19" i="14"/>
  <c r="Q19" i="14" s="1"/>
  <c r="R19" i="14" s="1"/>
  <c r="N11" i="14"/>
  <c r="Q11" i="14" s="1"/>
  <c r="N7" i="14"/>
  <c r="Q7" i="14" s="1"/>
  <c r="N15" i="14"/>
  <c r="N17" i="14"/>
  <c r="Q17" i="14" s="1"/>
  <c r="R17" i="14" s="1"/>
  <c r="N13" i="14"/>
  <c r="Q13" i="14" s="1"/>
  <c r="N9" i="14"/>
  <c r="Q9" i="14" s="1"/>
  <c r="N18" i="14"/>
  <c r="Q18" i="14" s="1"/>
  <c r="N14" i="14"/>
  <c r="Q14" i="14" s="1"/>
  <c r="R14" i="14" s="1"/>
  <c r="N10" i="14"/>
  <c r="Q10" i="14" s="1"/>
  <c r="N6" i="14"/>
  <c r="Q6" i="14" s="1"/>
  <c r="N22" i="14"/>
  <c r="Q22" i="14" s="1"/>
  <c r="N16" i="14"/>
  <c r="Q16" i="14" s="1"/>
  <c r="R16" i="14" s="1"/>
  <c r="N12" i="14"/>
  <c r="Q12" i="14" s="1"/>
  <c r="N8" i="14"/>
  <c r="Q8" i="14" s="1"/>
  <c r="AN137" i="11"/>
  <c r="AP137" i="11"/>
  <c r="BG137" i="11" l="1"/>
  <c r="BH137" i="11"/>
  <c r="BI137" i="11"/>
  <c r="Q15" i="14"/>
  <c r="R15" i="14" s="1"/>
  <c r="O10" i="14"/>
  <c r="P10" i="14" s="1"/>
  <c r="R10" i="14"/>
  <c r="O8" i="14"/>
  <c r="P8" i="14" s="1"/>
  <c r="R8" i="14"/>
  <c r="O6" i="14"/>
  <c r="P6" i="14" s="1"/>
  <c r="R6" i="14"/>
  <c r="O9" i="14"/>
  <c r="P9" i="14" s="1"/>
  <c r="R9" i="14"/>
  <c r="O7" i="14"/>
  <c r="P7" i="14" s="1"/>
  <c r="R7" i="14"/>
  <c r="O13" i="14"/>
  <c r="P13" i="14" s="1"/>
  <c r="R13" i="14"/>
  <c r="O11" i="14"/>
  <c r="P11" i="14" s="1"/>
  <c r="R11" i="14"/>
  <c r="O12" i="14"/>
  <c r="P12" i="14" s="1"/>
  <c r="R12" i="14"/>
  <c r="O22" i="14"/>
  <c r="P22" i="14" s="1"/>
  <c r="R22" i="14"/>
  <c r="O18" i="14"/>
  <c r="P18" i="14" s="1"/>
  <c r="R18" i="14"/>
  <c r="O15" i="14"/>
  <c r="P15" i="14" s="1"/>
  <c r="O16" i="14"/>
  <c r="P16" i="14" s="1"/>
  <c r="O14" i="14"/>
  <c r="P14" i="14" s="1"/>
  <c r="O20" i="14"/>
  <c r="P20" i="14" s="1"/>
  <c r="O17" i="14"/>
  <c r="P17" i="14" s="1"/>
  <c r="O19" i="14"/>
  <c r="P19" i="14" s="1"/>
  <c r="BJ137" i="11" l="1"/>
  <c r="BM137" i="11" s="1"/>
  <c r="BM100" i="11"/>
  <c r="BK100" i="11" s="1"/>
  <c r="BN137" i="11" l="1"/>
  <c r="BK137" i="11"/>
  <c r="BN100" i="11"/>
  <c r="AM128" i="11" l="1"/>
  <c r="AK128" i="11"/>
  <c r="AG128" i="11"/>
  <c r="AK150" i="11"/>
  <c r="AI150" i="11"/>
  <c r="AG150" i="11"/>
  <c r="I98" i="11"/>
  <c r="G98" i="11"/>
  <c r="I97" i="11"/>
  <c r="G97" i="11"/>
  <c r="AA96" i="11"/>
  <c r="AC96" i="11"/>
  <c r="AE96" i="11"/>
  <c r="AE95" i="11"/>
  <c r="AC95" i="11"/>
  <c r="AA95" i="11"/>
  <c r="I94" i="11"/>
  <c r="G94" i="11"/>
  <c r="I93" i="11"/>
  <c r="G93" i="11"/>
  <c r="I92" i="11"/>
  <c r="G92" i="11"/>
  <c r="G90" i="11"/>
  <c r="I90" i="11"/>
  <c r="AA91" i="11"/>
  <c r="AC91" i="11"/>
  <c r="AE91" i="11"/>
  <c r="I89" i="11"/>
  <c r="G89" i="11"/>
  <c r="I85" i="11"/>
  <c r="G85" i="11"/>
  <c r="AA88" i="11"/>
  <c r="AA87" i="11"/>
  <c r="AA86" i="11"/>
  <c r="AC88" i="11"/>
  <c r="AC87" i="11"/>
  <c r="AC86" i="11"/>
  <c r="AE88" i="11"/>
  <c r="AE87" i="11"/>
  <c r="AE86" i="11"/>
  <c r="I84" i="11"/>
  <c r="G84" i="11"/>
  <c r="AC83" i="11"/>
  <c r="AC82" i="11"/>
  <c r="AC81" i="11"/>
  <c r="AC80" i="11"/>
  <c r="AC79" i="11"/>
  <c r="AA83" i="11"/>
  <c r="AA82" i="11"/>
  <c r="AA81" i="11"/>
  <c r="AA80" i="11"/>
  <c r="AA79" i="11"/>
  <c r="U84" i="11"/>
  <c r="AA78" i="11"/>
  <c r="AA77" i="11"/>
  <c r="AA74" i="11"/>
  <c r="AA73" i="11"/>
  <c r="AA72" i="11"/>
  <c r="AA71" i="11"/>
  <c r="AA70" i="11"/>
  <c r="AC78" i="11"/>
  <c r="AC77" i="11"/>
  <c r="AC74" i="11"/>
  <c r="AC73" i="11"/>
  <c r="AC72" i="11"/>
  <c r="AC71" i="11"/>
  <c r="AC70" i="11"/>
  <c r="AE78" i="11"/>
  <c r="AE77" i="11"/>
  <c r="AE74" i="11"/>
  <c r="AE73" i="11"/>
  <c r="AE72" i="11"/>
  <c r="AE71" i="11"/>
  <c r="AE70" i="11"/>
  <c r="I69" i="11"/>
  <c r="G69" i="11"/>
  <c r="AA68" i="11"/>
  <c r="AA67" i="11"/>
  <c r="AC67" i="11"/>
  <c r="AC68" i="11"/>
  <c r="AE68" i="11"/>
  <c r="AE67" i="11"/>
  <c r="AE66" i="11"/>
  <c r="AE65" i="11"/>
  <c r="AC66" i="11"/>
  <c r="AC65" i="11"/>
  <c r="AA66" i="11"/>
  <c r="AA65" i="11"/>
  <c r="Q43" i="11"/>
  <c r="M43" i="11"/>
  <c r="O41" i="11"/>
  <c r="M41" i="11"/>
  <c r="I41" i="11"/>
  <c r="I38" i="11"/>
  <c r="G41" i="11"/>
  <c r="K38" i="11"/>
  <c r="G38" i="11"/>
  <c r="O37" i="11"/>
  <c r="M37" i="11"/>
  <c r="I37" i="11"/>
  <c r="G37" i="11"/>
  <c r="Q36" i="11"/>
  <c r="M36" i="11"/>
  <c r="J36" i="11"/>
  <c r="K36" i="11" s="1"/>
  <c r="Q35" i="11"/>
  <c r="O35" i="11"/>
  <c r="M35" i="11"/>
  <c r="I35" i="11"/>
  <c r="G35" i="11"/>
  <c r="O32" i="11"/>
  <c r="I32" i="11"/>
  <c r="O31" i="11"/>
  <c r="K31" i="11"/>
  <c r="O30" i="11"/>
  <c r="M30" i="11"/>
  <c r="I30" i="11"/>
  <c r="G30" i="11"/>
  <c r="K29" i="11"/>
  <c r="P29" i="11"/>
  <c r="Q29" i="11" s="1"/>
  <c r="O25" i="11"/>
  <c r="I25" i="11"/>
  <c r="G25" i="11"/>
  <c r="O20" i="11"/>
  <c r="I20" i="11"/>
  <c r="G20" i="11"/>
  <c r="M16" i="11"/>
  <c r="K16" i="11"/>
  <c r="I12" i="11"/>
  <c r="G12" i="11"/>
  <c r="O11" i="11"/>
  <c r="G11" i="11"/>
  <c r="I11" i="11"/>
  <c r="O10" i="11"/>
  <c r="M10" i="11"/>
  <c r="K10" i="11"/>
  <c r="I10" i="11"/>
  <c r="G10" i="11"/>
  <c r="I7" i="11"/>
  <c r="I8" i="11"/>
  <c r="I9" i="11"/>
  <c r="G9" i="11"/>
  <c r="G7" i="11"/>
  <c r="G8" i="11"/>
  <c r="F5" i="14"/>
  <c r="G5" i="14"/>
  <c r="BI6" i="11" l="1"/>
  <c r="BH6" i="11"/>
  <c r="BG6" i="11"/>
  <c r="BI46" i="11"/>
  <c r="BG46" i="11"/>
  <c r="BH46" i="11"/>
  <c r="BI55" i="11"/>
  <c r="BH55" i="11"/>
  <c r="BG55" i="11"/>
  <c r="BG63" i="11"/>
  <c r="BH63" i="11"/>
  <c r="BI63" i="11"/>
  <c r="BJ63" i="11" s="1"/>
  <c r="BG7" i="11"/>
  <c r="BI7" i="11"/>
  <c r="BH7" i="11"/>
  <c r="BG11" i="11"/>
  <c r="BH11" i="11"/>
  <c r="BI11" i="11"/>
  <c r="BH41" i="11"/>
  <c r="BG41" i="11"/>
  <c r="BI41" i="11"/>
  <c r="BH57" i="11"/>
  <c r="BI57" i="11"/>
  <c r="BG57" i="11"/>
  <c r="BH73" i="11"/>
  <c r="BI73" i="11"/>
  <c r="BG73" i="11"/>
  <c r="BI87" i="11"/>
  <c r="BG87" i="11"/>
  <c r="BH87" i="11"/>
  <c r="BI53" i="11"/>
  <c r="BG53" i="11"/>
  <c r="BH53" i="11"/>
  <c r="BH91" i="11"/>
  <c r="BG91" i="11"/>
  <c r="BI91" i="11"/>
  <c r="BJ91" i="11" s="1"/>
  <c r="BG54" i="11"/>
  <c r="BH54" i="11"/>
  <c r="BI54" i="11"/>
  <c r="BJ54" i="11" s="1"/>
  <c r="BG8" i="11"/>
  <c r="BI8" i="11"/>
  <c r="BH8" i="11"/>
  <c r="BI96" i="11"/>
  <c r="BG96" i="11"/>
  <c r="BH96" i="11"/>
  <c r="BG72" i="11"/>
  <c r="BH72" i="11"/>
  <c r="BI72" i="11"/>
  <c r="BJ72" i="11" s="1"/>
  <c r="BG97" i="11"/>
  <c r="BH97" i="11"/>
  <c r="BI97" i="11"/>
  <c r="BJ97" i="11" s="1"/>
  <c r="BH9" i="11"/>
  <c r="BI9" i="11"/>
  <c r="BG9" i="11"/>
  <c r="BG98" i="11"/>
  <c r="BH98" i="11"/>
  <c r="BI98" i="11"/>
  <c r="BI12" i="11"/>
  <c r="BG12" i="11"/>
  <c r="BH12" i="11"/>
  <c r="BH60" i="11"/>
  <c r="BI60" i="11"/>
  <c r="BG60" i="11"/>
  <c r="BI16" i="11"/>
  <c r="BG16" i="11"/>
  <c r="BH16" i="11"/>
  <c r="BI49" i="11"/>
  <c r="BG49" i="11"/>
  <c r="BH49" i="11"/>
  <c r="BG61" i="11"/>
  <c r="BH61" i="11"/>
  <c r="BI61" i="11"/>
  <c r="BH68" i="11"/>
  <c r="BI68" i="11"/>
  <c r="BG68" i="11"/>
  <c r="BH89" i="11"/>
  <c r="BI89" i="11"/>
  <c r="BG89" i="11"/>
  <c r="BG32" i="11"/>
  <c r="BH32" i="11"/>
  <c r="BI32" i="11"/>
  <c r="BI82" i="11"/>
  <c r="BG82" i="11"/>
  <c r="BH82" i="11"/>
  <c r="BH25" i="11"/>
  <c r="BI25" i="11"/>
  <c r="BG25" i="11"/>
  <c r="BG70" i="11"/>
  <c r="BI70" i="11"/>
  <c r="BH70" i="11"/>
  <c r="BG35" i="11"/>
  <c r="BI35" i="11"/>
  <c r="BH35" i="11"/>
  <c r="BH71" i="11"/>
  <c r="BI71" i="11"/>
  <c r="BG71" i="11"/>
  <c r="BI90" i="11"/>
  <c r="BG90" i="11"/>
  <c r="BH90" i="11"/>
  <c r="BH86" i="11"/>
  <c r="BI86" i="11"/>
  <c r="BG86" i="11"/>
  <c r="BI64" i="11"/>
  <c r="BG64" i="11"/>
  <c r="BH64" i="11"/>
  <c r="BH85" i="11"/>
  <c r="BG85" i="11"/>
  <c r="BI85" i="11"/>
  <c r="BJ85" i="11" s="1"/>
  <c r="BG150" i="11"/>
  <c r="BH150" i="11"/>
  <c r="BI150" i="11"/>
  <c r="BJ150" i="11" s="1"/>
  <c r="BH50" i="11"/>
  <c r="BI50" i="11"/>
  <c r="BG50" i="11"/>
  <c r="BI62" i="11"/>
  <c r="BG62" i="11"/>
  <c r="BH62" i="11"/>
  <c r="BG65" i="11"/>
  <c r="BH65" i="11"/>
  <c r="BI65" i="11"/>
  <c r="BJ65" i="11" s="1"/>
  <c r="BG69" i="11"/>
  <c r="BI69" i="11"/>
  <c r="BH69" i="11"/>
  <c r="BG79" i="11"/>
  <c r="BH79" i="11"/>
  <c r="BI79" i="11"/>
  <c r="BG95" i="11"/>
  <c r="BI95" i="11"/>
  <c r="BH95" i="11"/>
  <c r="BG45" i="11"/>
  <c r="BH45" i="11"/>
  <c r="BI45" i="11"/>
  <c r="BJ45" i="11" s="1"/>
  <c r="BH56" i="11"/>
  <c r="BI56" i="11"/>
  <c r="BG56" i="11"/>
  <c r="BG92" i="11"/>
  <c r="BH92" i="11"/>
  <c r="BI92" i="11"/>
  <c r="BG29" i="11"/>
  <c r="BH29" i="11"/>
  <c r="BI29" i="11"/>
  <c r="BG74" i="11"/>
  <c r="BH74" i="11"/>
  <c r="BI74" i="11"/>
  <c r="BJ74" i="11" s="1"/>
  <c r="BG30" i="11"/>
  <c r="BH30" i="11"/>
  <c r="BI30" i="11"/>
  <c r="BJ30" i="11" s="1"/>
  <c r="BI59" i="11"/>
  <c r="BG59" i="11"/>
  <c r="BH59" i="11"/>
  <c r="BG48" i="11"/>
  <c r="BI48" i="11"/>
  <c r="BH48" i="11"/>
  <c r="BG67" i="11"/>
  <c r="BH67" i="11"/>
  <c r="BI67" i="11"/>
  <c r="BJ67" i="11" s="1"/>
  <c r="BG84" i="11"/>
  <c r="BI84" i="11"/>
  <c r="BH84" i="11"/>
  <c r="BG94" i="11"/>
  <c r="BI94" i="11"/>
  <c r="BH94" i="11"/>
  <c r="BH10" i="11"/>
  <c r="BG10" i="11"/>
  <c r="BI10" i="11"/>
  <c r="BI20" i="11"/>
  <c r="BG20" i="11"/>
  <c r="BH20" i="11"/>
  <c r="BG37" i="11"/>
  <c r="BH37" i="11"/>
  <c r="BI37" i="11"/>
  <c r="BG51" i="11"/>
  <c r="BH51" i="11"/>
  <c r="BI51" i="11"/>
  <c r="BH66" i="11"/>
  <c r="BG66" i="11"/>
  <c r="BI66" i="11"/>
  <c r="BG80" i="11"/>
  <c r="BI80" i="11"/>
  <c r="BH80" i="11"/>
  <c r="BG128" i="11"/>
  <c r="BH128" i="11"/>
  <c r="BI128" i="11"/>
  <c r="BG83" i="11"/>
  <c r="BH83" i="11"/>
  <c r="BI83" i="11"/>
  <c r="BG47" i="11"/>
  <c r="BH47" i="11"/>
  <c r="BI47" i="11"/>
  <c r="BH88" i="11"/>
  <c r="BI88" i="11"/>
  <c r="BG88" i="11"/>
  <c r="BI77" i="11"/>
  <c r="BG77" i="11"/>
  <c r="BH77" i="11"/>
  <c r="BH36" i="11"/>
  <c r="BI36" i="11"/>
  <c r="BG36" i="11"/>
  <c r="BI78" i="11"/>
  <c r="BG78" i="11"/>
  <c r="BH78" i="11"/>
  <c r="BI44" i="11"/>
  <c r="BG44" i="11"/>
  <c r="BH44" i="11"/>
  <c r="BH52" i="11"/>
  <c r="BG52" i="11"/>
  <c r="BI52" i="11"/>
  <c r="BI81" i="11"/>
  <c r="BG81" i="11"/>
  <c r="BH81" i="11"/>
  <c r="BH93" i="11"/>
  <c r="BI93" i="11"/>
  <c r="BG93" i="11"/>
  <c r="BG43" i="11"/>
  <c r="BI43" i="11"/>
  <c r="BH43" i="11"/>
  <c r="BG42" i="11"/>
  <c r="BH42" i="11"/>
  <c r="BI42" i="11"/>
  <c r="BG38" i="11"/>
  <c r="BI38" i="11"/>
  <c r="BH38" i="11"/>
  <c r="BG31" i="11"/>
  <c r="BH31" i="11"/>
  <c r="BI31" i="11"/>
  <c r="BI28" i="11"/>
  <c r="BH28" i="11"/>
  <c r="BG28" i="11"/>
  <c r="BG27" i="11"/>
  <c r="BI27" i="11"/>
  <c r="BH27" i="11"/>
  <c r="BG26" i="11"/>
  <c r="BH26" i="11"/>
  <c r="BI26" i="11"/>
  <c r="M5" i="14"/>
  <c r="L5" i="14"/>
  <c r="K5" i="14"/>
  <c r="BJ61" i="11" l="1"/>
  <c r="BM61" i="11" s="1"/>
  <c r="BK61" i="11" s="1"/>
  <c r="BJ128" i="11"/>
  <c r="BJ31" i="11"/>
  <c r="BM31" i="11" s="1"/>
  <c r="BK31" i="11" s="1"/>
  <c r="BJ32" i="11"/>
  <c r="BM32" i="11" s="1"/>
  <c r="BK32" i="11" s="1"/>
  <c r="BJ98" i="11"/>
  <c r="BM98" i="11" s="1"/>
  <c r="BK98" i="11" s="1"/>
  <c r="BJ37" i="11"/>
  <c r="BM37" i="11" s="1"/>
  <c r="BK37" i="11" s="1"/>
  <c r="BJ71" i="11"/>
  <c r="BM71" i="11" s="1"/>
  <c r="BJ57" i="11"/>
  <c r="BM57" i="11" s="1"/>
  <c r="BK57" i="11" s="1"/>
  <c r="BJ66" i="11"/>
  <c r="BM66" i="11" s="1"/>
  <c r="BK66" i="11" s="1"/>
  <c r="BJ93" i="11"/>
  <c r="BM93" i="11" s="1"/>
  <c r="BK93" i="11" s="1"/>
  <c r="BJ26" i="11"/>
  <c r="BM26" i="11" s="1"/>
  <c r="BJ83" i="11"/>
  <c r="BM83" i="11" s="1"/>
  <c r="BK83" i="11" s="1"/>
  <c r="BJ51" i="11"/>
  <c r="BM51" i="11" s="1"/>
  <c r="BK51" i="11" s="1"/>
  <c r="BJ92" i="11"/>
  <c r="BM92" i="11" s="1"/>
  <c r="BK92" i="11" s="1"/>
  <c r="BJ79" i="11"/>
  <c r="BM79" i="11" s="1"/>
  <c r="BN79" i="11" s="1"/>
  <c r="BJ52" i="11"/>
  <c r="BM52" i="11" s="1"/>
  <c r="BK52" i="11" s="1"/>
  <c r="BJ25" i="11"/>
  <c r="BM25" i="11" s="1"/>
  <c r="BK25" i="11" s="1"/>
  <c r="BJ68" i="11"/>
  <c r="BM68" i="11" s="1"/>
  <c r="BK68" i="11" s="1"/>
  <c r="BJ73" i="11"/>
  <c r="BM73" i="11" s="1"/>
  <c r="BK73" i="11" s="1"/>
  <c r="BJ55" i="11"/>
  <c r="BM55" i="11" s="1"/>
  <c r="BK55" i="11" s="1"/>
  <c r="BJ95" i="11"/>
  <c r="BM95" i="11" s="1"/>
  <c r="BK95" i="11" s="1"/>
  <c r="BJ36" i="11"/>
  <c r="BM36" i="11" s="1"/>
  <c r="BK36" i="11" s="1"/>
  <c r="BJ50" i="11"/>
  <c r="BM50" i="11" s="1"/>
  <c r="BK50" i="11" s="1"/>
  <c r="BJ86" i="11"/>
  <c r="BM86" i="11" s="1"/>
  <c r="BK86" i="11" s="1"/>
  <c r="BJ53" i="11"/>
  <c r="BM53" i="11" s="1"/>
  <c r="BK53" i="11" s="1"/>
  <c r="BJ48" i="11"/>
  <c r="BM48" i="11" s="1"/>
  <c r="BK48" i="11" s="1"/>
  <c r="BJ96" i="11"/>
  <c r="BM96" i="11" s="1"/>
  <c r="BK96" i="11" s="1"/>
  <c r="BJ88" i="11"/>
  <c r="BM88" i="11" s="1"/>
  <c r="BK88" i="11" s="1"/>
  <c r="BJ60" i="11"/>
  <c r="BM60" i="11" s="1"/>
  <c r="BK60" i="11" s="1"/>
  <c r="BJ41" i="11"/>
  <c r="BM41" i="11" s="1"/>
  <c r="BK41" i="11" s="1"/>
  <c r="BJ84" i="11"/>
  <c r="BM84" i="11" s="1"/>
  <c r="BK84" i="11" s="1"/>
  <c r="BJ56" i="11"/>
  <c r="BM56" i="11" s="1"/>
  <c r="BK56" i="11" s="1"/>
  <c r="BJ69" i="11"/>
  <c r="BM69" i="11" s="1"/>
  <c r="BK69" i="11" s="1"/>
  <c r="BJ70" i="11"/>
  <c r="BM70" i="11" s="1"/>
  <c r="BJ89" i="11"/>
  <c r="BM89" i="11" s="1"/>
  <c r="BK89" i="11" s="1"/>
  <c r="BJ94" i="11"/>
  <c r="BM94" i="11" s="1"/>
  <c r="BK94" i="11" s="1"/>
  <c r="BJ80" i="11"/>
  <c r="BM80" i="11" s="1"/>
  <c r="BJ44" i="11"/>
  <c r="BM44" i="11" s="1"/>
  <c r="BK44" i="11" s="1"/>
  <c r="BJ90" i="11"/>
  <c r="BM90" i="11" s="1"/>
  <c r="BJ87" i="11"/>
  <c r="BM87" i="11" s="1"/>
  <c r="BK87" i="11" s="1"/>
  <c r="BJ46" i="11"/>
  <c r="BM46" i="11" s="1"/>
  <c r="BK46" i="11" s="1"/>
  <c r="BJ81" i="11"/>
  <c r="BJ59" i="11"/>
  <c r="BM59" i="11" s="1"/>
  <c r="BK59" i="11" s="1"/>
  <c r="BJ49" i="11"/>
  <c r="BM49" i="11" s="1"/>
  <c r="BK49" i="11" s="1"/>
  <c r="BJ47" i="11"/>
  <c r="BM47" i="11" s="1"/>
  <c r="BK47" i="11" s="1"/>
  <c r="BJ29" i="11"/>
  <c r="BM29" i="11" s="1"/>
  <c r="BK29" i="11" s="1"/>
  <c r="BJ35" i="11"/>
  <c r="BM35" i="11" s="1"/>
  <c r="BK35" i="11" s="1"/>
  <c r="BJ77" i="11"/>
  <c r="BM77" i="11" s="1"/>
  <c r="BK77" i="11" s="1"/>
  <c r="BJ78" i="11"/>
  <c r="BM78" i="11" s="1"/>
  <c r="BJ62" i="11"/>
  <c r="BM62" i="11" s="1"/>
  <c r="BK62" i="11" s="1"/>
  <c r="BJ64" i="11"/>
  <c r="BM64" i="11" s="1"/>
  <c r="BK64" i="11" s="1"/>
  <c r="BJ82" i="11"/>
  <c r="BJ43" i="11"/>
  <c r="BM43" i="11" s="1"/>
  <c r="BK43" i="11" s="1"/>
  <c r="BJ42" i="11"/>
  <c r="BM42" i="11" s="1"/>
  <c r="BK42" i="11" s="1"/>
  <c r="BJ38" i="11"/>
  <c r="BM38" i="11" s="1"/>
  <c r="BK38" i="11" s="1"/>
  <c r="BJ28" i="11"/>
  <c r="BM28" i="11" s="1"/>
  <c r="BK28" i="11" s="1"/>
  <c r="BJ27" i="11"/>
  <c r="BM27" i="11" s="1"/>
  <c r="BK27" i="11" s="1"/>
  <c r="BJ8" i="11"/>
  <c r="BM8" i="11" s="1"/>
  <c r="BK8" i="11" s="1"/>
  <c r="BM85" i="11"/>
  <c r="BK85" i="11" s="1"/>
  <c r="BM67" i="11"/>
  <c r="BM97" i="11"/>
  <c r="N5" i="14"/>
  <c r="Q5" i="14" s="1"/>
  <c r="R5" i="14" s="1"/>
  <c r="BJ20" i="11"/>
  <c r="BM20" i="11" s="1"/>
  <c r="BK20" i="11" s="1"/>
  <c r="BM72" i="11"/>
  <c r="BK72" i="11" s="1"/>
  <c r="BJ10" i="11"/>
  <c r="BM10" i="11" s="1"/>
  <c r="BK10" i="11" s="1"/>
  <c r="BM24" i="11"/>
  <c r="BK24" i="11" s="1"/>
  <c r="BM63" i="11"/>
  <c r="BK63" i="11" s="1"/>
  <c r="BJ16" i="11"/>
  <c r="BM16" i="11" s="1"/>
  <c r="BK16" i="11" s="1"/>
  <c r="BM150" i="11"/>
  <c r="BK150" i="11" s="1"/>
  <c r="BJ9" i="11"/>
  <c r="BM9" i="11" s="1"/>
  <c r="BK9" i="11" s="1"/>
  <c r="BM74" i="11"/>
  <c r="BK74" i="11" s="1"/>
  <c r="BJ12" i="11"/>
  <c r="BM12" i="11" s="1"/>
  <c r="BJ22" i="11"/>
  <c r="BM22" i="11" s="1"/>
  <c r="BK22" i="11" s="1"/>
  <c r="BJ7" i="11"/>
  <c r="BM7" i="11" s="1"/>
  <c r="BK7" i="11" s="1"/>
  <c r="BM45" i="11"/>
  <c r="BK45" i="11" s="1"/>
  <c r="BM30" i="11"/>
  <c r="BK30" i="11" s="1"/>
  <c r="BJ21" i="11"/>
  <c r="BM21" i="11" s="1"/>
  <c r="BK21" i="11" s="1"/>
  <c r="BM54" i="11"/>
  <c r="BK54" i="11" s="1"/>
  <c r="BM23" i="11"/>
  <c r="BK23" i="11" s="1"/>
  <c r="BM91" i="11"/>
  <c r="BK91" i="11" s="1"/>
  <c r="BM34" i="11"/>
  <c r="BK34" i="11" s="1"/>
  <c r="BM65" i="11"/>
  <c r="BK65" i="11" s="1"/>
  <c r="BJ11" i="11"/>
  <c r="BM11" i="11" s="1"/>
  <c r="BK11" i="11" s="1"/>
  <c r="BJ6" i="11"/>
  <c r="BM6" i="11" l="1"/>
  <c r="BK6" i="11" s="1"/>
  <c r="BK12" i="11"/>
  <c r="BN90" i="11"/>
  <c r="BK90" i="11"/>
  <c r="BN26" i="11"/>
  <c r="BK26" i="11"/>
  <c r="BN67" i="11"/>
  <c r="BK67" i="11"/>
  <c r="BN70" i="11"/>
  <c r="BK70" i="11"/>
  <c r="BN97" i="11"/>
  <c r="BK97" i="11"/>
  <c r="BN71" i="11"/>
  <c r="BK71" i="11"/>
  <c r="BN78" i="11"/>
  <c r="BK78" i="11"/>
  <c r="BK80" i="11"/>
  <c r="BN80" i="11"/>
  <c r="BK79" i="11"/>
  <c r="BM82" i="11"/>
  <c r="BM128" i="11"/>
  <c r="BM81" i="11"/>
  <c r="BN85" i="11"/>
  <c r="O5" i="14"/>
  <c r="P5" i="14" s="1"/>
  <c r="Q23" i="14"/>
  <c r="BN74" i="11"/>
  <c r="BN43" i="11"/>
  <c r="BN47" i="11"/>
  <c r="BN61" i="11"/>
  <c r="R23" i="14"/>
  <c r="BN55" i="11"/>
  <c r="BN8" i="11"/>
  <c r="BN53" i="11"/>
  <c r="BN59" i="11"/>
  <c r="BN25" i="11"/>
  <c r="BN66" i="11"/>
  <c r="BN21" i="11"/>
  <c r="BN48" i="11"/>
  <c r="BN22" i="11"/>
  <c r="BN41" i="11"/>
  <c r="BN84" i="11"/>
  <c r="BN83" i="11"/>
  <c r="BN68" i="11"/>
  <c r="BN54" i="11"/>
  <c r="BN27" i="11"/>
  <c r="BN11" i="11"/>
  <c r="BN91" i="11"/>
  <c r="BN94" i="11"/>
  <c r="BN31" i="11"/>
  <c r="BN23" i="11"/>
  <c r="BN65" i="11"/>
  <c r="BN34" i="11"/>
  <c r="BN37" i="11"/>
  <c r="BN36" i="11"/>
  <c r="BN46" i="11"/>
  <c r="BN30" i="11"/>
  <c r="BN52" i="11"/>
  <c r="BN51" i="11"/>
  <c r="BM151" i="11" l="1"/>
  <c r="BK82" i="11"/>
  <c r="BL82" i="11" s="1"/>
  <c r="BN82" i="11"/>
  <c r="BK128" i="11"/>
  <c r="BL128" i="11" s="1"/>
  <c r="BN128" i="11"/>
  <c r="BK81" i="11"/>
  <c r="BL81" i="11" s="1"/>
  <c r="BN81" i="11"/>
  <c r="BL79" i="11"/>
  <c r="BN6" i="11"/>
  <c r="BL80" i="11"/>
  <c r="BN12" i="11"/>
  <c r="BN64" i="11"/>
  <c r="BN28" i="11"/>
  <c r="BN77" i="11"/>
  <c r="BN38" i="11"/>
  <c r="BN56" i="11"/>
  <c r="BN24" i="11"/>
  <c r="BN29" i="11"/>
  <c r="BN92" i="11"/>
  <c r="BN49" i="11"/>
  <c r="BN35" i="11"/>
  <c r="BN44" i="11"/>
  <c r="BN87" i="11"/>
  <c r="BN88" i="11"/>
  <c r="BN98" i="11"/>
  <c r="BN89" i="11"/>
  <c r="BN42" i="11"/>
  <c r="BN150" i="11"/>
  <c r="BN69" i="11"/>
  <c r="BN7" i="11"/>
  <c r="BN95" i="11"/>
  <c r="BN45" i="11"/>
  <c r="BN32" i="11"/>
  <c r="BN16" i="11"/>
  <c r="BN9" i="11"/>
  <c r="BN62" i="11"/>
  <c r="BN72" i="11"/>
  <c r="BN96" i="11"/>
  <c r="BN93" i="11"/>
  <c r="BN86" i="11"/>
  <c r="BN20" i="11"/>
  <c r="BN10" i="11"/>
  <c r="BN57" i="11"/>
  <c r="BN60" i="11"/>
  <c r="BN50" i="11"/>
  <c r="BN63" i="11"/>
  <c r="BN73" i="11"/>
  <c r="BN151" i="1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ALCALDIA USME</author>
  </authors>
  <commentList>
    <comment ref="B117" authorId="0" shapeId="0" xr:uid="{CBCC21C8-06A6-4E53-9921-918FF69AC218}">
      <text>
        <r>
          <rPr>
            <b/>
            <sz val="9"/>
            <color indexed="81"/>
            <rFont val="Tahoma"/>
            <family val="2"/>
          </rPr>
          <t>ALCALDIA USME:</t>
        </r>
        <r>
          <rPr>
            <sz val="9"/>
            <color indexed="81"/>
            <rFont val="Tahoma"/>
            <family val="2"/>
          </rPr>
          <t xml:space="preserve">
SE CAMBIO POR AGRIMIX K CALCIO BORO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tc={824F5919-FA54-4179-9E9C-9243A402770A}</author>
  </authors>
  <commentList>
    <comment ref="B77" authorId="0" shapeId="0" xr:uid="{824F5919-FA54-4179-9E9C-9243A402770A}">
      <text>
        <t>[Comentario encadenado]
Su versión de Excel le permite leer este comentario encadenado; sin embargo, las ediciones que se apliquen se quitarán si el archivo se abre en una versión más reciente de Excel. Más información: https://go.microsoft.com/fwlink/?linkid=870924
Comentario:
    TIENE MARCA HONDA</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tc={356EDD2D-8E70-4140-81BB-A6A09E1E39D6}</author>
  </authors>
  <commentList>
    <comment ref="B53" authorId="0" shapeId="0" xr:uid="{356EDD2D-8E70-4140-81BB-A6A09E1E39D6}">
      <text>
        <t>[Comentario encadenado]
Su versión de Excel le permite leer este comentario encadenado; sin embargo, las ediciones que se apliquen se quitarán si el archivo se abre en una versión más reciente de Excel. Más información: https://go.microsoft.com/fwlink/?linkid=870924
Comentario:
    Varia es en la palabra “caja”, son el mismo elemento</t>
      </text>
    </comment>
  </commentList>
</comments>
</file>

<file path=xl/sharedStrings.xml><?xml version="1.0" encoding="utf-8"?>
<sst xmlns="http://schemas.openxmlformats.org/spreadsheetml/2006/main" count="2729" uniqueCount="1324">
  <si>
    <t xml:space="preserve">SECRETARIA DE GOBIERNO - ALCALDIA LOCAL DE CIUDAD BOLIVAR </t>
  </si>
  <si>
    <t>ITEM</t>
  </si>
  <si>
    <t>ELEMENTO Y/O PRODUCTO</t>
  </si>
  <si>
    <t>DESCRIPCIÓN / ESPECIFICACIÓN TÉCNICA</t>
  </si>
  <si>
    <t>UNIDAD DE MEDIDA</t>
  </si>
  <si>
    <t xml:space="preserve">VALOR UNITARIO IVA INCLUIDO </t>
  </si>
  <si>
    <t>Medallas</t>
  </si>
  <si>
    <t>Unidad</t>
  </si>
  <si>
    <t xml:space="preserve">Tapete tipo golosa </t>
  </si>
  <si>
    <t>Juego pedagógico “Buscar Pareja – Fauna Silvestre”</t>
  </si>
  <si>
    <t>Lotería pedagógica “Semáforo del Cuidado Animal”</t>
  </si>
  <si>
    <t>Kit señalético para circuito pedagógico</t>
  </si>
  <si>
    <t>Lona mural participativa reutilizable</t>
  </si>
  <si>
    <t>Teatro de títeres pedagógico</t>
  </si>
  <si>
    <t>Plantillas pedagógicas (stencils) animalistas</t>
  </si>
  <si>
    <t>Juego tapete tipo escalera y serpientes</t>
  </si>
  <si>
    <t>Tulas (logo PyBA CB)</t>
  </si>
  <si>
    <t>Pines insignia (logo PyBA CB)</t>
  </si>
  <si>
    <t>Binoculares</t>
  </si>
  <si>
    <t>Platos plegables de agua (logo PyBA CB)</t>
  </si>
  <si>
    <t>Dado </t>
  </si>
  <si>
    <t>Unidad </t>
  </si>
  <si>
    <t>PLÁNTULA UCHUVA</t>
  </si>
  <si>
    <t xml:space="preserve">Uchuva (physalis peruviana) Variedad Colombia, Número de hojas verdaderas: 4-5,Color de hojas: verde, Altura de planta: 15-20 cm certificada </t>
  </si>
  <si>
    <t xml:space="preserve">ESTOLONES DE FRESA </t>
  </si>
  <si>
    <t>PLÁNTULAS DE MORA</t>
  </si>
  <si>
    <t xml:space="preserve">ESQUEJES HIERBABUENA </t>
  </si>
  <si>
    <t xml:space="preserve">ESQUEJES MANZANILLA </t>
  </si>
  <si>
    <t>ALBAHACA GENOVESA</t>
  </si>
  <si>
    <t xml:space="preserve">Sobre </t>
  </si>
  <si>
    <t>BRÓCOLI BATON PREMIUM</t>
  </si>
  <si>
    <t>Sobre</t>
  </si>
  <si>
    <t>CEBOLLA PERGAMINO PRF</t>
  </si>
  <si>
    <t>CEBOLLA LARGA TOKIO</t>
  </si>
  <si>
    <t>CILANTRO PATIMORADO</t>
  </si>
  <si>
    <t xml:space="preserve">COL TALLOS GEORGIA SOUTHERT </t>
  </si>
  <si>
    <t>COLIFLOR SNOWBALL</t>
  </si>
  <si>
    <t>ACELGA PENCA BLANCA</t>
  </si>
  <si>
    <t>APIO TALL UTAH</t>
  </si>
  <si>
    <t>ESPINACA VISIÓN MEJORADA</t>
  </si>
  <si>
    <t xml:space="preserve">Sobre 
</t>
  </si>
  <si>
    <t>HIERBABUENA</t>
  </si>
  <si>
    <t xml:space="preserve">CEBOLLÍN HOJA FINA </t>
  </si>
  <si>
    <t>HINOJO</t>
  </si>
  <si>
    <t xml:space="preserve">Paquete </t>
  </si>
  <si>
    <t>SEMILLA LECHUGA SIMPSON</t>
  </si>
  <si>
    <t>SEMILLA LECHUGA ROMANA PARRIS ISLAND</t>
  </si>
  <si>
    <t>MANZANILLA</t>
  </si>
  <si>
    <t>MEJORANA</t>
  </si>
  <si>
    <t xml:space="preserve">MENTA OFICIAL 2125 </t>
  </si>
  <si>
    <t xml:space="preserve">OREGANO </t>
  </si>
  <si>
    <t>PEREJIL CRESPO</t>
  </si>
  <si>
    <t>Libra</t>
  </si>
  <si>
    <t>RABANO CRIMSON GIANT</t>
  </si>
  <si>
    <t>RABANO BLANCO</t>
  </si>
  <si>
    <t>REMOLACHA EARLY WONDER</t>
  </si>
  <si>
    <t>SEMILLA REMOLACHA CROSBY EGYPTIAN</t>
  </si>
  <si>
    <t>REPOLLO MORADO</t>
  </si>
  <si>
    <t xml:space="preserve">SEMILLA REPOLLO COPENHAGEN MARKET </t>
  </si>
  <si>
    <t>TOMILLO WINTER</t>
  </si>
  <si>
    <t xml:space="preserve">TORONJIL </t>
  </si>
  <si>
    <t>ZANAHORIA  ROYAL CHANTENAY</t>
  </si>
  <si>
    <t>ZANAHORIA DANVERS 126</t>
  </si>
  <si>
    <t>SEMILLA AVENA FORRAJERA "NACIONAL"</t>
  </si>
  <si>
    <t xml:space="preserve">Bulto  </t>
  </si>
  <si>
    <t xml:space="preserve">SEMILLA TOMATE CHERRY </t>
  </si>
  <si>
    <t>CALÉNDULA</t>
  </si>
  <si>
    <t xml:space="preserve">Sobre  </t>
  </si>
  <si>
    <t xml:space="preserve">PLÁNTULAS DE ACELGA </t>
  </si>
  <si>
    <t xml:space="preserve">Plántulas de  Acelga  (Beta vulgaris var. cicla,)  altura 10-15 cm, 25-35 dias de germinacion  viveros certificados </t>
  </si>
  <si>
    <t>PLÁNTULAS DE BRÓCOLI</t>
  </si>
  <si>
    <t xml:space="preserve">Plántulas de brocoli (Brassica oleracea var. italica)  altura 10-15 cm, 25-35 dias de germinacion  viveros certificados </t>
  </si>
  <si>
    <t xml:space="preserve">PLÁNTULAS DE CEBOLLA CABEZONA </t>
  </si>
  <si>
    <t xml:space="preserve">Plántulas de  Cebolla cabezona  (Allium cepa L)  altura 10-15 cm, 30-45 dias de germinacion  viveros certificados </t>
  </si>
  <si>
    <t>PLÁNTULAS DE CEBOLLA LARGA</t>
  </si>
  <si>
    <t xml:space="preserve">Plántulas de  Cebolla larga   (Allium fistulosum)  altura 10-20 cm, 30-45 dias de germinacion  viveros certificados </t>
  </si>
  <si>
    <t>PLÁNTULAS DE CEBOLLIN</t>
  </si>
  <si>
    <t xml:space="preserve">Plántulas de  Cebollin (Allium schoenoprasum)  altura 10-15 cm, 30-45 dias de germinacion  viveros certificados </t>
  </si>
  <si>
    <t xml:space="preserve">PLÁNTULAS DE COGOLLOS DE TUDELA </t>
  </si>
  <si>
    <t xml:space="preserve">Plántulas de Cogollos de tudela    (Lactuca sativa var. capitata)  altura 08-12 cm, 25-35 dias de germinacion  viveros certificados </t>
  </si>
  <si>
    <t xml:space="preserve">PLÁNTULAS DE COL DE BRUCELAS </t>
  </si>
  <si>
    <t xml:space="preserve">Plántulas de  Col de Brucelas   (Brassica oleracea var. gemmifera)  altura 10-15 cm, 30-45 dias de germinacion  viveros certificados </t>
  </si>
  <si>
    <t>PLÁNTULAS DE COLIFLOR</t>
  </si>
  <si>
    <t xml:space="preserve">Plántulas de Coliflor (Brassica oleracea var. botrytis,)  altura 10-15 cm, 25-30 dias de germinacion  viveros certificados </t>
  </si>
  <si>
    <t>PLÁNTULAS DE ESPINACA</t>
  </si>
  <si>
    <t xml:space="preserve">Plántulas de Espinaca (Spinacia oleracea)  altura 08-12 cm, 25-30 dias de germinacion  viveros certificados </t>
  </si>
  <si>
    <t xml:space="preserve">PLÁNTULAS DE HIERBABUENA </t>
  </si>
  <si>
    <t xml:space="preserve">Plántulas de hierbabuena   (Mentha spicata)  altura 15 a 30 cm, 30- 45 dias de germinacion  viveros certificados </t>
  </si>
  <si>
    <t xml:space="preserve">PLÁNTULAS DE LECHUGA CRESPA MORADA </t>
  </si>
  <si>
    <t xml:space="preserve">Plántulas de Lechuga crespa morada (Lactuca sativa var. crispa f. rubra)  altura 08-12 cm, 25-35 dias de germinacion  viveros certificados </t>
  </si>
  <si>
    <t>PLÁNTULAS DE LECHUGA CRESPA VERDE</t>
  </si>
  <si>
    <t xml:space="preserve">Plántulas de Lechuga crespa verde   (Lactuca sativa var. crispa)  altura 08-12 cm, 25-35 dias de germinacion  viveros certificados </t>
  </si>
  <si>
    <t>PLÁNTULAS DE LECHUGA SIMPSON</t>
  </si>
  <si>
    <t xml:space="preserve">Plántulas de Lechuga Simpson (Lactuca sativa)  altura 8-12 cm, 25-30 dias de germinacion  viveros certificados </t>
  </si>
  <si>
    <t xml:space="preserve">PLÁNTULAS DE MANZANILLA </t>
  </si>
  <si>
    <t xml:space="preserve">Plántulas de Manzanilla   (Matricaria recutita)  altura 15 a 20 cm, 30- 45 dias de germinacion  viveros certificados </t>
  </si>
  <si>
    <t xml:space="preserve">Plántulas de mora (Rubus glaucus Benth)  altura 15 a 25 cm viveros certificados </t>
  </si>
  <si>
    <t>PLÁNTULAS DE OREGANO</t>
  </si>
  <si>
    <t xml:space="preserve">Plántulas de Oregano  (Origanum vulgare)  altura 12 a 15 cm, 30- 45 dias de germinacion  viveros certificados </t>
  </si>
  <si>
    <t>PLÁNTULAS DE PAPAYUELO</t>
  </si>
  <si>
    <t xml:space="preserve">Plántulas de papayuelo  (Vasconcellea pubescens)  altura 20 a 30 cm, 45 - 60 dias de germinacion  viveros certificados </t>
  </si>
  <si>
    <t xml:space="preserve">PLÁNTULAS DE PEREJIL CRESPO </t>
  </si>
  <si>
    <t xml:space="preserve">Plántulas de Perejil Crespo     (Petroselinum crispum var. crispum)  altura 10-15 cm, 30-45 dias de germinacion  viveros certificados </t>
  </si>
  <si>
    <t xml:space="preserve">PLÁNTULAS DE REPOLLO MORADO </t>
  </si>
  <si>
    <t xml:space="preserve">Plántulas de Repollo morado  (Brassica oleracea var. capitata f. rubra)  altura 10-15 cm, 30-45 dias de germinacion  viveros certificados </t>
  </si>
  <si>
    <t xml:space="preserve">PLÁNTULA DE CURUBA </t>
  </si>
  <si>
    <t xml:space="preserve">Curuba  (Passiflora tripartita var. mollissim.)   altura promedio de  10 y 20 cm y 30–45 días (ideales para trasplante) viveros certificados </t>
  </si>
  <si>
    <t>PLÁNTULAS DE RUDA</t>
  </si>
  <si>
    <t xml:space="preserve">Plántulas de Ruda   (Ruta graveolens)  altura 15 a 20 cm, 30- 45 dias de germinacion  viveros certificados </t>
  </si>
  <si>
    <t>PACAS DE CASCARILLA</t>
  </si>
  <si>
    <t>Paca</t>
  </si>
  <si>
    <t>CAL DOLOMITA</t>
  </si>
  <si>
    <t>Bulto</t>
  </si>
  <si>
    <t xml:space="preserve">HUMUS LÍQUIDO </t>
  </si>
  <si>
    <t>Garrafa</t>
  </si>
  <si>
    <t>HUMUS SÓLIDO</t>
  </si>
  <si>
    <t>FUNGICIDA</t>
  </si>
  <si>
    <t>Litro</t>
  </si>
  <si>
    <t>FUNGICIDA BOTÁNICO DE AMPLIO ESPECTRO - INGREDIENTE ACTIVO: LIMONELO + ESCUALENO EXTRACTO VEGETAL 90%SL</t>
  </si>
  <si>
    <t>Es un fungicida botánico de amplio espectro obtenido a partir de extractos vegetales homogenizados en una base oleosa orgánica que se mezcla fácilmente con el agua, desarrollado para proteger de algunas enfermedades a las flores, frutales, hortalizas y plantas ornamentales. ingrediente activo: limonelo + escualeno extracto vegetal 90%sl</t>
  </si>
  <si>
    <t>BIOESTIMULANTE DE LOS PROCESOS FISIOLÓGICOS VEGETALES</t>
  </si>
  <si>
    <t>Es un producto procedente de extractos vegetales ricos en bionutrientes, entre los que se incluyen proteínas específicas, aminoácidos, auxinas, citoquinas, vitaminas, ácidos orgánicos, microelementos fitoquelatados y otros componentes biológicamente activos. es utilizado como bioestimulante de los procesos fisiológicos vegetales en los momentos mas críticos de las plantas cultivadas (enraizado, floración, cuajado, etc.) así como en la superación de momentos difíciles y situaciones adversas (heladas, altas temperaturas, sequías, encharcamientos, fitotoxicidades, etc). composicion: hierro soluble en agua (fe) 12,0 g/l, manganeso soluble en agua (mn) 23,0 g/l, zinc soluble en agua (zn) 11,0 g/l.</t>
  </si>
  <si>
    <t>FUNGICIDA BOTÁNICO DE AMPLIO ESPECTRO - INGREDIENTE ACTIVO: CARVACOL + TIMOL + CITRAL EXTRACTO VEGETAL 90% SL.</t>
  </si>
  <si>
    <t>Fungicida botanicode amplio espectro, obtenido a partir de extractos vegetales homogenizados en una base oleosa orgánica que se mezcla fácil con el agua. es completamente orgánico, rápidamente biodegradable e inocuo para el hombre y el medio ambiente, desarrollado para proteger de algunas enfermedades a flores, frutales, hortalizas, algodón y plantas ornamentales. actúa como endoelicitor y exoelicitor por los metabolitos presentes en los extractos. ingrediente activo: carvacol + timol + citral extracto vegetal 90% sl.</t>
  </si>
  <si>
    <t>FERTILIZANTE ORGÁNICO MINERAL</t>
  </si>
  <si>
    <t>FERTILIZANTE COMPUESTO</t>
  </si>
  <si>
    <t>Es un producto especialmente diseñado para incrementar la calidad de las producciones agrícolas y la cantidad de las mismas al conseguir una mayor homogeneidad de flores y frutos. compuesto a partir de bioactivadores de origen vegetal, macros y microelementos esenciales y estimulantes naturales, puede ser aplicado en todo tipo de cultivos, tanto herbáceos como leñosos a los que favorece el cuajado y la fijación de sus frutos.es un fortificante exento de microorganismos que activa y potencia los mecanismo de defensa en las plantas. composicion: extractos naturales con alto poder estimulante + aminoacidos + acidos carboxilicos + k 12% + p 8% + b 0.4% y mo 0.2%</t>
  </si>
  <si>
    <t>FERTILIZANTE DE ALTA CONCENTRACIÓN PARA MEJORAR EL CULTIVO</t>
  </si>
  <si>
    <t>ACARICIDAD LÍQUIDO EMULSIONADO</t>
  </si>
  <si>
    <t>Acaricida líquido emulsionado de extracto concentrado de ajo y ají combinado con parafina y otros aceites. composicion: alisina + capsicina extracto vegetal  0,07 + 0,03 g/l sl.</t>
  </si>
  <si>
    <t>MULTICATALIZADOR ENZIMÁTICO QUE INCREMENTA EL RENDIMIENTO DEL CULTIVO</t>
  </si>
  <si>
    <t>EXTRACTO DE AJI- AJO - INSECTICIDA ORGÁNICO</t>
  </si>
  <si>
    <t xml:space="preserve">BANDEJA DE PLANTULACIÓN </t>
  </si>
  <si>
    <t>EXTRACTO DE NIM</t>
  </si>
  <si>
    <t>Insecticida de origen vegetal. es un insecticida botánico obtenido a partir de las semillas del arbol del neem (azadirachta indica a.), completamente orgánico, rápidamente biodegradable e inocuo para el hombre y el medio ambiente. ingrediente activo  azadirachtina extracto vegetal 0,4% sl.</t>
  </si>
  <si>
    <t>EXTRACTO DE RUDA</t>
  </si>
  <si>
    <t>Es un nematicida botánico obtenido a partir del extracto de la planta de ruda, es completamente orgánico, rápidamente biodegradable e inocuo para el hombre y el medio ambiente, desarrollado como preventivo de nematodos en flores, frutales y hortalizas. ingrediente activo: nulina-rutina-yoduro-taninos-crisofanol extracto vegetal 90% sl.</t>
  </si>
  <si>
    <t>HIDROLATO COLA DE CABALLO</t>
  </si>
  <si>
    <t>HIDROLATO DE AJENJO</t>
  </si>
  <si>
    <t>Fungicida botánico obtenido a partir de la planta de ajenjo (artemisa absinthium l.) es completamente orgánico,  para proteger de algunas plagas especialmente moluscos a flores, frutales, hortalizas y plantas ornamentales. ingrediente activo: cineol extracto vegetal 90% sl</t>
  </si>
  <si>
    <t>HIDROLATO DE AJO-AJI</t>
  </si>
  <si>
    <t>Repelente botánico obtenido a partir del diente de bulbillo de ajo (allium sativum) y del fruto o baya del ají (capsicum annum), completamente orgánico, rápidamente biodegradable e inocuo para el hombre y el medio ambiente. ingrediente activo: alisina + capsicina extracto vegetal 0,07 g/lt + 0,03 g/lt sl.</t>
  </si>
  <si>
    <t>HIDROLATO DE TABACO</t>
  </si>
  <si>
    <t>Insecticida botánico obtenido a partir de las hojas y tallos del tabaco negro (nicotiana tabacum l.) completamente orgánico, rápidamente biodegradable e inocuo para el hombre y el medio ambiente. ingrediente activo: nicotina extracto vegetal 0,45g/l sl.</t>
  </si>
  <si>
    <t xml:space="preserve">Litro </t>
  </si>
  <si>
    <t>MICROORGANISMOS EFICIENTES (EM)</t>
  </si>
  <si>
    <t>BIOESTIMULANTE ORGÁNICO</t>
  </si>
  <si>
    <t>FERTILIZANTE SIMPLE</t>
  </si>
  <si>
    <t>Galon</t>
  </si>
  <si>
    <t>INSECTICIDA BOTÁNICO DE AMPLIO ESPECTRO</t>
  </si>
  <si>
    <t>Es un insecticida botánico de amplio espectro obtenido a partir de extractos vegetales homogenizados en una base oleosa orgáica que se mezcla fácilmente con el agua. ingrediente activo: cineol, nicotina.  extracto vegetal 90% sl</t>
  </si>
  <si>
    <t>FUNGICIDA MINERAL DE ACCIÓN PREVENTIVA Y CURATIVA</t>
  </si>
  <si>
    <t>Fungicida mineral de acción preventiva y curativa ideal para incluirse dentro de un programa de rotación o en mezcla con productossistémicos. es un polisufuro de calcio utilizado para el control de patógenos que atacan raíces, tallos, follaje y frutos, cuyos componentes permiten la inhibición del crecimiento y desarrollo de microorganismos. ingrediente activo: polisulfuro de calcio 200 g/litro</t>
  </si>
  <si>
    <t>BIOINSUMO DE USO AGRÍCOLA - BIOCONTROLADOR TIPO AGENTE MICROBIAL PARA CONTROL DE PLAGAS</t>
  </si>
  <si>
    <t>Agente microbial antagonista de hongos fitopatogenos  y nematicida de uso agricola. producto a base de la mezcla de los hongos trichoderma sp. y paecilomyces sp., ideales para el control de hongos y nematodos fitoparásitos. ingrediente activo: trichoderma asperellum , trichoderma atroviridae ,trichoderma harzianum 5x10 8 conidias/g paecilomyces lilacinus 5x10 8 conidias/g contenido total 1x10 9 conidias /g  bolsa x 500 gramos</t>
  </si>
  <si>
    <t xml:space="preserve"> Bolsa </t>
  </si>
  <si>
    <t>ACONDICIONADOR INORGÁNICO</t>
  </si>
  <si>
    <t>Acondicionador inorgánico a base de silicio que promueve una mejor disponibilidad de los nutrientes en suelo y asimilación de los mismos por parte del vegetal, mejorando el desarrollo vegetativo, rendimiento y calidad de las cosechas.como enmienda neutraliza la acidez del suelo y  ayuda a la liberación del fósforo, disminuye el efecto tóxico del aluminio y el hierro. composicion: silicio total (sio2) 136,0 g/l. Bulto x 50 kg</t>
  </si>
  <si>
    <t>Bolsa</t>
  </si>
  <si>
    <t>FERTILIZANTE COMPUESTO DE NPK ALTAMENTE SOLUBLE PARA RIEGO POR GOTEO</t>
  </si>
  <si>
    <t xml:space="preserve">NUTRE FEED MAYORES BULTO X 25 KILOGRAMOS  fertilizante soluble en agua que combina fósforo asimilable con elementos menores esenciales como magnesio, azufre, boro, cobalto, cobre, hierro, manganeso, molibdeno y zinc. </t>
  </si>
  <si>
    <t>FERTILIZANTE FOLIAR SOLUBLE</t>
  </si>
  <si>
    <t>Galón</t>
  </si>
  <si>
    <t xml:space="preserve">SEMILLA MAÍZ PORVA SIMIJACA </t>
  </si>
  <si>
    <t>Kilo</t>
  </si>
  <si>
    <t>SEMILLA DE ARVEJA SANTA ISABEL</t>
  </si>
  <si>
    <t>kilo</t>
  </si>
  <si>
    <t>SEMILLAS DE PEPINO POINSETT</t>
  </si>
  <si>
    <t>MORA DE CASTILLA</t>
  </si>
  <si>
    <t>BOLSA X 100 GRS</t>
  </si>
  <si>
    <t>PLÁNTULAS DE ROMERO</t>
  </si>
  <si>
    <t>Plántulas de Rosmarinus officinalis
Plántula de altura ente 10 a 15 centímetros, en bolsa con sustrato liviano y fértil.</t>
  </si>
  <si>
    <t>PLÁNTULA</t>
  </si>
  <si>
    <t>PLÁNTULAS DE CIDRÓN</t>
  </si>
  <si>
    <t>Plántula Aloysia triphylla
Plántula de altura ente 10 a 15 centímetros, en bolsa con sustrato liviano y fértil.</t>
  </si>
  <si>
    <t>PLÁTULAS DE MORA CASTILLA</t>
  </si>
  <si>
    <t>Plántulas de mora: El material  vegetal debe provenir de viveros registrados ante el ICA, plántulas entre 15 a 25 centímetros con 12 a 15 hojas verdaderas de color verde con tonalidades moradas, diámetro de tallo de  0.4 a 0.5 centímetros, color de las raíces blancas, libre de signos de plagas o enfermedades.</t>
  </si>
  <si>
    <t>ROLLO DE POLISOMBRA CON EL 70% DE SOMBREAMIENTO</t>
  </si>
  <si>
    <t>Rolllo x 100 metros</t>
  </si>
  <si>
    <t>TURBA ORANGE SAENZ FETY</t>
  </si>
  <si>
    <t>Turba en paca: SUSTRATO PRODUCTO ORGANICO. TURBA RUBIA 100%, GRANULOMETRIA 0-10 MM, PH 5,1-6,0, NIVEL DE FERTILIZACION MEDIO - 1000 GR/M3 (N, P, K, MG Y MENORES), HUMEDAD 50-60% , MATERIA SECA 55-75 GR/L.
Presentación: Paca comprimida de 300 L (55 kilos apróximaamente)</t>
  </si>
  <si>
    <t>Paca x 300 L</t>
  </si>
  <si>
    <t>BULTO DE LOMBRICOMPUESTO X 40  KG, DE FUNDASES</t>
  </si>
  <si>
    <t xml:space="preserve">Lombricompuesto (Fundases):
Humedad: 27,7 %
Cenizas: 32,8 %
Perdidas de volatilización: 39,4 %
Carbono Organico oxidable total: 39,4 %
pH: 8,47
Densidad Base seca: 0,66 g/c.c.
</t>
  </si>
  <si>
    <t>BULTO X 40 KILOS</t>
  </si>
  <si>
    <t>BIOESTIMULANTE ORGÁNICO LÍQUIDO: QUE PROMUEVE LA FORMACIÓN DE FITOHORMONAS COMO GIBERELINAS, AUXINAS Y CITOQUININAS HACIENDO MÁS EFICIENTE LA NUTRICIÓN VEGETAL. AZOSPIRILLUM BRASILIENSE 1 X 108 UFC/ML X
500 ML AZOTOBACTER CHOCOCCUM 1 X 108
UFC/ML X 500 ML -BACTERIAS Y ACTINOMICETOS PROMOTORAS DEL CRECIMIENTO VEGETAL Y DE LA
DESCOMPOSICIÓN DE MATERIA ORGÁNICA INCREMENTANDO LA PRODUCTIVIDAD DEL SUELO
Presentación: Frasco por litro</t>
  </si>
  <si>
    <t>Bolsa x500 GRS</t>
  </si>
  <si>
    <t>BOLSA X 500 GRS</t>
  </si>
  <si>
    <t>LITRO</t>
  </si>
  <si>
    <t>FUNGICIDA MINERAL DE ACCIÓN PREVENTIVA Y CURATIVA IDEAL PARA INCLUIRSE DENTRO DE UN PROGRAMA DE ROTACIÓN O EN MEZCLA CON PRODUCTOSSISTÉMICOS. DESCRIPCIÓN Y MECANISMO DE ACCIÓN. POLYCAL ES UN POLISUFURO DE CALCIO UTILIZADO PARA EL CONTROL DE PATÓGENOS QUE ATACAN RAÍCES, TALLOS, FOLLAJE Y FRUTOS, CUYOS COMPONENTES PERMITEN LA INHIBICIÓN DEL CRECIMIENTO Y DESARROLLO DE MICROORGANISMOS. INGREDIENTE ACTIVO: POLISULFURO DE CALCIO 200 G/LITRO</t>
  </si>
  <si>
    <t>FORMULADO DE CALCIO Y BORO COMPLEJADOS, DE USO FOLIAR Y AL SUELO PARA PROPORCIONAR UN EQUILIBRIO NUTRICIONAL ÓPTIMO. REGULA LOS DESEQUILIBRIOS HÍDRICOS QUE PROVOCAN FISIOPATÍAS EN LOS VEGETALES CULTIVADOS (PUDRICIÓN APICAL ASÉPTICA EN SOLANÁCEAS, NECROSIS FOLIARES, MAL DEL CORAZÓN EN REMOLACHA, CRACKING DE HUESO Y FRUTOS EN ÁRBOLES FRUTALES DE HUESO Y PEPITA, RAJADO DE CÁLICES Y EN LOS ENTRENADOS DEL TALLO EN CLAVEL, ETC. COMPOSICION: CALCIO SOLUBLE EN AGUA (CAO) 75,0 G/L, BORO SOLUBLE EN AGUA (B) 22,0 G/L</t>
  </si>
  <si>
    <t>BOLSA X KILO</t>
  </si>
  <si>
    <t xml:space="preserve"> LITRO</t>
  </si>
  <si>
    <t>PAQUETE X 3  PIEZAS</t>
  </si>
  <si>
    <t>KILO</t>
  </si>
  <si>
    <t>Consiste en cilindros de sustratos con mezclas de
turba – cascarilla de arroz – corteza de pino – fibra de
coco envueltos en papel de celulosa 100% degradable 
Tamaño ELLEPOT 3,5 cm diametro X 8 cm alto. PAQ1000 UNIDADES</t>
  </si>
  <si>
    <t>PAQUETE</t>
  </si>
  <si>
    <t>Consiste en cilindros de sustratos con mezclas de
turba – cascarilla de arroz – corteza de pino – fibra de
coco envueltos en papel de celulosa 100% degradable 
Tamaño ELLEPOT 3,5 cm diametro X10 cm alto. PAQ1000 UNIDADES</t>
  </si>
  <si>
    <t>Consiste en cilindros de sustratos con mezclas de
turba – cascarilla de arroz – corteza de pino – fibra de
coco envueltos en papel de celulosa 100% degradable
Tamaño ELLEPOT 5 cm diametroX10 cm alto. PAQ1000 UNIDADES</t>
  </si>
  <si>
    <t>CANASTILLA</t>
  </si>
  <si>
    <t>BOLSA</t>
  </si>
  <si>
    <t xml:space="preserve">PEPINO DULCE </t>
  </si>
  <si>
    <t>SEMILLAS DE CALABACIN GREY ZUCCHINI</t>
  </si>
  <si>
    <t>Semillas de Rugula</t>
  </si>
  <si>
    <t xml:space="preserve">paquete por gramo </t>
  </si>
  <si>
    <t xml:space="preserve">fertilizante granulado Agricola </t>
  </si>
  <si>
    <t xml:space="preserve">fertilizante granulado de grado agrícola con fórmula química KNO₃ (nitrato de potasio), que aporta principalmente potasio soluble y nitrógeno nítrico, ambos de rápida absorción por las plantas. Su composición típica es: 12% nitrógeno nítrico, 46% potasio (K₂O) y trazas de azufre (0.6–2%).
</t>
  </si>
  <si>
    <t>bulto 25 kg</t>
  </si>
  <si>
    <t xml:space="preserve">Kit medidor de Nutrientes </t>
  </si>
  <si>
    <t xml:space="preserve">UREA </t>
  </si>
  <si>
    <t>Fertilizante con composición garantizada es 46% de nitrógeno total en forma uréica. de  alta solubilidad y rápida disponibilidad, con un contenido máximo de biuret al 1.5% y humedad máxima del 1%,</t>
  </si>
  <si>
    <t>BULTO 50 KG</t>
  </si>
  <si>
    <t xml:space="preserve">NITRATO DE CALCIO </t>
  </si>
  <si>
    <t xml:space="preserve"> Contenido de Nitrógeno: 15–16% (forma nítrica, de rápida absorción).
- Contenido de Calcio: 26–27% (corrige deficiencias y mejora estructura del suelo).D147
- Forma: Granulado perlado, blanco, muy soluble en agua.</t>
  </si>
  <si>
    <t>NITRATO DE POTASIO</t>
  </si>
  <si>
    <t>Fertilizante que incluye aproximadamente 13% de nitrógeno total (con predominio del nitrógeno nítrico sobre el amoniacal), 44% de potasio soluble en agua (K₂O) y cerca de 3% de fósforo asimilable (P₂O₅), además de aminoácidos que complementan la fórmula; su pH en solución al 10% se mantiene entre 5 y 6, lo que garantiza alta solubilidad y disponibilidad de nutrientes para los cultivos.</t>
  </si>
  <si>
    <t>VINAGRE BLANCO</t>
  </si>
  <si>
    <t>solución acuosa de ácido acético (4–7%) transparente, incolora y versátil, usada en alimentación, limpieza y agricultura.</t>
  </si>
  <si>
    <t>GARRAFA 5L</t>
  </si>
  <si>
    <t>El fosfato monopotásico (KH₂PO₄) es un fertilizante soluble de alta pureza, con 33% de potasio (K₂O) y 52% de fósforo (P₂O₅), usado en fertirriego y aplicaciones foliares para estimular raíces, floración y calidad de frutos, sin aportar nitrógeno.</t>
  </si>
  <si>
    <t>BULTO 25 KG</t>
  </si>
  <si>
    <t xml:space="preserve">ALISO </t>
  </si>
  <si>
    <t>ALISO -  Alnus acuminata, individuo de altura promedio de 60 cm y diámetro  mayor de 1,0 cm</t>
  </si>
  <si>
    <t xml:space="preserve">UNIDAD </t>
  </si>
  <si>
    <t>GUAYACAN DE MANIZALES - Lafoensia acuminata</t>
  </si>
  <si>
    <t>GUAYACAN DE MANIZALES - Lafoensia acuminataa, individuo de altura promedio de 60 cm y diámetro  mayor de 1,0 cm</t>
  </si>
  <si>
    <t>ROBLE - Quercus humboldtii</t>
  </si>
  <si>
    <t>ROBLE - Quercus humboldtii - individuo de altura promedio de 60 cm y diámetro  mayor de 1,0 cm</t>
  </si>
  <si>
    <t>CEDRO - Cedrela montana</t>
  </si>
  <si>
    <t>CEDRO - Cedrela montana- individuo de altura promedio de 60 cm y diámetro  mayor de 1,0 cm</t>
  </si>
  <si>
    <t>Sauco - Sambucus peruviana</t>
  </si>
  <si>
    <t>Sauco - Sambucus peruviana (estacas de altura mayor a 30 cm)</t>
  </si>
  <si>
    <t>UNIDAD</t>
  </si>
  <si>
    <t>SEMILLA PAPA NATIVA ANDINA</t>
  </si>
  <si>
    <t>SEMILLA PAPA NATIVA ARCA ROJA</t>
  </si>
  <si>
    <t>SEMILLA PAPA NATIVA CHAUCHA</t>
  </si>
  <si>
    <t>SEMILLA PAPA NATIVA KICHA</t>
  </si>
  <si>
    <t>KG</t>
  </si>
  <si>
    <t>POLISOMBRA</t>
  </si>
  <si>
    <t>ROLLO</t>
  </si>
  <si>
    <t>ESCOBA TIPO INDUSTRIAL</t>
  </si>
  <si>
    <t>BOLSAS INDUSTRIAL NEGRA CALIBRE GRUESO</t>
  </si>
  <si>
    <t>Bolsa Basura 100x120cm Rollo x20 Unidades Grande Negro</t>
  </si>
  <si>
    <t>BOLSAS INDUSTRIAL BLANCO CALIBRE GRUESO</t>
  </si>
  <si>
    <t>Bolsa Basura 100x120cm Rollo X 30Und Grande Blanco</t>
  </si>
  <si>
    <t>BOLSAS INDUSTRIAL VERDE CALIBRE GRUESO</t>
  </si>
  <si>
    <t xml:space="preserve">Bolsa Basura 65x85cm Rollo x30 Unidades Mediana Verde </t>
  </si>
  <si>
    <t>DISOLVENTE DE PINTURA</t>
  </si>
  <si>
    <t>Disolvente Industrial 1 Litro</t>
  </si>
  <si>
    <t>PAR</t>
  </si>
  <si>
    <t>TAPABOCAS N95</t>
  </si>
  <si>
    <t xml:space="preserve">TRAJES ANTIFLUIDOS </t>
  </si>
  <si>
    <t>Traje de Protección Overol Antifluido y Bioseguridad En Quimicos (100% Tela con película de microporo 5 y 6)</t>
  </si>
  <si>
    <t>PINTURA PARA TRÁFICO PESADO</t>
  </si>
  <si>
    <t xml:space="preserve">Galón </t>
  </si>
  <si>
    <t>PINTURA PARA EXTERIOR</t>
  </si>
  <si>
    <t>Pintura para fachadas 100% acrilica diluible con agua colores varios</t>
  </si>
  <si>
    <t xml:space="preserve">RODILLO </t>
  </si>
  <si>
    <t>Rodillo Junior Felpa 5 Pulgadas</t>
  </si>
  <si>
    <t>MALACATE MANUAL 300 KG</t>
  </si>
  <si>
    <t>CARRETILLA</t>
  </si>
  <si>
    <t>MAZO DE GOMA 24 ONZ</t>
  </si>
  <si>
    <t>BARRA AGRICOLA</t>
  </si>
  <si>
    <t>MALLA GALLINERA</t>
  </si>
  <si>
    <t>ROLLO </t>
  </si>
  <si>
    <t>CIZALLA</t>
  </si>
  <si>
    <t>Cizalla, Corta Bulón Perno Total 24'' Hasta 10mm</t>
  </si>
  <si>
    <t>BROCHAS</t>
  </si>
  <si>
    <t>Brocha ½” Con Mango de Plástico. Uso Profesional Fibra Sintética</t>
  </si>
  <si>
    <t>Brocha 1” Con Mango de Plástico. Uso Profesional Fibra Sintética</t>
  </si>
  <si>
    <t>Brocha 1½ Con Mango de Plástico. Uso Profesional Fibra Sintética</t>
  </si>
  <si>
    <t>Brocha 2” Con Mango de Plástico. Uso Profesional Fibra Sintética</t>
  </si>
  <si>
    <t>Brocha 2½” Con Mango de Plástico. Uso Profesional Fibra Sintética</t>
  </si>
  <si>
    <t>Brocha 3” Con Mango de Plástico. Uso Profesional Fibra Sintética</t>
  </si>
  <si>
    <t>Brocha 4” Con Mango de Plástico. Uso Profesional Fibra Sintética</t>
  </si>
  <si>
    <t xml:space="preserve">PINTURA REFLECTIVA </t>
  </si>
  <si>
    <t>Pintura Reflectiva de Aluminio para Protección de Cubiertas 3 Kg</t>
  </si>
  <si>
    <t>PINTURA ACRILICA</t>
  </si>
  <si>
    <t>MACHETE</t>
  </si>
  <si>
    <t>LIMAS PARA MACHETE</t>
  </si>
  <si>
    <t>Lima Plana Bastarda 12Pulg</t>
  </si>
  <si>
    <t>SERRUCHO</t>
  </si>
  <si>
    <t>TIJERA PODA JARDINERIA</t>
  </si>
  <si>
    <t>MANGUERA X 100M</t>
  </si>
  <si>
    <t>CUERDA DE CABUYA</t>
  </si>
  <si>
    <t>Cuerda cabuya rollo x 50m en 3mm</t>
  </si>
  <si>
    <t>RASTRILLOS METALICOS</t>
  </si>
  <si>
    <t>AZADON</t>
  </si>
  <si>
    <t>PALA DE JARDINERIA</t>
  </si>
  <si>
    <t>Pala de jardinería 6x15 ancho de la cabeza: 6" (15.2cm) calibre de la cabeza: 16 empaque: atado longitud de la cabeza: 15" (38.1cm)
longitud del mango: 20" (50.8cm) longitud total: 27" (68.5cm) peso: 922 g características: acabado en pintura híbrida en polvo transparente</t>
  </si>
  <si>
    <t>BARRA</t>
  </si>
  <si>
    <t>Herramientas de mango largo 18 pulgadas barra acerada, termina con un ángulo afilado</t>
  </si>
  <si>
    <t>CINTA DE SEÑALIZACIÓN PELIGRO</t>
  </si>
  <si>
    <t>GUANTES</t>
  </si>
  <si>
    <t>Naylon recubierto multiflex</t>
  </si>
  <si>
    <t xml:space="preserve">BOLSA DE LONA </t>
  </si>
  <si>
    <t>MARTILLO</t>
  </si>
  <si>
    <t>Martillo 16 oz mango madera</t>
  </si>
  <si>
    <t>PUNTILLA</t>
  </si>
  <si>
    <t>SEGUETA</t>
  </si>
  <si>
    <t>PALA REDONDA</t>
  </si>
  <si>
    <t xml:space="preserve">PUNTILLA </t>
  </si>
  <si>
    <t>OVEROL</t>
  </si>
  <si>
    <t>GUANTES DE VAQUETA</t>
  </si>
  <si>
    <t>PISTOLA RIEGO ADAPTABLE 7 FUNCIONES</t>
  </si>
  <si>
    <t>SIERRA</t>
  </si>
  <si>
    <t>TABLA BURRA</t>
  </si>
  <si>
    <t>PINTURA BASE</t>
  </si>
  <si>
    <t>CANDADO</t>
  </si>
  <si>
    <t>TALADRO</t>
  </si>
  <si>
    <t>MALLA</t>
  </si>
  <si>
    <t>THINNER</t>
  </si>
  <si>
    <t> GALÓN</t>
  </si>
  <si>
    <t xml:space="preserve">ALAMBRE GALVANIZADO </t>
  </si>
  <si>
    <t>Alambre galvanizado#10 liso</t>
  </si>
  <si>
    <t>CUCHILLA DE DOS PUNTAS PARA GUADAÑA</t>
  </si>
  <si>
    <t>GRAPA</t>
  </si>
  <si>
    <t>CAJA</t>
  </si>
  <si>
    <t>PALIN</t>
  </si>
  <si>
    <t>MANILA VENEZOLANA</t>
  </si>
  <si>
    <t>La manila venezolana para ganadería se caracteriza por ser una cuerda de nylon de alta tenacidad, diseñada con 3 o 4 hebras retorcidas tipo guaya (calibres comunes 9mm-10mm). Ofrece alta resistencia a la tracción y abrasión, ideal para trabajos exigentes, lazos y amarres, con gran durabilidad ante el roce constante, agentes químicos y humedad</t>
  </si>
  <si>
    <t>ZORRA</t>
  </si>
  <si>
    <t xml:space="preserve">ARMARIO METÁLICO CON LLAVE </t>
  </si>
  <si>
    <t>GAFAS DE SEGURIDAD</t>
  </si>
  <si>
    <t>BOTAS DE SEGURIDAD</t>
  </si>
  <si>
    <t>Guantes de poliéster y algodón con puntos de PVC. Diferentes tallas.</t>
  </si>
  <si>
    <t>BOTAS DE CAUCHO CON PUNTERA DE ACERO</t>
  </si>
  <si>
    <t>Caña amarilla con suela crepé, 100% poliéster tejido rizo, Puntera en acero, cumple con la norma ISO 22568-1 y en la bota proporciona protección al impacto de 101,7 J y resiste a una fuerza de compresión de 11,121N o 2500lbf según la norma ASTM F2413-18. Diferentes tallas</t>
  </si>
  <si>
    <t>GUANTES DE CUERO</t>
  </si>
  <si>
    <t>Guantes tipo ingeniero reforzado largo, de vaqueta, confeccionados en cuero, diseñados para proteger las manos durante labores que implican riesgo mecánico, como manipulación de herramientas o contacto con superficies ásperas. Diferentes tallas.</t>
  </si>
  <si>
    <t>SOMBRERO DE ALA ANCHA O GORRA CON CUELLO PROTECTOR Y PROTECCIÓN UV</t>
  </si>
  <si>
    <t>TRAJE EN PVC PARA FUMIGAR</t>
  </si>
  <si>
    <t>Traje de dos piezas de uso industrial, con refuerzos laterales. CERTIFICACIÓN EUROPEA UNE-EN 343:2004+A1:2008/AC:2010 “ROPA DE PROTECCIÓN CONTRA LA LLUVIA” garantizando que no filtra por medio del traje ningún tipo de líquido. Diferentes tallas</t>
  </si>
  <si>
    <t>CARETA DE PROTECCIÓN FACIAL CON VISOR CLARO</t>
  </si>
  <si>
    <t>Corona ajustable, lejana a la cara, suspensión flotante con ratchet para ajustar al tamaño de la cabeza, protección contra residuos o partículas, protección facial frontal y lateral, botones de ajuste y soportes en la corona.
Peso: 200 gr, Dimensiones: 12” x 8”</t>
  </si>
  <si>
    <t>EXTINTOR POLVO QUÍMICO SECO CLASE ABC PORTÁTIL DE 10 LIBRAS / UNIDAD</t>
  </si>
  <si>
    <t>ESTIBA PLASTICA EN POLIETILENO SUP CERRADO  100x120x15 USO EN PISO</t>
  </si>
  <si>
    <t>CARPA TOLDO 2X2 PAREDES IMPERMEABLE PLEGABLE RETRACTIL BLANCO</t>
  </si>
  <si>
    <t>POSTE MADERA INMUNIZADA</t>
  </si>
  <si>
    <t>Poste madera inmunizada de diámetro 20-25 cm longitud 2.5 mts</t>
  </si>
  <si>
    <t>Poste madera inmunizada de diámetro 12-15 cm longitud 2.5 mts</t>
  </si>
  <si>
    <t>Poste madera inmunizada de diámetro 15-20 cm longitud 2.5 mts</t>
  </si>
  <si>
    <t>Pintura para tela, tipo acritela por 30 ml, variedad de colores</t>
  </si>
  <si>
    <t>PEDILUVIOS</t>
  </si>
  <si>
    <t>Bandeja plástica 60*35 cm profundidad 7,5cm</t>
  </si>
  <si>
    <t>PISO PLÁSTICO PARA CAPRINOS</t>
  </si>
  <si>
    <t>Tamaño de las estibas o piso plástico 50 cm x 50 cm ,  grosor  de 3-5 cm,  Tamaño de las aberturas 1.2 a 2 cm de ancho.</t>
  </si>
  <si>
    <t>CONCENTRADO PARA PONEDORAS</t>
  </si>
  <si>
    <t>Proteína: 17.5% mínimo, Grasa: 3% mínimo, Fibra: 6% máximo, Cenizas: 15% máximo, Humedad: 13% máximo, Calcio: 3.23% mínimo, Fósforo: 0.65% mínimo, Presentación: Bultos de 40 kg</t>
  </si>
  <si>
    <t>CONCENTRADO PARA POLLO DE ENGORDE</t>
  </si>
  <si>
    <t>Proteína: 20% mínimo, Grasa: 6.02% máximo, Fibra: 3.43% máximo, Cenizas: 5% máximo, Humedad: 11.35% máximo, Calcio: 0.85% mínimo,  Presentación: Bultos de 40 kg</t>
  </si>
  <si>
    <t>CONCENTRADO CERDOS ENGORDE</t>
  </si>
  <si>
    <t>Proteína: 12.5% mínimo, Grasa: 3% mínimo, Fibra: 8% máximo, Cenizas: 9% máximo, Humedad: 13% máximo, Presentación: Bultos de 40 kg, peletizado</t>
  </si>
  <si>
    <t>CONCENTRADO PARA CERDAS REPRODUCTORAS</t>
  </si>
  <si>
    <t>Proteína: 14% mínimo, Grasa: 3% mínimo, Fibra: 12% máximo, Cenizas: 9% máximo, Humedad: 13% máximo, Presentación: Peletizado, bultos de 40 kg</t>
  </si>
  <si>
    <t>AHUMADOR</t>
  </si>
  <si>
    <t>Tarro alto, fuelle con agarradera y manija. Medidas: 36 cm x 52 cm x 20 cm</t>
  </si>
  <si>
    <t>Bebedero automático de chupo para cerdos de 1/2 en acero</t>
  </si>
  <si>
    <t>BEBEDEROS AUTOMÁTICOS PARA CABRAS</t>
  </si>
  <si>
    <t>Bebedero automático para ovejas, cabras, con válvula de cobre 1.8 litros.</t>
  </si>
  <si>
    <t>BEBEDEROS PARA AVES</t>
  </si>
  <si>
    <t>Bebedero automático tipo taza con sistema de niple compatible con tuberías de PVC de 1/2"</t>
  </si>
  <si>
    <t>BIBERÓN PARA CABRITOS</t>
  </si>
  <si>
    <t>balde de plástico con 5 salidas, para alimentación de corderos, Fácil de colgar, con tetinas y válvulas, capacidad: 8 L.</t>
  </si>
  <si>
    <t>BALDES PLÁSTICOS</t>
  </si>
  <si>
    <t>Balde de 20 litros</t>
  </si>
  <si>
    <t>CANTINAS DE 40 LTS</t>
  </si>
  <si>
    <t>De aluminio alta pureza fabricado una sola pieza altura 63.5 diámetro 33.5 tapa en arco con cierre metálico. Asas ergonómicas y resistentes con base en aluminio fundido</t>
  </si>
  <si>
    <t>CEPILLO</t>
  </si>
  <si>
    <t>Mango en Madera cerdas sintéticas, color blanco Dimensiones: Mango de 40 cm, área de cerdas de 20 x 6 cm</t>
  </si>
  <si>
    <t>CHAPETEADORA MANUAL</t>
  </si>
  <si>
    <t>COMEDERO PARA GALLINAS</t>
  </si>
  <si>
    <t>GEL LUBRICANTE PARA INSEMINACIÓN</t>
  </si>
  <si>
    <t>gel lubricante para uso veterinario partos y exploraciones vaginales o rectales · no contiene espermicida x 5000 ml</t>
  </si>
  <si>
    <t>LÁMPARAS DE CALOR (LECHONES)</t>
  </si>
  <si>
    <t>OREJERAS PARA CERDO</t>
  </si>
  <si>
    <t>Orejeras Chapetas Para Cerdos X30 de plástico Cabeza del pin en zinc</t>
  </si>
  <si>
    <t>REGADERA</t>
  </si>
  <si>
    <t>Tamaño grande plástica Regadera de 5 Litros</t>
  </si>
  <si>
    <t>TRAMPAS DE POLEN</t>
  </si>
  <si>
    <t>Trampa interna en acrílico con agarres en madera.</t>
  </si>
  <si>
    <t>TEJA POLICARBONATO</t>
  </si>
  <si>
    <t>Teja p7 cristal N8 244x92 cm 0.7 mm policarbonato</t>
  </si>
  <si>
    <t>POSTES</t>
  </si>
  <si>
    <t>Postes de madera (eucalipto): Altura entre 2.5 y 3.0 metros- Diámetro entre 10 y 12 cm.</t>
  </si>
  <si>
    <t>BASCULA TRADICIONAL</t>
  </si>
  <si>
    <t>bascula colgante tipo reloj capacidad 50Kg división 1,25</t>
  </si>
  <si>
    <t>COLMENAS</t>
  </si>
  <si>
    <t>2 marcos con cría operculada: Estos marcos contienen crías de abejas que están en la fase final de desarrollo antes de emerger como adultas.​
1 marco con cría abierta: Este marco alberga crías en etapas de desarrollo más tempranas, donde las celdas están abiertas y las larvas son visibles.​
2 marcos con alimento (néctar y pan de abeja): Estos marcos proporcionan recursos alimenticios esenciales para la colonia, incluyendo néctar y polen almacenados. También presentan una presencia intermedia de cría abierta y operculada.​
Además, cada núcleo cuenta con una población de aproximadamente 2,000 abejas, incluyendo una reina en puesta</t>
  </si>
  <si>
    <t>JAULA CERDAS PARIDERA</t>
  </si>
  <si>
    <t>Jaula Cerda paridera galvanizada en caliente, con barra anti-aplastamiento y antireculeo, 2.50mt de largo, 0,60mt de ancho.</t>
  </si>
  <si>
    <t>NIDAL 18 PUESTOS</t>
  </si>
  <si>
    <t>Nidal 18 puestos; nidales individuales: 30 cm de ancho x 30 cm de alto x 35 cm de profundidad material lámina galvanizada</t>
  </si>
  <si>
    <t>POLISOMBRA VERDE PARA CORTINAS</t>
  </si>
  <si>
    <t>Rollo de tela verde de 100mts * 2,10m - 55gr</t>
  </si>
  <si>
    <t xml:space="preserve">Rollo </t>
  </si>
  <si>
    <t>VARAS PARA TUTORADO</t>
  </si>
  <si>
    <t>Varas de eucalipto de mínimo 1,90 metros  y máximo 5 cm de diámetro</t>
  </si>
  <si>
    <t>BOLSAS PARA SILO</t>
  </si>
  <si>
    <t>Bolsas para almacenamiento tipo Silo Pack fabricadas  con resinas plásticas recicladas seleccionadas de alta calidad. Calibre 5,5 (140 micras aproximadamente), exterior interior negro.</t>
  </si>
  <si>
    <t>MELAZA BULTO DE 30 KILOS</t>
  </si>
  <si>
    <t>Melaza de caña  Presentación: 30 Kilogramos.</t>
  </si>
  <si>
    <t>CINTA DE GOTEO CAL 6000</t>
  </si>
  <si>
    <t>ADHESIVO ATRAPA INSECTOS</t>
  </si>
  <si>
    <t>Monitoreo y control de insectos plaga. producto que por su alta adherencia y tactibilidad atrapa insectos plaga como mosca doméstica y de establo, mosca de las frutas, mosca blanca, trips, minadores y hormigas, entre otras plagas.ingrediente activo: dispersiónde poliisobutilenoen un mediode aceitemineral y un plastificante</t>
  </si>
  <si>
    <t>MOLUSQUICIDA Y REPELENTE NATURAL</t>
  </si>
  <si>
    <t>Molusquicida y repelente de origen vegetal. es un molusquicida y repelente natural formulado a partir de una mezcla de acción sinérgica de alcaloides vegetales, que previene y controla el ataque de babosas (deroceras sp., limax sp.). ingrediente activo: alcaloide extraído de rubiáceas 33.0%</t>
  </si>
  <si>
    <t>Kg</t>
  </si>
  <si>
    <t>TRAMPA MC PHAIL</t>
  </si>
  <si>
    <t>Monitoreo y control de insectos plaga.estructura acrílica de dos cuerpos (cuerpo superior transparente e inferior amarillo) con 4 puntos de enganche. material altamente resistente a la intemperie. la base amarilla está elaborada con poliestireno cristal y la parte superior transparente es fabricada en polipropileno. uso. esta trampa se utiliza para el monitoreo y control de moscas de las frutas, especialmente de los géneros dasiops, ceratitis y anastrepha.</t>
  </si>
  <si>
    <t>FERTILIZANTE POTÁSICO</t>
  </si>
  <si>
    <t>Fertilizante potásico altamente asimilable, desarrollado para corregir o prevenir los problemas causados por estados carenciales de potasio. su uso en los ciclos finales del cultivo aumenta la calidad de las cosechas al mejorar la consistencia de la piel, la maduración de los frutos e incrementarse los niveles de azúcares. las aplicaciones de tricho-k mejoran la calidad y el rendimiento de la cosecha.  composicion: potasio soluble en agua (k2o) 325,0 g/l</t>
  </si>
  <si>
    <t>BEBEDERO PARA GANADO DE 250 LTS</t>
  </si>
  <si>
    <t xml:space="preserve">Bebedero para ganado 250/l, con un sistema flotador que permite un llenado automático. </t>
  </si>
  <si>
    <t xml:space="preserve">Unidad </t>
  </si>
  <si>
    <t>CANASTILLA PLÁSTICA FRESERA</t>
  </si>
  <si>
    <t>CARACTERÍSTICAS
1. Canastilla plástica
2. Apilable
3. Capacidad 15 kilos
MEDIDAS
ALTO 15 CMS
ANCHO 35 CMS
LARGO 52 CMS</t>
  </si>
  <si>
    <t xml:space="preserve">DESINFECTANTE PARA SUPERFICIES Y EQUIPOS </t>
  </si>
  <si>
    <t>desinfectantes formulados con cloro activo, ácido láctico, peróxido de hidrógeno o amonio cuaternario, y se aplican por aspersión, inmersión o recirculación de 4 litros.</t>
  </si>
  <si>
    <t>Galón x 4 litros</t>
  </si>
  <si>
    <t>DETERGENTE ÁCIDO GALON</t>
  </si>
  <si>
    <t xml:space="preserve"> Mezcla de ácidos orgánicos e inorgánicos (fosfórico, sulfúrico, láctico), agentes secuestrantes y tensoactivos de baja espuma de 4 litros</t>
  </si>
  <si>
    <t>DETERGENTE PARA  LAVADO DE EQUIPO DE ORDEÑO</t>
  </si>
  <si>
    <t>Detergente alcalino, compatible con los alimentos y diseñado para lavar equipos de ordeño galon 4 Litros</t>
  </si>
  <si>
    <t>JABON NEUTRO</t>
  </si>
  <si>
    <t>Composición típica: Tensoactivos aniónicos, secuestrantes, reguladores de pH neutro
- pH: 6.5–7.5 (seguro para acero inoxidable, PVC y caucho)
- Espuma: Alta o baja según formulación; fácil enjuague
Galon por 4 litros</t>
  </si>
  <si>
    <t>CANASTILLA PLASTICA PARA PAPA</t>
  </si>
  <si>
    <t>Material: Plástico rígido (polietileno de alta densidad)
- Capacidad: 18–25 kg
- Dimensiones típicas: 60 × 40 × 30 cm
- Ventilación: Perforaciones laterales para aireación
- Color: Rojo, azul o negro (según proveedor)</t>
  </si>
  <si>
    <t>CATÉTER INSEMINADOR CERDOS</t>
  </si>
  <si>
    <t>Material: multiplex G75-G45 tubo en polipropileno. Dimensiones: Longitud: 50 cm. Ancho: 1.1 cm.</t>
  </si>
  <si>
    <t>BIODIGESTOR PARA COMPOSTAR</t>
  </si>
  <si>
    <t>Biodigestor hecho sobre medidas en geomembrana instalado para manejo de hasta 20 cerdos</t>
  </si>
  <si>
    <t>LOMBRICULTIVO</t>
  </si>
  <si>
    <t>Cajón rectangular con medidas de: largo: 2 m, ancho: 1 m con una profundidad de 60 cm. En geomembrana HDPE 40 Mils Nominal- canastilla de 30 kilos con semilla de lombriz roja californiana</t>
  </si>
  <si>
    <t xml:space="preserve">MULCH NEGRO/PLATA </t>
  </si>
  <si>
    <t xml:space="preserve">ESTIBA PLÁSTICA </t>
  </si>
  <si>
    <t xml:space="preserve">La Estiba Plástica de 100 x 120 x 15 cm cho Fabricada con madera plástica, esta estiba es libre de mantenimiento y ofrece una vida útil de 20 años. Su color Verde Grisáceo </t>
  </si>
  <si>
    <t xml:space="preserve">BOLSA PARA SILO </t>
  </si>
  <si>
    <t>Bolsa individual, capacidad nominal 50 kg. CON FUELLE dimensiones típicas de una bolsa para silo de 50 kg son 100–110 cm de largo, 55–60 cm de ancho y un espesor de 120–150 micras.</t>
  </si>
  <si>
    <t xml:space="preserve">PAQUETE 100 UNIDADES </t>
  </si>
  <si>
    <t>PIQUERA</t>
  </si>
  <si>
    <t xml:space="preserve"> Chapa galvanizada (duradera), plástico resistente a la intemperie o madera (pino).con medidas estándar que suelen rondar los 37-42 cm de longitud. </t>
  </si>
  <si>
    <t xml:space="preserve">PONEDEROS </t>
  </si>
  <si>
    <t>Los ponederos metálicos para gallinas son estructuras de chapa galvanizada, duraderas y de fácil limpieza, diseñadas para brindar comodidad y seguridad en la puesta. Cuentan con nidos de aprox. \(30\times 30\times 30\) cm</t>
  </si>
  <si>
    <t>BALANZA DE 5 KILOS</t>
  </si>
  <si>
    <t>Balanza digital con sensores de precisión de 5 kilos.</t>
  </si>
  <si>
    <t>TERMÓMETRO DIGITAL GALPÓN.</t>
  </si>
  <si>
    <t>Termo higrómetro digital medidor de humedad y temperatura multisensorial.</t>
  </si>
  <si>
    <t>ESQUILADORA</t>
  </si>
  <si>
    <t>Rango de potencia: 150W velocidades ajustables: 2 velocidades (por ejemplo, 2200–2800 RPM), longitud del cable: 5–6 metros para mayor movilidad, cuchillas intercambiables para diferentes tipos de pelaje, - Cabezal: Compatible con cabezales de 3 pulgadas, intercambiables con los de la línea Clipmaster.
- Cuchillas: Incluye peine de 13 dientes y cortador de 4 puntas; cuchillas CryogenX™ resistentes al desgaste.
- Lubricación: Sistema interno que permanece engrasado hasta por 100 horas de uso.
- Cable: Aislado, de alta resistencia, con longitud de 15 pies (~4.5 metros).
- Carcasa: Diseño ergonómico con acabado suave al tacto y ventilación optimizada para reducir la temperatura del cabezal hasta un 28%.
- Peso: Aproximadamente 4 kg, lo que la hace manejable para jornadas largas.
- Voltaje: 120V AC/DC, UL listado.</t>
  </si>
  <si>
    <t>EXPRIMIDOR DE QUESO EN ACERO</t>
  </si>
  <si>
    <t>Exprimidor de queso en acero ref304 - Capacidad 10 lts</t>
  </si>
  <si>
    <t xml:space="preserve">ESTABLO ORDEÑO PORTATIL 2 PUESTOS </t>
  </si>
  <si>
    <t xml:space="preserve"> Capacidad: 2 vacas simultáneamente
 Estructura: Acero galvanizado, resistente a la intemperie
 Sistema de sujeción: Cuellera ajustable con comedero frontal
 Movilidad: Chasis con ruedas antipinchazo o adaptables a vehículo/animal
 Techo: Opcional, tipo V o lona impermeable
 Dimensiones aproximadas: 2.5 m largo × 1.5 m ancho × 2 m alto
 Peso: 50–80 kg (según modelo)
 Compatibilidad: Con equipos de ordeño portátiles eléctricos, a gasolina o batería</t>
  </si>
  <si>
    <t>GUARDIÁN PARA RESIDUOS PELIGROSOS</t>
  </si>
  <si>
    <t>Recipiente rígido y seguro, fabricado en polipropileno,  para la recolección de elementos cortopunzantes,  estructura hermética, resistente al impacto y a la punción percutáneos,  tapa con cierre definitivo garantiza una disposición final segura. Disponible en capacidades de 0,5lt</t>
  </si>
  <si>
    <t xml:space="preserve">PRE-SELLADO: DESINFECTANTE PARA PEZONES </t>
  </si>
  <si>
    <t>base de ácido láctico al 1.70% y peróxido de hidrógeno al 0.50% Galón (3.78 litros)</t>
  </si>
  <si>
    <t>SELLADOR PEZONES</t>
  </si>
  <si>
    <t xml:space="preserve"> Yodo povidona al 0.80%  Galón (3.78 litros)   Color: Café oscuro (permite identificar visualmente los pezones tratados)  Propiedades adicionales: Contiene sábila y humectantes (24%) para mantener la piel hidratada</t>
  </si>
  <si>
    <t>PICADORA PARA ENSILAJE</t>
  </si>
  <si>
    <t>1200 – 1500 rpm, motor a gasolina 16 – 20 HP, tres cuchillas.</t>
  </si>
  <si>
    <t>UND</t>
  </si>
  <si>
    <t>ENSILADORA DE FORRAJES MECÁNICA</t>
  </si>
  <si>
    <t>Con capacidad de 2 a 4 toneladas/hora 1 bolsa/minuto, motor gasolina y bandas de 13 HP a 3.600 RPM 2 bandas tipo V B74’’</t>
  </si>
  <si>
    <t>MOTOCULTOR</t>
  </si>
  <si>
    <t>Motor: Diésel de 4 tiempos, horizontal, con una potencia de 15 HP (11.11 kW).
Dimensiones: Largo de 268 cm, ancho de 96 cm y alto de 125 cm.
Neumáticos: Medida 6.00 - 16.</t>
  </si>
  <si>
    <t>ACCESORIOS PARA MOTOCULTOR</t>
  </si>
  <si>
    <t>1.	.Arado de discos
2.	Cultivador
3.	Rastrillo
4.	Cosechadora
5.	Sembradora
6.	Saca raíz
7.	Segadora
8.	Remolque</t>
  </si>
  <si>
    <t>KIT</t>
  </si>
  <si>
    <t>REFRACTÓMETRO VETERINARIO MEDICIÓN DE LECHE</t>
  </si>
  <si>
    <t>Lactómetro Medición mínima de brix - Medición máxima de brix, para medir el contenido de agua añadida en leche.0 % - 20 %</t>
  </si>
  <si>
    <t>AHOYADORA</t>
  </si>
  <si>
    <t>MOTOR 2,07hp,  CILINDRADA 40,2cm³, PESO  10,9Kg, CON BROCA (BARRENO) 12cmx80cm</t>
  </si>
  <si>
    <t>BOMBA PRESURISADORA DE 1 PUNTO</t>
  </si>
  <si>
    <t>bomba presurizadora de 1 punto, potencia nominal de 106W, voltaje de 127V, frecuencia de 60Hz y amperaje de 0.84A. fabricada en aluminio fundido, nivel de protección IP44, elevación de 15m, presión máxima de 84psi, flujo de salida de 13psi y caudal máximo de 29L/min. Diámetro de succión y descarga de ½”</t>
  </si>
  <si>
    <t xml:space="preserve">BOMBA SUMERGIBLE 0.67 HP </t>
  </si>
  <si>
    <t xml:space="preserve"> bomba sumergible de 0.67 HP  con un motor de 500W que opera a 110V, capacidad de succión de hasta 7m, altura máxima de elevación de 8m, y caudal máximo de 185L/min, con diámetro de 30.5cm y profundidad de aspiración de 15.8cm. </t>
  </si>
  <si>
    <t>ETIQUETADORA TÉRMICA – ALTA VELOCIDAD, NEGRO</t>
  </si>
  <si>
    <t xml:space="preserve"> etiquetadora térmica con tecnología de impresión térmica directa, velocidad de hasta 93 etiquetas por minuto en negro a 300 dpi, y capacidad para imprimir en negro y rojo usando rollo DK-2251. conectividad USB, cortador automático para impresión continua o por unidad, compatible con Windows y Mac mediante los softwares P-touch Editor y P-touch Editor Lite. Permite usar rollos continuos de hasta 1 metro de longitud</t>
  </si>
  <si>
    <t>EMPACADORA AL VACIO DE MESA 110 VOLTIO</t>
  </si>
  <si>
    <t>ESTABLO DE ORDEÑO PORTATIL EN HIERRO CON COMEDEROS, TEJA Y CAJÓN DE UN PUESTO</t>
  </si>
  <si>
    <t>FUMIGADORA   BOMBA DE ESPALADA 20 LITROS</t>
  </si>
  <si>
    <t>TEMPORIZADOR MECÁNICO IRRIGATION 27602</t>
  </si>
  <si>
    <t>temporizador está fabricado en metal duradero con componentes de latón, lo que garantiza resistencia a la intemperie y larga vida útil. Su diseño de alto flujo permite hasta un 20 % más de caudal que los temporizadores mecánicos estándar, facilitando el riego eficiente de cultivos, jardines o huertas. Se conecta directamente al grifo mediante un acople giratorio, y se activa mediante un dial manual que regula el tiempo de riego entre 15 y 120 minutos. No requiere electricidad ni baterías, lo que lo hace especialmente útil en zonas rurales sin acceso constante a energía. Sus dimensiones aproximadas son 11 × 16 × 11 cm</t>
  </si>
  <si>
    <t xml:space="preserve">CANASTILLA PLASTICA RESISTENTE TODA LINEAL (FRUVER) </t>
  </si>
  <si>
    <t>CANECA PLASTICA 55 GALONES</t>
  </si>
  <si>
    <t>caneca plástica de 55 galones (equivalente a 208 litros) está fabricada en polietileno de alta densidad (PEAD), resistente a impactos, rayos UV y productos químicos. Tiene dimensiones aproximadas de 95 cm de alto × 58 cm de diámetro, con tapa hermética tipo rosca o de presión,</t>
  </si>
  <si>
    <t>MASCARA RESPIRADOR MEDIA CARA 3M TALLA L</t>
  </si>
  <si>
    <t>máscara respirador 3M  talla L es un equipo reutilizable de media cara fabricado en elastómero termoplástico, diseñado para brindar protección respiratoria cómoda y segura en ambientes con vapores orgánicos y formaldehído. Se ajusta mediante arnés tipo horquilla y utiliza conexión tipo bayoneta compatible con filtros 3M, como el cartucho  incluido, que protege contra gases orgánicos y formaldehído</t>
  </si>
  <si>
    <t>MESA EN ACERO INOXIDABLE 90x100x50 SIN ENTREPAÑO</t>
  </si>
  <si>
    <t>La mesa en acero inoxidable sin entrepaño tiene dimensiones de 90 cm de alto, 100 cm de largo y 50 cm de fondo, y está fabricada en acero inoxidable tipo 304 o 430, compuesto por aproximadamente 18–20 % de cromo, 8–10.5 % de níquel, hasta 0.08 % de carbono, y el resto hierro, lo que le confiere alta resistencia a la corrosión, facilidad de limpieza y compatibilidad con ambientes sanitarios e institucionales.</t>
  </si>
  <si>
    <t>MESON EN ACERO INOXIDABLE 120X60MTS Y 85CM ALTO
CON ENTREPAÑO</t>
  </si>
  <si>
    <t>El mesón en acero inoxidable con entrepaño tiene dimensiones de 120 cm de largo, 60 cm de fondo y 85 cm de alto, y está fabricado en acero inoxidable tipo 304 o 430. Su composición típica incluye 18–20 % de cromo, 8–10.5 % de níquel, hasta 0.08 % de carbono y el resto hierro, lo que garantiza alta resistencia a la corrosión, fácil limpieza y cumplimiento de normas sanitarias.</t>
  </si>
  <si>
    <t>VARILLA CERCA MOVIL CON AISLADORES</t>
  </si>
  <si>
    <t>PAQUETE X 12</t>
  </si>
  <si>
    <t>FILTRO PAPEL LECHE DELGADO</t>
  </si>
  <si>
    <t>PAQUETE X 1OO UNIDADES</t>
  </si>
  <si>
    <t>FILTRO PLASTICO PARA LECHE LHAURA</t>
  </si>
  <si>
    <t xml:space="preserve">CORDON ELECTRICO PARA GANADO </t>
  </si>
  <si>
    <t>SALADERO INTELIGENTE 54X56X30 CM CAPACIDAD 13 KG, POLIETILENO NEGRO</t>
  </si>
  <si>
    <t>El saladero inteligente de 54 × 56 × 30 cm con capacidad de 13 kg está fabricado en polietileno negro de alta densidad, resistente a impactos, humedad y rayos UV. Su diseño ergonómico permite el suministro controlado de sal mineralizada para bovinos, equinos y otras especies, evitando el desperdicio y la contaminación por agua o estiércol. Incluye tapa superior abatible, base estable antideslizante, y sistema de dosificación por gravedad o acceso directo, según modelo.</t>
  </si>
  <si>
    <t>TRAJE ANTIFLUIDO PARA FUMIGACIÓN TALLA L</t>
  </si>
  <si>
    <t>KIT PRENSA Y MOLDES PARA QUESO</t>
  </si>
  <si>
    <t>Prensa para 6 moldes redondos en acero inox
Incluye 6 moldes redondos 500 gms en acero inox</t>
  </si>
  <si>
    <t>PULSADOR AUTOMATICO PARRA ORDEÑO</t>
  </si>
  <si>
    <t xml:space="preserve">NARIGUERA TIPO TENAZA </t>
  </si>
  <si>
    <t xml:space="preserve"> ANESTESICO LOCAL</t>
  </si>
  <si>
    <t>Lidocaína clorhidrato solución inyectable 2 gr / 100 ml (2%)</t>
  </si>
  <si>
    <t>Frasco X 50 ml</t>
  </si>
  <si>
    <t xml:space="preserve">ABSORBENTE DE TOXINAS  </t>
  </si>
  <si>
    <t xml:space="preserve">ANALGESICO </t>
  </si>
  <si>
    <t>Dipirona  500 mg, solución estéril para uso parenteral</t>
  </si>
  <si>
    <t>Frasco x 50 ml</t>
  </si>
  <si>
    <t>Meloxicam solución inyectable por 20 mg/ml</t>
  </si>
  <si>
    <t>Meloxicam 0.5% solución inyectable por 5mg/ml</t>
  </si>
  <si>
    <t>Frasco X 10 ml</t>
  </si>
  <si>
    <t>Meloxicam tabletas x 2mg</t>
  </si>
  <si>
    <t>Blister x 10 tabletas</t>
  </si>
  <si>
    <t>Ketoprofeno solución inyectable, Ketoprofeno 100 mg
Excipientes c.s.p. 1 ml</t>
  </si>
  <si>
    <t>Tramadol solución inyectable x 100mg/2ml</t>
  </si>
  <si>
    <t>Ampolla x 2 ml</t>
  </si>
  <si>
    <t>ANESTESICO</t>
  </si>
  <si>
    <t>solución inyectable X 5 ml</t>
  </si>
  <si>
    <t xml:space="preserve">Propofol (1%) 10mg/ml. </t>
  </si>
  <si>
    <t xml:space="preserve">Frasco x 20 ml </t>
  </si>
  <si>
    <t>Ketamina solución inyectable x 50 mg</t>
  </si>
  <si>
    <t>Antagonista a2 adrenérgico</t>
  </si>
  <si>
    <t>Yohimbina clorhidrato 2 g (2%) suspensión inyectable</t>
  </si>
  <si>
    <t>ANTAGONISTA DEL VOMITO</t>
  </si>
  <si>
    <t xml:space="preserve">Solución inyectable de Maropitant citrato: 10 mg.
Excipientes c.s.p.: 1 ml.
 </t>
  </si>
  <si>
    <t>Frasco x 20 ml</t>
  </si>
  <si>
    <t>ANTIBIOTICO</t>
  </si>
  <si>
    <t xml:space="preserve">Penicilina G Sódica 93.750, G procaínica 93.750 u.l. y Penicilina G benzatínica 125.000 u.l. Frasco ampolla por 10.000.000 UI </t>
  </si>
  <si>
    <t>Solución Inyectable x 50 ml</t>
  </si>
  <si>
    <t>Solución Inyectable x 32 ml</t>
  </si>
  <si>
    <t>Penicilina procaínica 150.000 u.l. Penicilina benzatínica 150.000 u.l.</t>
  </si>
  <si>
    <t>solución inyectable X 100 ml</t>
  </si>
  <si>
    <t>Frasco x 500 ml</t>
  </si>
  <si>
    <t xml:space="preserve">ANTIBIOTICO </t>
  </si>
  <si>
    <t xml:space="preserve">Sulfato de Gentamicina x  100 mg  </t>
  </si>
  <si>
    <t xml:space="preserve">Enrofloxacina x 100 mg, suspensión  Inyectable.   </t>
  </si>
  <si>
    <t xml:space="preserve">Frasco x 100 ml </t>
  </si>
  <si>
    <t>Doxiclina hiclato 5 mg solución inyectable</t>
  </si>
  <si>
    <t>Cefalexina tabletas x 500 mg</t>
  </si>
  <si>
    <t>Blíster x 10 tabletas</t>
  </si>
  <si>
    <t>Metronidazol 5 mg / ml</t>
  </si>
  <si>
    <t>Metronidazol tabletas x 500 mg</t>
  </si>
  <si>
    <t>ANTIBIOTICO - ANTIPROTOZOARIO</t>
  </si>
  <si>
    <t>Oxitetraciclina clorhidrato	100 mg
Diminazene diaceturato	35 mg
Antipirina	150 mg
Cianocobalamina	50 mcg
Excipientes c.s.p	1 mL</t>
  </si>
  <si>
    <t>Frasco x 100 ml</t>
  </si>
  <si>
    <t>ANTICOLINERGICO</t>
  </si>
  <si>
    <t xml:space="preserve"> Atropina sulfato solución inyectable x 1mg</t>
  </si>
  <si>
    <t>ANTIHEMATOZOARIO</t>
  </si>
  <si>
    <t>ANTIHEMETICO</t>
  </si>
  <si>
    <t>Clorhidrato de metoclopramida 5 mg / ml solución inyectable</t>
  </si>
  <si>
    <t>ampolla X 2 ml</t>
  </si>
  <si>
    <t xml:space="preserve"> Ondansetrón solución inyectable x 8 mg.</t>
  </si>
  <si>
    <t>Ampolla x 4 ml</t>
  </si>
  <si>
    <t>ANTIHEMETICO - GASTROCINÉTICO</t>
  </si>
  <si>
    <t>Metoclopramida suspensión inyectable,  Cada 100 ml de la solución contiene: Metoclopramida clorhidrato 0,5 g y Excipientes c.s.</t>
  </si>
  <si>
    <t xml:space="preserve">ANTIHEMORRAGICO </t>
  </si>
  <si>
    <t>Vitamina K,  Solución estéril de uso parenteral y oral, que contiene Menadiona Sodio Bisulfito. Indicado en hemorragias por disminución de los niveles de protrombina en la sangre ocasionadas por deficiencia de vitamina K.</t>
  </si>
  <si>
    <t>ANTIPARASITARIO</t>
  </si>
  <si>
    <t>Ivermectina 1 g
Excipientes c.s.p.100 mL</t>
  </si>
  <si>
    <t xml:space="preserve">ANTIPULGAS </t>
  </si>
  <si>
    <t>Imidacloprid (10%) y Moxidectina (1% a 2.5% según especie) en una solución spot-on. Hasta 25 kg</t>
  </si>
  <si>
    <t>Pipeta x 2,5 ml</t>
  </si>
  <si>
    <t>ANTISÉPTICO Y LARVICIDA DE USO EXTERNO</t>
  </si>
  <si>
    <t xml:space="preserve">Clorpirifos (Clorpyriphos): 2.5 g - 5.0 g, D46, Violeta de Genciana (Hexametil-p-rosanilina cloruro): 0.3 g, Excipientes c.b.p.: 100 ml. </t>
  </si>
  <si>
    <t>Aerosol x 400 ml</t>
  </si>
  <si>
    <t>COADYUDANTE DE CICATRIZACIÓN</t>
  </si>
  <si>
    <t>Aluminio (polvo, micronizado) 25%
c.s.p   100 g
protector en forma de spray que ayuda a la cicatrización de heridas externas</t>
  </si>
  <si>
    <t>Frasco spray X 210 ml</t>
  </si>
  <si>
    <t>CORTICOIDE</t>
  </si>
  <si>
    <t>Acetato de metilprednisolona 40mg solución inyectable</t>
  </si>
  <si>
    <t>solución inyectable x 5 ml</t>
  </si>
  <si>
    <t xml:space="preserve">Dexametasona suspensión inyectable x 2 mg. </t>
  </si>
  <si>
    <t>Ampolla x 8mg/2ml</t>
  </si>
  <si>
    <t xml:space="preserve">DESINFECTANTE </t>
  </si>
  <si>
    <t xml:space="preserve">DIURETICO </t>
  </si>
  <si>
    <t xml:space="preserve">Furosemida suspensión inyectable 50 mg/ml ( 5% ) </t>
  </si>
  <si>
    <t>DIURETICO OSMOTICO</t>
  </si>
  <si>
    <t>Manitol 20%  para nivel cerebral, actúa estableciendo un gradiente osmótico entre el plasma y el tejido parenquimatoso, lo que resulta en una reducción neta en el contenido de agua en el cerebro.</t>
  </si>
  <si>
    <t>Bolsa x 500 ml</t>
  </si>
  <si>
    <t>Termometro digital de punta rigidaSe utiliza para medir la temperatura del cuerpo, del aire o de otros objetos.
Termómetro digital
Punta rígida
Con alarma de fiebre
 Pantalla LCD digital fácil de leer. Precisión: +/-0,1°C/0,2°F Uso oral, axilar o rectal. Dispositivo sensible, de rápida lectura, resultados en 1 minuto. Respuesta rápida Muestra la temperatura en °C. Señal de alarma. Apagado automático Rango de medición: 32.0—42.0°C Batería de 1.55V del tamaño de un botón Paquete incluye: 1 termómetro – 1 Pila.</t>
  </si>
  <si>
    <t>EUTANÁSICO</t>
  </si>
  <si>
    <t>Pentobarbital sódico 390 mg/ml, Difenilhidantoína sódica 50 mg/ml.  Suspensión inyectable que reduce el riesgo de excitación del SNC, Eutanasia ética, indolora y tranquila para Perros y Gatos.</t>
  </si>
  <si>
    <t>FIBRINOLÍTICO</t>
  </si>
  <si>
    <t xml:space="preserve">Alfa quimiotripsina 50 mg. Descripción:
Antiinflamatorio enzimático.
Acción: Antiinflamatorio enzimático. Solución acuosa de enzimas proteolíticas (tripsina y alfa quimotripsina) con el agregado de hialuronidasa y dimetilsulfóxido como difusores tisulares
Composición:
Alfaquimotripsina                    0,4 g.
Tripsina                                   0,1 g.
Hialuronidasa                          0,1 g.
Dimetilsulfoxido (DMSO)      1 g.
Excipientes c.s.p.                    100 ml.
</t>
  </si>
  <si>
    <t xml:space="preserve">FRASCO X 100 ml </t>
  </si>
  <si>
    <t>HEMOSTATICO</t>
  </si>
  <si>
    <t>Etamsilato 125 mg Excipientes c.s.p. 1 mL</t>
  </si>
  <si>
    <t>HEMOSTÁTICO SINTÉTICO</t>
  </si>
  <si>
    <t>Ácido tranexámico 500 mg solución inyectable. 
Cada ampolla de 5 ml contiene 100 mg/ml de la solución.</t>
  </si>
  <si>
    <t>Ampolla</t>
  </si>
  <si>
    <t xml:space="preserve">Aguja calibre # 21 G x 1 pulgada
Aguja atóxica y apirógena compuesta por:
• aguja atraumática de acero inox tipo 304 con triple afilado lubricado tanto interna como externamente con aceite de silicona en cantidad inferior a 0,25 mg
• cono luer de polipropileno
• adhesivo biocompatible
• capuchón de protección de la aguja de polipropileno
</t>
  </si>
  <si>
    <t>Caja x 100 unidades</t>
  </si>
  <si>
    <t xml:space="preserve">Aguja calibre # 22 G x 1 pulgada
Aguja atóxica y apirógena compuesta por:
• aguja atraumática de acero inox tipo 304 con triple afilado lubricado tanto interna como externamente con aceite de silicona en cantidad inferior a 0,25 mg
• cono luer de polipropileno
• adhesivo biocompatible
• capuchón de protección de la aguja de polipropileno
</t>
  </si>
  <si>
    <t xml:space="preserve">Aguja calibre # 23 G x 1 pulgada
Aguja atóxica y apirógena compuesta por:
• aguja atraumática de acero inox tipo 304 con triple afilado lubricado tanto interna como externamente con aceite de silicona en cantidad inferior a 0,25 mg
• cono luer de polipropileno
• adhesivo biocompatible
• capuchón de protección de la aguja de polipropileno
</t>
  </si>
  <si>
    <t>"Aguja calibre # 18 G x 1 pulgada
Aguja atóxica y apirógena compuesta por:
• aguja atraumática de acero inox tipo 304 con triple afilado lubricado tanto interna como externamente con aceite de silicona en cantidad inferior a 0,25 mg
• cono luer de polipropileno
• adhesivo biocompatible
• capuchón de protección de la aguja de polipropileno</t>
  </si>
  <si>
    <t>Gorro tipo oruga o acordeón, es un elemento que cubre el cabello y la cabeza, para evitar que se contaminen con algún agente externo, o que pueda algún cabello contaminar el campo en el que se esté trabajando.
CARACTERISTICAS:
Cuerpo del gorro: Elaborado tela 100% polipropileno de 15 gramos
Elástico de sujeción: Elaborada en tela 5% poliéster y 95 % polipropileno.
ESPECIFICACIONES TECNICAS:
Cuerpo del gorro: 46 cm de alto x 22 cm de ancho
Elástico de sujeción: cada gorro cuenta con doble elástico en todo el perímetro de 0,5 cm de ancho x 24 cm de largo (cada lado)</t>
  </si>
  <si>
    <t xml:space="preserve">Bolsa x 100 unidades </t>
  </si>
  <si>
    <t>Compresa de 45x45</t>
  </si>
  <si>
    <t xml:space="preserve">Compresa de 45x45, esteril Paquete x 5 unidades, Compresa 45x45 No Esteril Paquete x 5 Unidades.   Gasa absorbente hecha en tejido plano 100 % algodón tipo VII. </t>
  </si>
  <si>
    <t xml:space="preserve">Paquete x 5 unidades </t>
  </si>
  <si>
    <t>Toalla para manos</t>
  </si>
  <si>
    <t>Toalla para manos doble hoja X 150 hojas, para dispensador, color natural, tipo de hoja de rollo doble hoja, formato toalla interfoliada, contenido paquete x 150 unidades, Resistente</t>
  </si>
  <si>
    <t>Frasco 3 OZ</t>
  </si>
  <si>
    <t>Envase tipo garrafa</t>
  </si>
  <si>
    <t>Envase tipo garrafa fabricado en polietileno de alta densidad (PEAD), con capacidad de 20 litros, tapa roscada de alta seguridad con sello interior para evitar fugas.</t>
  </si>
  <si>
    <t>Escoba antipolvo</t>
  </si>
  <si>
    <t xml:space="preserve">Escoba antipolvo de 27 cm de ancho. Perfecta para atrapar hasta las partículas mas finas. Su diseño avanzado te permite limpiar con rapidez y eficiencia, dejando tus espacios libres de polvo en cada barrida
</t>
  </si>
  <si>
    <t xml:space="preserve">Recogedores de piso para basura  </t>
  </si>
  <si>
    <t>Recogedores de piso para basura  Composición : 100% Polipropileno con bastón para sujetar</t>
  </si>
  <si>
    <t>TRAPERO</t>
  </si>
  <si>
    <t>Trapero, Implemento de limpieza conformado por cabezal de microfibra sintética de aproximadamente 40 cm de ancho x 12 cm de largo, con fibras de alta absorción y retención de suciedad. Diseñado para limpieza en seco y húmedo de superficies lisas. Cuenta con mango de longitud aproximada de 120 cm, liviano y resistente, que facilita su manipulación y alcance. Apto para uso doméstico e institucional.</t>
  </si>
  <si>
    <t>Solución para limpieza de pisos</t>
  </si>
  <si>
    <t xml:space="preserve">Hipoclorito de sodio en garrafa o cuñete </t>
  </si>
  <si>
    <t>Guantes talla L</t>
  </si>
  <si>
    <t>Guantes talla L para protección de las manos de los profesionales de la salud y evitar la contaminación con microbios y otros agentes biológicos.
Caja guantes de látex de color blanco ligeramente con polvo, lisos x  100. Fabricados conforme a
los estándares ASTM D3578(01) y a la norma europea EN455(01) “Requerimientos y
Prueba de Testeo excentos de orificios. Manufacturado bajo QSR, GMP e ISO
9001:2000 como sistemas de manejo de Calidad, utilizando la aprobación de la FDA</t>
  </si>
  <si>
    <t>Guantes talla M</t>
  </si>
  <si>
    <t>Guantes talla M para protección de las manos de los profesionales de la salud y evitar la contaminación con microbios y otros agentes biológicos.
Caja guantes de látex de color blanco ligeramente con polvo, lisos x  100. Fabricados conforme a
los estándares ASTM D3578(01) y a la norma europea EN455(01) “Requerimientos y
Prueba de Testeo excentos de orificios. Manufacturado bajo QSR, GMP e ISO
9001:2000 como sistemas de manejo de Calidad, utilizando la aprobación de la FDA</t>
  </si>
  <si>
    <t>Guantes talla S</t>
  </si>
  <si>
    <t>Guantes talla S para proteger las manos de los profesionales de la salud y evitar la contaminación con microbios y otros agentes biológicos.
Caja guantes de látex de color blanco ligeramente con polvo, lisos x  100. Fabricados conforme a los estándares ASTM D3578(01) y a la norma europea EN455(01) “Requerimientos yPrueba de Testeo excentos de orificios. Manufacturado bajo QSR, GMP e ISO 9001:2000 como sistemas de manejo de Calidad, utilizando la aprobación de la FDA</t>
  </si>
  <si>
    <t>Guantes de nitrilo talla L</t>
  </si>
  <si>
    <t>Guantes de nitrilo talla L indicados para prevenir la dermatitis por contacto en usuarios y pacientes y disminuir el riesgo de reacciones alérgicas por contacto con el látex. Fabricados 1% en nitrilo (acryloni-trile-butadine) material libre de látex y residuos químicos, libres de talco, ergonómicos, mayor calibre, optima sensibilidad, ambidiestros, alta resistencia, color azul, manufacturados y procesados en conformidad con las normas ISO 91 y sistema de regulación de calidad CE, BS, EN455.</t>
  </si>
  <si>
    <t>Guantes de nitrilo talla M</t>
  </si>
  <si>
    <t>Guantes de nitrilo talla M indicados para prevenir la dermatitis por contacto en usuarios y pacientes y disminuir el riesgo de reacciones alérgicas por contacto con el látex. Fabricados 1% en nitrilo (acryloni-trile-butadine) material libre de látex y residuos químicos, libres de talco, ergonómicos, mayor calibre, optima sensibilidad, ambidiestros, alta resistencia, color azul, manufacturados y procesados en conformidad con las normas ISO 91 y sistema de regulación de calidad CE, BS, EN455.</t>
  </si>
  <si>
    <t>Guantes de nitrilo talla S</t>
  </si>
  <si>
    <t>Guantes de nitrilo talla S indicados para prevenir la dermatitis por contacto en usuarios y pacientes y disminuir el riesgo de reacciones alérgicas por contacto con el látex. Fabricados 1% en nitrilo (acryloni-trile-butadine) material libre de látex y residuos químicos, libres de talco, ergonómicos, mayor calibre, optima sensibilidad, ambidiestros, alta resistencia, color azul, manufacturados y procesados en conformidad con las normas ISO 91 y sistema de regulación de calidad CE, BS, EN455.</t>
  </si>
  <si>
    <t>Batas desechables talla M</t>
  </si>
  <si>
    <t>Batas desechables talla M, Prendas diseñadas para proporcionar distintos grados de cobertura al usuario en función de la aplicación, es decir, procedimientos médicos, quirúrgicos y labores en  entornos controlados. Estan disponibles en tipo reutilizables, desechables y estériles y no estériles. Los detalles de cumplimiento normativo se pueden obtener a nivel del producto individual.
Bata de tela no tejida 100% polipropileno de 40 a 60 gramos, puños con elástico
ESPECIFICACIONES TECNICAS:
Cuerpo de la bata: 99cm de alto x 68 cm de ancho
Manga: 62 cm de largo con elástico de 1cm de ancho x 18 cm de largo cada puño</t>
  </si>
  <si>
    <t>Paquete x 100 unidades</t>
  </si>
  <si>
    <t>Recolector cortopunzante</t>
  </si>
  <si>
    <t>Tapabocas Quirúrgicos Desechables</t>
  </si>
  <si>
    <t>Tapabocas Quirúrgicos Desechables: Generalmente de tres capas (termo-sellados), hipoalergénicos, con alta filtración bacteriana mayor al 98% y clip nasal metálico para ajuste.</t>
  </si>
  <si>
    <t>Caja x 50 uniddes</t>
  </si>
  <si>
    <t>Bolsa de polietileno</t>
  </si>
  <si>
    <t>Bolsa de polietileno de baja densidad 110 X 120 cm Roja Cal. 200 Caja con 100 pzas. Se almacenar residuos hospitalarios infecciosos, contaminados o biológicamente peligrosos.
Paquete con 100 bolsas rojas traslúcidas para RPBI, bolsa de polietileno de baja densidad para recolección de RPBI, impermeables, libres de cloro y metales pesados, calibre: 200.</t>
  </si>
  <si>
    <t>Bolsa de polietileno de baja densidad 110 X 120 cm verde Cal. 200 Caja con 100 pzas Esto incluye restos de comida, desechos vegetales y otros residuos que se pueden usar como abono o compost</t>
  </si>
  <si>
    <t>Bolsa de polietileno de baja densidad 110 X 120 cm blanca Cal. 200 Caja con 100 pzas Esto incluye restos de comida, desechos vegetales y otros residuos que se pueden usar como abono o compost</t>
  </si>
  <si>
    <t>Bolsa de polietileno de baja densidad 70 X 90 cm Negra Cal. 200 Caja con 100 pzas Los desechos médicos no aprovechables, como papel higiénico, servilletas y cartones contaminados, se depositan en bolsas negras.</t>
  </si>
  <si>
    <t>Bolsa de polietileno de baja densidad 70 X 90 cm Roja Cal. 200 Caja con 100 pzas Se almacenar residuos hospitalarios infecciosos, contaminados o biológicamente peligrosos.
Paquete con 100 bolsas rojas traslúcidas para RPBI, bolsa de polietileno de baja densidad para recolección de RPBI, impermeables, libres de cloro y metales pesados, calibre: 200.</t>
  </si>
  <si>
    <t xml:space="preserve">Catéter intravenoso </t>
  </si>
  <si>
    <t>Catéter intravenoso 24g x 1 nipro safelet, está compuesto de poliuretano de alta calidad, que ofrece flexibilidad y resistencia. Este material es biocompatible, reduciendo las probabilidades de reacciones alérgicas. Su diseño ergonómico asegura un flujo de líquidos constante y sin interrupciones, garantizando tratamientos efectivos.</t>
  </si>
  <si>
    <t>Caja x 50 unidades</t>
  </si>
  <si>
    <t>Catéter intravenoso 22g x 1 nipro safelet, está compuesto de poliuretano de alta calidad, que ofrece flexibilidad y resistencia. Este material es biocompatible, reduciendo las probabilidades de reacciones alérgicas. Su diseño ergonómico asegura un flujo de líquidos constante y sin interrupciones, garantizando tratamientos efectivos.</t>
  </si>
  <si>
    <t>Catéter intravenoso 20g x 1 nipro safelet, está compuesto de poliuretano de alta calidad, que ofrece flexibilidad y resistencia. Este material es biocompatible, reduciendo las probabilidades de reacciones alérgicas. Su diseño ergonómico asegura un flujo de líquidos constante y sin interrupciones, garantizando tratamientos efectivos.</t>
  </si>
  <si>
    <t>Esparadrapo de tela</t>
  </si>
  <si>
    <t>Tubo x 5 unidades</t>
  </si>
  <si>
    <t xml:space="preserve">Paños toallas blancas </t>
  </si>
  <si>
    <t>Rollo</t>
  </si>
  <si>
    <t>Jabón Enzimático</t>
  </si>
  <si>
    <t xml:space="preserve">Jabón quirúrgico </t>
  </si>
  <si>
    <t xml:space="preserve">Jabón quirúrgico en concentración de 4% con agentes emolientes y excipientes.  para el lavado prequirúrgico de manos y antebrazos de personal médico y paramédico, para la antisepsia de la piel del paciente antes y después de procedimientos invasivos y para la profilaxis de la piel.  </t>
  </si>
  <si>
    <t xml:space="preserve">Jeringa desechable </t>
  </si>
  <si>
    <t xml:space="preserve">Jeringa desechable x 10 ml Dispositivo estéril, para un solo uso, que consiste en un tubohueco de polipropileno transparente con un émbolo en su interior que aspira o impele el líquido, según el movimiento que se le dé, y con un extremo terminado con conexión luer lock donde se introduce la aguja, que se inserta (si aplica) para realizar extracción de líquidos o administración de medicamentos.
COMPONENTES Y MATERIALES:
Cilindro: Polipropileno (PP)
Embolo; Polipropileno (PP)
Elastómero: Poliisopropeno
Aguja hipodérmica: Acero inoxidable
Protector de la aguja: Polietileno  </t>
  </si>
  <si>
    <t xml:space="preserve">Caja x 100 unidades </t>
  </si>
  <si>
    <t>Jeringa x 20 ml, Dispositivo estéril, para un solo uso, que consiste en un tubohueco de polipropileno transparente con un émbolo
en su interior que aspira o impele el líquido, según el movimiento que se le dé, y con un extremo
terminado con conexión luer lock donde se introduce la aguja, que se inserta (si aplica) para realizar extracción de líquidos o administración de medicamentos.
COMPONENTES Y MATERIALES:
Cilindro: Polipropileno (PP)
Embolo; Polipropileno (PP)
Elastómero: Poliisopropeno
Aguja hipodérmica: Acero inoxidable
Protector de la aguja: Polietileno.</t>
  </si>
  <si>
    <t>Jeringa x 3 ml, Dispositivo estéril, para un solo uso, que consiste en un tubohueco de polipropileno transparente con un émbolo
en su interior que aspira o impele el líquido, según el movimiento que se le dé, y con un extremo terminado con conexión luer lock donde se introduce la aguja, que se inserta (si aplica) para
realizar extracción de líquidos o administración de medicamentos.
COMPONENTES Y MATERIALES:
Cilindro: Polipropileno (PP)
Embolo; Polipropileno (PP)
Elastómero: Poliisopropeno
Aguja hipodérmica: Acero inoxidable
Protector de la aguja: Polietileno</t>
  </si>
  <si>
    <t xml:space="preserve">Jeringa x 5 ml, dispositivo estéril, para un solo uso, que consiste en un tubohueco de polipropileno transparente con un émbolo
en su interior que aspira o impele el líquido, según el movimiento que se le dé, y con un extremo terminado con conexión luer lock donde se introduce la aguja, que se inserta (si aplica) para
realizar extracción de líquidos o administración de medicamentos.
COMPONENTES Y MATERIALES:
Cilindro: Polipropileno (PP)
Embolo; Polipropileno (PP)
Elastómero: Poliisopropeno
Aguja hipodérmica: Acero inoxidable
Protector de la aguja: Polietileno  </t>
  </si>
  <si>
    <t>Jeringa x 50 ml "Dispositivo estéril, para un solo uso, que consiste en un tubohueco de polipropileno transparente con un émbolo
en su interior que aspira o impele el líquido, según el movimiento que se le dé, y con un extremo terminado con conexión luer lock donde se introduce la aguja, que se inserta (si aplica) para
realizar extracción de líquidos o administración de medicamentos.
COMPONENTES Y MATERIALES:
Cilindro: Polipropileno (PP)
Embolo; Polipropileno (PP)
Elastómero: Poliisopropeno
Aguja hipodérmica: Acero inoxidable
Protector de la aguja: Polietileno.</t>
  </si>
  <si>
    <t>Jeringa x 1 ml "Dispositivo estéril, para un solo uso, que consiste en un tubohueco de polipropileno transparente con un émbolo
en su interior que aspira o impele el líquido, según el movimiento que se le dé, y con un extremo terminado con conexión luer lock donde se introduce la aguja, que se inserta (si aplica) para
realizar extracción de líquidos o administración de medicamentos.
COMPONENTES Y MATERIALES:
Cilindro: Polipropileno (PP)
Embolo; Polipropileno (PP)
Elastómero: Poliisopropeno
Aguja hipodérmica: Acero inoxidable
Protector de la aguja: Polietileno.</t>
  </si>
  <si>
    <t xml:space="preserve">Sutura absorbible 2- 0 (ácido poliglicolico) multifilamento trenzado con recubrimiento sintético, alta resistencia a la tracción, prolongado tiempo de absorción  y mínima reacción inflamatoria </t>
  </si>
  <si>
    <t xml:space="preserve">Caja por 12 unidades </t>
  </si>
  <si>
    <t xml:space="preserve">Sutura absorbible 0 (ácido poliglicolico) multifilamento trenzado con recubrimiento sintético, alta resistencia a la tracción, prolongado tiempo de absorción  y mínima reacción inflamatoria </t>
  </si>
  <si>
    <t xml:space="preserve">Sutura absorbible 1 (ácido poliglicolico) multifilamento trenzado con recubrimiento sintético, alta resistencia a la tracción, prolongado tiempo de absorción  y mínima reacción inflamatoria </t>
  </si>
  <si>
    <t>Venoclisis para microgoteo es un dispositivo estéril y desechable diseñado para la administración intravenosa precisa de soluciones o medicamentos, caracterizado por una cámara que convierte 1 ml de líquido en 60 microgotas. Es ideal para pediatría, neonatología o fármacos que requieren flujo lento y constante, e incluye punzón, tubo de PVC y regulador de flujo y conector seguro. 
El equipo de venoclisis de macrogoteo es un dispositivo médico estéril y desechable, utilizado para infundir grandes volúmenes de soluciones intravenosas (cristaloides/coloides) a flujos rápidos. Generalmente entrega 10, 15 o 20 gotas/mL, siendo ideal para adultos y rehidratación, compuesto por punzón, cámara de goteo, regulador y conector</t>
  </si>
  <si>
    <t>Venoclisis para macrogoteo</t>
  </si>
  <si>
    <t>cuchillas para peluquería canina</t>
  </si>
  <si>
    <t>Las cuchillas Nº 50 para peluquería canina se destacan por su alta calidad, utilizando tecnología criogénica (CryogenX) para mayor durabilidad, filo preciso y menor calentamiento durante cortes prolongados. Fabricadas en acero inoxidable de alto carbono, son resistentes a la oxidación, desmontables y compatibles con máquinas tipo A5 (Oster, Andis, Wahl)</t>
  </si>
  <si>
    <t>Las cuchillas Nº 40 para peluquería canina se destacan por su alta calidad, utilizando tecnología criogénica (CryogenX) para mayor durabilidad, filo preciso y menor calentamiento durante cortes prolongados. Fabricadas en acero inoxidable de alto carbono, son resistentes a la oxidación, desmontables y compatibles con máquinas tipo A5 (Oster, Andis, Wahl)</t>
  </si>
  <si>
    <t>Aerosol refrigerante para mantenimiento de cuchillas</t>
  </si>
  <si>
    <t>Aceite lubricante ideal para máquinas.</t>
  </si>
  <si>
    <t>Maquina de peluqueria canina</t>
  </si>
  <si>
    <t xml:space="preserve">Traílla  en cordón grueso de reata trenzada.
Inyección de plástico en las uniones.
Mosquetón metálico resistente.
Longitud del cordón de 60 cms.
Ideal para perros de razas grandes que requieren un mayor control.
Resistente a fuertes tensiones.
</t>
  </si>
  <si>
    <t xml:space="preserve">CAJA ORGANIZADORA PLÁSTICA
</t>
  </si>
  <si>
    <t>Caja Herramientas 22" con Tapa Organizadora Cerradura Plástica
Prof Unidad: 27 cm
Ancho: 56 cm
Altura: 25 cm</t>
  </si>
  <si>
    <t>Caja Organizadora Plástica</t>
  </si>
  <si>
    <t>Caja Organizadora Plástica Extra Grande Y Tapa 27L
•Ancho : 46.5 cm
•Alto : 26 cm
•Profundidad : 33 cm
•Dimensiones : 46.5 x 26 x 33 cm</t>
  </si>
  <si>
    <t>Riñoneras de acero inoxidable.</t>
  </si>
  <si>
    <t>riñoneras de acero inoxidable. Recipiente médico en forma de riñón, diseñados para la recolección de fluidos, instrumental o residuos orgánicos durante procedimientos clínicos. Fabricada en acero inoxidable 304, que permita ser esterilizables en autoclave, altamente higiénicas, duraderas, resistentes a la corrosión y reutilizable</t>
  </si>
  <si>
    <t xml:space="preserve">KIT DE DISECCIÓN </t>
  </si>
  <si>
    <t>Caja de acero quirúrgico para transporte de instrumental sin asas</t>
  </si>
  <si>
    <t>Caja de acero quirúrgico para transporte de instrumental sin asas. Producto 100% esterilizable con superficie lisa y bordes redondeados.  Dimensiones 250 × 150 × 60 mm aprox</t>
  </si>
  <si>
    <t>Corta uñas para gato</t>
  </si>
  <si>
    <t>Corta uñas para gato de tijera con garra, en acero inoxidable tiene cuchillas con palanca de seguridad y posee mango de goma para mayor comodidad</t>
  </si>
  <si>
    <t>Corta uñas para perro</t>
  </si>
  <si>
    <t>Corta uñas para perros de guillotina, pequeña, 8 cm. Con cuchillas de acero inoxidable y mango antideslizante oma para mayor comodidad</t>
  </si>
  <si>
    <t>Buretrol, o bureta de volumen controlado</t>
  </si>
  <si>
    <t>Buretrol, o bureta de volumen controlado, es un dispositivo médico estéril, generalmente de 150 ml, diseñado para la administración precisa y segura de líquidos y medicamentos intravenosos. Funciona por gravedad conectado a un equipo de venoclisis, permitiendo dosificar volúmenes exactos, siendo ideal para pacientes pediátricos, cuidados intensivos o administración intermitente</t>
  </si>
  <si>
    <t xml:space="preserve">Sonda para aspiración de secreciones </t>
  </si>
  <si>
    <t>Sonda para aspiración de secreciones De plástico, estéril y desechable. Longitud 55 cm. Con válvula de control.  18 FR.</t>
  </si>
  <si>
    <t>Tubo endotraqueal 2.0  sin balón, con marcas de profundidad por encima del balón, con el fin de posicionar correctamente el tubo endotraqueal. Fabricado en PVC de grado médico atóxico transparente, con un diseño ergonómico que facilita la inserción. Orificio distal tipo Murphy que evita su obstrucción. Línea longitudinal radiopaca que permite la correcta colocación en la tráquea y la visualización a través de Rayos X y escáner. Conector estándar de 15 mm. Diámetro externo 3.3 mm, Longitud del tubo 170 MM.
Exenta de látex y de Falatos.CARACTERÍSTICAS GENERALES:
El Balón anatómico Hi- Lo (Gran volumen – Baja presión), con su nuevo diseño adaptado y ergonómico, facilita la inserción y reduce la presión en las paredes de la tráquea. Producto de un solo uso.
Cuidadosamente esterilizado.
INDICACIONES: Indicado para la intubación de pacientes.</t>
  </si>
  <si>
    <t>Tubo endotraqueal 2.5  sin balón, con marcas de profundidad por encima del balón, con el fin de posicionar correctamente el tubo endotraqueal. Fabricado en PVC de grado médico atóxico transparente, con un diseño ergonómico que facilita la inserción. Orificio distal tipo Murphy que evita su obstrucción. Línea longitudinal radiopaca que permite la correcta colocación en la tráquea y la visualización a través de Rayos X y escáner. Conector estándar de 15 mm. Diámetro externo 3.3 mm, Longitud del tubo 170 MM.
Exenta de látex y de Falatos.CARACTERÍSTICAS GENERALES:
El Balón anatómico Hi- Lo (Gran volumen – Baja presión), con su nuevo diseño adaptado y ergonómico, facilita la inserción y reduce la presión en las paredes de la tráquea. Producto de un solo uso.
Cuidadosamente esterilizado.
INDICACIONES: Indicado para la intubación de pacientes.</t>
  </si>
  <si>
    <t>Tubo endotraqueal 3.0  con balón, con marcas de profundidad por encima del balón, con el fin de posicionar correctamente el tubo endotraqueal. Fabricado en PVC de grado médico atóxico transparente, con un diseño ergonómico que facilita la inserción. Orificio distal tipo Murphy que evita su obstrucción. Línea longitudinal radiopaca que permite la correcta colocación en la tráquea y la visualización a través de Rayos X y escáner. Conector estándar de 15 mm. Diámetro externo 3.3 mm, Longitud del tubo 170 MM.
Exenta de látex y de Falatos.CARACTERÍSTICAS GENERALES:
El Balón anatómico Hi- Lo (Gran volumen – Baja presión), con su nuevo diseño adaptado y ergonómico, facilita la inserción y reduce la presión en las paredes de la tráquea. Producto de un solo uso.
Cuidadosamente esterilizado.
INDICACIONES: Indicado para la intubación de pacientes.</t>
  </si>
  <si>
    <t>Tubo endotraqueal 3.5  con balón, con marcas de profundidad por encima del balón, con el fin de posicionar correctamente el tubo endotraqueal. Fabricado en PVC de grado médico atóxico transparente, con un diseño ergonómico que facilita la inserción. Orificio distal tipo Murphy que evita su obstrucción. Línea longitudinal radiopaca que permite la correcta colocación en la tráquea y la visualización a través de Rayos X y escáner. Conector estándar de 15 mm. Diámetro externo 3.3 mm, Longitud del tubo 170 MM.
Exenta de látex y de Falatos.CARACTERÍSTICAS GENERALES:
El Balón anatómico Hi- Lo (Gran volumen – Baja presión), con su nuevo diseño adaptado y ergonómico, facilita la inserción y reduce la presión en las paredes de la tráquea. Producto de un solo uso.
Cuidadosamente esterilizado.
INDICACIONES: Indicado para la intubación de pacientes.</t>
  </si>
  <si>
    <t>Tubo endotraqueal 4.0  con balón, con marcas de profundidad por encima del balón, con el fin de posicionar correctamente el tubo endotraqueal. Fabricado en PVC de grado médico atóxico transparente, con un diseño ergonómico que facilita la inserción. Orificio distal tipo Murphy que evita su obstrucción. Línea longitudinal radiopaca que permite la correcta colocación en la tráquea y la visualización a través de Rayos X y escáner. Conector estándar de 15 mm. Diámetro externo 3.3 mm, Longitud del tubo 170 MM.
Exenta de látex y de Falatos.CARACTERÍSTICAS GENERALES:
El Balón anatómico Hi- Lo (Gran volumen – Baja presión), con su nuevo diseño adaptado y ergonómico, facilita la inserción y reduce la presión en las paredes de la tráquea. Producto de un solo uso.
Cuidadosamente esterilizado.
INDICACIONES: Indicado para la intubación de pacientes.</t>
  </si>
  <si>
    <t>Tubo endotraqueal 4.5  con balón, con marcas de profundidad por encima del balón, con el fin de posicionar correctamente el tubo endotraqueal. Fabricado en PVC de grado médico atóxico transparente, con un diseño ergonómico que facilita la inserción. Orificio distal tipo Murphy que evita su obstrucción. Línea longitudinal radiopaca que permite la correcta colocación en la tráquea y la visualización a través de Rayos X y escáner. Conector estándar de 15 mm. Diámetro externo 3.3 mm, Longitud del tubo 170 MM.
Exenta de látex y de Falatos.CARACTERÍSTICAS GENERALES:
El Balón anatómico Hi- Lo (Gran volumen – Baja presión), con su nuevo diseño adaptado y ergonómico, facilita la inserción y reduce la presión en las paredes de la tráquea. Producto de un solo uso.
Cuidadosamente esterilizado.
INDICACIONES: Indicado para la intubación de pacientes.</t>
  </si>
  <si>
    <t>Tubo endotraqueal 5.0  con balón, con marcas de profundidad por encima del balón, con el fin de posicionar correctamente el tubo endotraqueal. Fabricado en PVC de grado médico atóxico transparente, con un diseño ergonómico que facilita la inserción. Orificio distal tipo Murphy que evita su obstrucción. Línea longitudinal radiopaca que permite la correcta colocación en la tráquea y la visualización a través de Rayos X y escáner. Conector estándar de 15 mm. Diámetro externo 3.3 mm, Longitud del tubo 170 MM.
Exenta de látex y de Falatos.CARACTERÍSTICAS GENERALES:
El Balón anatómico Hi- Lo (Gran volumen – Baja presión), con su nuevo diseño adaptado y ergonómico, facilita la inserción y reduce la presión en las paredes de la tráquea. Producto de un solo uso.
Cuidadosamente esterilizado.
INDICACIONES: Indicado para la intubación de pacientes.</t>
  </si>
  <si>
    <t>Tubo endotraqueal 5.5  con balón, con marcas de profundidad por encima del balón, con el fin de posicionar correctamente el tubo endotraqueal. Fabricado en PVC de grado médico atóxico transparente, con un diseño ergonómico que facilita la inserción. Orificio distal tipo Murphy que evita su obstrucción. Línea longitudinal radiopaca que permite la correcta colocación en la tráquea y la visualización a través de Rayos X y escáner. Conector estándar de 15 mm. Diámetro externo 3.3 mm, Longitud del tubo 170 MM.
Exenta de látex y de Falatos.CARACTERÍSTICAS GENERALES:
El Balón anatómico Hi- Lo (Gran volumen – Baja presión), con su nuevo diseño adaptado y ergonómico, facilita la inserción y reduce la presión en las paredes de la tráquea. Producto de un solo uso.
Cuidadosamente esterilizado.
INDICACIONES: Indicado para la intubación de pacientes.</t>
  </si>
  <si>
    <t>Tubo endotraqueal 6.0  con balón, con marcas de profundidad por encima del balón, con el fin de posicionar correctamente el tubo endotraqueal. Fabricado en PVC de grado médico atóxico transparente, con un diseño ergonómico que facilita la inserción. Orificio distal tipo Murphy que evita su obstrucción. Línea longitudinal radiopaca que permite la correcta colocación en la tráquea y la visualización a través de Rayos X y escáner. Conector estándar de 15 mm. Diámetro externo 3.3 mm, Longitud del tubo 170 MM.
Exenta de látex y de Falatos.CARACTERÍSTICAS GENERALES:
El Balón anatómico Hi- Lo (Gran volumen – Baja presión), con su nuevo diseño adaptado y ergonómico, facilita la inserción y reduce la presión en las paredes de la tráquea. Producto de un solo uso.
Cuidadosamente esterilizado.
INDICACIONES: Indicado para la intubación de pacientes.</t>
  </si>
  <si>
    <t>Tubo endotraqueal 6.5  con balón, con marcas de profundidad por encima del balón, con el fin de posicionar correctamente el tubo endotraqueal. Fabricado en PVC de grado médico atóxico transparente, con un diseño ergonómico que facilita la inserción. Orificio distal tipo Murphy que evita su obstrucción. Línea longitudinal radiopaca que permite la correcta colocación en la tráquea y la visualización a través de Rayos X y escáner. Conector estándar de 15 mm. Diámetro externo 3.3 mm, Longitud del tubo 170 MM.
Exenta de látex y de Falatos.CARACTERÍSTICAS GENERALES:
El Balón anatómico Hi- Lo (Gran volumen – Baja presión), con su nuevo diseño adaptado y ergonómico, facilita la inserción y reduce la presión en las paredes de la tráquea. Producto de un solo uso.
Cuidadosamente esterilizado.
INDICACIONES: Indicado para la intubación de pacientes.</t>
  </si>
  <si>
    <t>Tubo endotraqueal 7.0  con balón, con marcas de profundidad por encima del balón, con el fin de posicionar correctamente el tubo endotraqueal. Fabricado en PVC de grado médico atóxico transparente, con un diseño ergonómico que facilita la inserción. Orificio distal tipo Murphy que evita su obstrucción. Línea longitudinal radiopaca que permite la correcta colocación en la tráquea y la visualización a través de Rayos X y escáner. Conector estándar de 15 mm. Diámetro externo 3.3 mm, Longitud del tubo 170 MM.
Exenta de látex y de Falatos.CARACTERÍSTICAS GENERALES:
El Balón anatómico Hi- Lo (Gran volumen – Baja presión), con su nuevo diseño adaptado y ergonómico, facilita la inserción y reduce la presión en las paredes de la tráquea. Producto de un solo uso.
Cuidadosamente esterilizado.
INDICACIONES: Indicado para la intubación de pacientes.</t>
  </si>
  <si>
    <t>Tubo endotraqueal 7.5  con balón, con marcas de profundidad por encima del balón, con el fin de posicionar correctamente el tubo endotraqueal. Fabricado en PVC de grado médico atóxico transparente, con un diseño ergonómico que facilita la inserción. Orificio distal tipo Murphy que evita su obstrucción. Línea longitudinal radiopaca que permite la correcta colocación en la tráquea y la visualización a través de Rayos X y escáner. Conector estándar de 15 mm. Diámetro externo 3.3 mm, Longitud del tubo 170 MM.
Exenta de látex y de Falatos.CARACTERÍSTICAS GENERALES:
El Balón anatómico Hi- Lo (Gran volumen – Baja presión), con su nuevo diseño adaptado y ergonómico, facilita la inserción y reduce la presión en las paredes de la tráquea. Producto de un solo uso.
Cuidadosamente esterilizado.
INDICACIONES: Indicado para la intubación de pacientes.</t>
  </si>
  <si>
    <t>Tubo endotraqueal 8.0  con balón, con marcas de profundidad por encima del balón, con el fin de posicionar correctamente el tubo endotraqueal. Fabricado en PVC de grado médico atóxico transparente, con un diseño ergonómico que facilita la inserción. Orificio distal tipo Murphy que evita su obstrucción. Línea longitudinal radiopaca que permite la correcta colocación en la tráquea y la visualización a través de Rayos X y escáner. Conector estándar de 15 mm. Diámetro externo 3.3 mm, Longitud del tubo 170 MM.
Exenta de látex y de Falatos.CARACTERÍSTICAS GENERALES:
El Balón anatómico Hi- Lo (Gran volumen – Baja presión), con su nuevo diseño adaptado y ergonómico, facilita la inserción y reduce la presión en las paredes de la tráquea. Producto de un solo uso.
Cuidadosamente esterilizado.
INDICACIONES: Indicado para la intubación de pacientes.</t>
  </si>
  <si>
    <t>Tubo endotraqueal 8.5  con balón, con marcas de profundidad por encima del balón, con el fin de posicionar correctamente el tubo endotraqueal. Fabricado en PVC de grado médico atóxico transparente, con un diseño ergonómico que facilita la inserción. Orificio distal tipo Murphy que evita su obstrucción. Línea longitudinal radiopaca que permite la correcta colocación en la tráquea y la visualización a través de Rayos X y escáner. Conector estándar de 15 mm. Diámetro externo 3.3 mm, Longitud del tubo 170 MM.
Exenta de látex y de Falatos.CARACTERÍSTICAS GENERALES:
El Balón anatómico Hi- Lo (Gran volumen – Baja presión), con su nuevo diseño adaptado y ergonómico, facilita la inserción y reduce la presión en las paredes de la tráquea. Producto de un solo uso.
Cuidadosamente esterilizado.
INDICACIONES: Indicado para la intubación de pacientes.</t>
  </si>
  <si>
    <t>Tubo endotraqueal 9.0  con balón, con marcas de profundidad por encima del balón, con el fin de posicionar correctamente el tubo endotraqueal. Fabricado en PVC de grado médico atóxico transparente, con un diseño ergonómico que facilita la inserción. Orificio distal tipo Murphy que evita su obstrucción. Línea longitudinal radiopaca que permite la correcta colocación en la tráquea y la visualización a través de Rayos X y escáner. Conector estándar de 15 mm. Diámetro externo 3.3 mm, Longitud del tubo 170 MM.
Exenta de látex y de Falatos.CARACTERÍSTICAS GENERALES:
El Balón anatómico Hi- Lo (Gran volumen – Baja presión), con su nuevo diseño adaptado y ergonómico, facilita la inserción y reduce la presión en las paredes de la tráquea. Producto de un solo uso.
Cuidadosamente esterilizado.
INDICACIONES: Indicado para la intubación de pacientes.</t>
  </si>
  <si>
    <t>Tubo endotraqueal 9.5  con balón, con marcas de profundidad por encima del balón, con el fin de posicionar correctamente el tubo endotraqueal. Fabricado en PVC de grado médico atóxico transparente, con un diseño ergonómico que facilita la inserción. Orificio distal tipo Murphy que evita su obstrucción. Línea longitudinal radiopaca que permite la correcta colocación en la tráquea y la visualización a través de Rayos X y escáner. Conector estándar de 15 mm. Diámetro externo 3.3 mm, Longitud del tubo 170 MM.
Exenta de látex y de Falatos.CARACTERÍSTICAS GENERALES:
El Balón anatómico Hi- Lo (Gran volumen – Baja presión), con su nuevo diseño adaptado y ergonómico, facilita la inserción y reduce la presión en las paredes de la tráquea. Producto de un solo uso.
Cuidadosamente esterilizado.
INDICACIONES: Indicado para la intubación de pacientes.</t>
  </si>
  <si>
    <t>Tubo endotraqueal 10.0  con balón, con marcas de profundidad por encima del balón, con el fin de posicionar correctamente el tubo endotraqueal. Fabricado en PVC de grado médico atóxico transparente, con un diseño ergonómico que facilita la inserción. Orificio distal tipo Murphy que evita su obstrucción. Línea longitudinal radiopaca que permite la correcta colocación en la tráquea y la visualización a través de Rayos X y escáner. Conector estándar de 15 mm. Diámetro externo 3.3 mm, Longitud del tubo 170 MM.
Exenta de látex y de Falatos.CARACTERÍSTICAS GENERALES:
El Balón anatómico Hi- Lo (Gran volumen – Baja presión), con su nuevo diseño adaptado y ergonómico, facilita la inserción y reduce la presión en las paredes de la tráquea. Producto de un solo uso.
Cuidadosamente esterilizado.
INDICACIONES: Indicado para la intubación de pacientes.</t>
  </si>
  <si>
    <t>Atomizador Plástico 946ml Rubbermaid Tipo : Poncheras, bateas y platones
•Ancho : 12.19 cm Alto : 34.04 cm
•Incluye : 1 botella, 1 pistola
•Alto : 34.04 cm
•Incluye : 1 botella, 1 pistola</t>
  </si>
  <si>
    <t>Cintas autoadhesivas</t>
  </si>
  <si>
    <t>Cintas autoadhesivas testigo, indicadores químicos (Clase 1) utilizados en esterilización para sellar paquetes y verificar visualmente si han sido expuestos a procesos de vapor, óxido de etileno (EO) o calor seco. Cambian de color al alcanzar condiciones de temperatura, facilitando la distinción entre material procesado y no procesado sin garantizar esterilidad total, Tamaño: 50 m x 19 mm</t>
  </si>
  <si>
    <t>Bolsa para esterilizar</t>
  </si>
  <si>
    <t>Bolsa para esterilizar: Las bolsas para esterilización son un dispositivo médico utilizado como contenedor actuan como barrera bacteriana y mantiene los artículos estériles en su interior. Dimensiones 9 x 26 cm</t>
  </si>
  <si>
    <t>Caja x 200 bolsas</t>
  </si>
  <si>
    <t xml:space="preserve">Collar isabelino L-XL </t>
  </si>
  <si>
    <t>Collar isabelino L-XL (tamaño Golden Retriever a Terranova), fabricado en plástico de polietileno transparente, es muy resistente y duradero. Tiene unas hebillas para pasar el collar o una gasa y fijarlo al cuello del animal. Puede lavarse con agua y jabón. 
- Medidas:
· Longitud del collar: 47-57 cm.
· Perímetro del cuello: 30 cm.
- Hecho de plástico.
- Previene que el animal se rasque o chupe las heridas o vendas.
- Con cierre.
- Transparente.</t>
  </si>
  <si>
    <t>Collar isabelino M</t>
  </si>
  <si>
    <t>Collar isabelino M, fabricado en plástico de polietileno transparente, es muy resistente y duradero. Tiene unas hebillas para pasar el collar o una gasa y fijarlo al cuello del animal. Puede lavarse con agua y jabón. M (tamaño Cocker).
- Medidas:
· Longitud del collar: 38-44 cm.
· Perímetro del cuello: 20 cm.
- Hecho de plástico.
- Previene que el animal se rasque o chupe las heridas o vendas.
- Con cierre.
- Transparente.</t>
  </si>
  <si>
    <t>Collar isabelino S</t>
  </si>
  <si>
    <t>Collar isabelino S, fabricado en plástico de polietileno transparente, es muy resistente y duradero. Tiene unas hebillas para pasar el collar o una gasa y fijarlo al cuello del animal. Puede lavarse con agua y jabón. S (tamaño Teckel).
- Medidas:
· Longitud del collar: 28-33 cm.
· Perímetro del cuello: 12 cm.
- Hecho de plástico.
- Previene que el animal se rasque o chupe las heridas o vendas.
- Con cierre.
- Transparente.
- También adecuada para gatos.</t>
  </si>
  <si>
    <t>Collar isabelino XS</t>
  </si>
  <si>
    <t>Collar isabelino XS, Fabricado en plástico de polietileno transparente, es muy resistente y duradero. Tiene unas hebillas para pasar el collar o una gasa y fijarlo al cuello del animal. Puede lavarse con agua y jabón. Talla XS (tamaño Yorkshire).
-Medidas:
·Longitud del collar: 22-25 cm.
·Perímetro del cuello: 7 cm.
-Hecho de plástico.
- Previene que el animal se rasque o chupe las heridas o vendas Con cierre.
- Transparente.
- También adecuada para gatos.</t>
  </si>
  <si>
    <t>Agua destilada</t>
  </si>
  <si>
    <t xml:space="preserve">Agua destilada, altamente purificada, casi (H2O) puro, obtenida mediante destilación para eliminar minerales, sales, impurezas y microorganismos. Se caracteriza por ser incolora, inodora, insípida, con un pH neutro (que baja approx 5,8 al contacto con el aire) y baja conductividad eléctrica, ideal para uso industrial, médico y doméstica </t>
  </si>
  <si>
    <t>Manillas de seguridad</t>
  </si>
  <si>
    <t>Manilla de seguridad papel Tyvek Ancho: 19mm Longitud: 25 cm</t>
  </si>
  <si>
    <t>MEDICAMENTO DE EMERGENCIA</t>
  </si>
  <si>
    <t>Doxapram Clorhidrato 20 mg (Frasco)</t>
  </si>
  <si>
    <t>Adrenalina x 1 mg/ ml  CARDIOTONICO La adrenalina, también conocida como epinefrina.</t>
  </si>
  <si>
    <t xml:space="preserve">MULTIVITAMINICO </t>
  </si>
  <si>
    <t xml:space="preserve">Cada 100 ml. contienen: Sodio acetato, 125 mg.; Sodio cloruro, 125 mg.; Calcio Cloruro, 20 mg.; Potasio cloruro 25 mg.; Magnesio sulfato 20 mg.; Dextrosa, 5g. Tiamina clorhidrato, 6 mg.; Riboflavina 5, Fosfato de sodio, 7mg.; Cianocobalamina 5 mcg.; piridoxina clorhidrato, 10 mg.; Sodio pantetonato, 5mg.; Niacinamida, 100 mg.; Glutamato monosódico, 5mg. L- Metionina, 3,5 mg.; L-Triptófano, 3.0 mg.; L-Treonina 4,5 mg., L-Isoleucina, 5 mg.; L-Fenilalanina, 6.5 mg.; L-lisina, 10 mg.; L-Valina, 7.5 mg.; L-leucina, 12 mg.; L-histidina, 7 mg.; preservativos y agua Destilada, c.s.
</t>
  </si>
  <si>
    <t>•	Cacodilato Sódico: 3 g
•	Cianocobalamina (Vitamina B12): 4 mg
•	Tiamina (Vitamina B1): 1 g
•	Riboflavina (Vitamina B2): 400 mg
•	Piridoxina (Vitamina B6): 500 mg
•	Niacina (Vitamina B3): 10 g
•	Excipientes: c.s.p. 100 ml</t>
  </si>
  <si>
    <t>Suspensión inyectable x 250 ml</t>
  </si>
  <si>
    <t>POMADA ANTIINFLAMATORIA, ANTIFLOGÍSTICA</t>
  </si>
  <si>
    <t>Ácido fénico	1.5 g
Óxido de zinc	7 g
Aceite de pino	2 g
Excipientes csp	100 g</t>
  </si>
  <si>
    <t>Frasco por 250 ml</t>
  </si>
  <si>
    <t xml:space="preserve">PREANESTESICO </t>
  </si>
  <si>
    <t xml:space="preserve">Acepromazina maleato X 10 mg </t>
  </si>
  <si>
    <t>PROTECTOR ACIDO GASTRICO</t>
  </si>
  <si>
    <t xml:space="preserve"> Omeprazol 40 mg solución inyectable.</t>
  </si>
  <si>
    <t>Ampolla para reconstituir en 10 ml</t>
  </si>
  <si>
    <t>PROTECTOR GASTRICO -ANTIACIDO</t>
  </si>
  <si>
    <t>Ranitidina, solución inyectable X 25 mg</t>
  </si>
  <si>
    <t xml:space="preserve">SEDANTE </t>
  </si>
  <si>
    <t>Xilacina Clorhidrato.116,5 mg. Equivalente a Xilacina base 100 mg/ml. Excipientes c.s.p.1 mL.</t>
  </si>
  <si>
    <t>Xilacina Clorhidrato, solución inyectable x 20 mg, Excipientes c.s.p 1 ml</t>
  </si>
  <si>
    <t>SEDANTE Y ANTICONVULSIVO</t>
  </si>
  <si>
    <t>Midazolam 5 mg/5 ml Solución inyectable.</t>
  </si>
  <si>
    <t>Ampolla de 50 mg en 10 ml</t>
  </si>
  <si>
    <t>SOLUCIÓN HIDRATANTE</t>
  </si>
  <si>
    <t>Solución inyectable Ringer lactato  Cada 100 mL contiene:
Cloruro de Sodio 0,600 g
Cloruro de Potasio 0,040 g
Cloruro de Calcio 2H2O 0,027 g
Lactato de Sodio 0,320 g
Agua para preparaciones inyectables c.s.p. 100 mL</t>
  </si>
  <si>
    <t>BOLSA X 500 ML</t>
  </si>
  <si>
    <t>Solución inyectable, Cloruro de Sodio 0.9%Cada 100 ml de solución inyectable contienen: Cloruro de Sodio 0.9 g; Agua para Inyectables c.s.p. 100.0 ml. Cada litro de esta solución aporta: Sodio 155 mEq; Cloruro 155 mEq.</t>
  </si>
  <si>
    <t> BOLSA X 500 ML </t>
  </si>
  <si>
    <t xml:space="preserve"> Amoxicilina (Trihidrato)140 mg + 
Ácido Clavulánico  35 mg ( Inyectable)  
ANTIBIOTICO En el tratamiento de enfermedades causadas por microorganismos como: Staphylococcus spp., Streptococcus spp., Corynebacterium spp., Clostridium spp., Bacillus anthracis, Actinomyces bovis, Escherichia coli, Salmonella spp., Campylobacter spp., Klebsiella spp., Proteus spp., Pasteurella spp., Fusobacterium necrophorum, Bacteroides spp., Haemophilus spp., Moraxella spp. y Actinobacillus lignieresii.</t>
  </si>
  <si>
    <t xml:space="preserve">Frasco * 100 ml </t>
  </si>
  <si>
    <t xml:space="preserve">ANTIPARASITARIO </t>
  </si>
  <si>
    <t>Fluralaner  1000 mg Tableta masticable saborizada, que contiene fluralaner micronizado. Esta indicado como insecticida y acaricida sistémico para el tratamiento y control de pulgas, garrapatas y ácaros de la sarna, con protección persistente por 12 semanas, tras una única administración.sta indicado como insecticida y acaricida sistémico para el tratamiento y control de pulgas, garrapatas y ácaros de la sarna, con protección persistente por 12 semanas, tras una única administración.
Contiene como ingrediente principal Fluralaner  1000 mg y está formulado para uso oral exclusivo en caninos, de  20 a 40 kg brindando una solución eficaz y específica para su protección.</t>
  </si>
  <si>
    <t>CANILANER X 1 TABLETA</t>
  </si>
  <si>
    <t>Fluralaner  112 mg Tableta masticable saborizada, que contiene fluralaner micronizado. Esta indicado como insecticida y acaricida sistémico para el tratamiento y control de pulgas, garrapatas y ácaros de la sarna, con protección persistente por 12 semanas, tras una única administración.sta indicado como insecticida y acaricida sistémico para el tratamiento y control de pulgas, garrapatas y ácaros de la sarna, con protección persistente por 12 semanas, tras una única administración.
Contiene como ingrediente principal Fluralaner 112,5 mg y está formulado para uso oral exclusivo en caninos, de 2 a 4 kg  brindando una solución eficaz y específica para su protección.</t>
  </si>
  <si>
    <t>Fluralaner  1400  mg Tableta masticable saborizada, que contiene fluralaner micronizado. Esta indicado como insecticida y acaricida sistémico para el tratamiento y control de pulgas, garrapatas y ácaros de la sarna, con protección persistente por 12 semanas, tras una única administración.sta indicado como insecticida y acaricida sistémico para el tratamiento y control de pulgas, garrapatas y ácaros de la sarna, con protección persistente por 12 semanas, tras una única administración.
Contiene como ingrediente principal Fluralaner  1400 mg y está formulado para uso oral exclusivo en caninos, de  40 a 56 kg brindando una solución eficaz y específica para su protección.</t>
  </si>
  <si>
    <t>Tableta masticable saborizada, que contiene fluralaner micronizado. Esta indicado como insecticida y acaricida sistémico para el Fluralaner  200 mg tratamiento y control de pulgas, garrapatas y ácaros de la sarna, con protección persistente por 12 semanas, tras una única administración.sta indicado como insecticida y acaricida sistémico para el tratamiento y control de pulgas, garrapatas y ácaros de la sarna, con protección persistente por 12 semanas, tras una única administración.
Contiene como ingrediente principal Fluralaner 200 mg y está formulado para uso oral exclusivo en caninos,de  4 a 10 kg  brindando una solución eficaz y específica para su protección.</t>
  </si>
  <si>
    <t>Fluralaner 500 mg  Tableta masticable saborizada, que contiene fluralaner micronizado. Esta indicado como insecticida y acaricida sistémico para el tratamiento y control de pulgas, garrapatas y ácaros de la sarna, con protección persistente por 12 semanas, tras una única administración.sta indicado como insecticida y acaricida sistémico para el tratamiento y control de pulgas, garrapatas y ácaros de la sarna, con protección persistente por 12 semanas, tras una única administración.
Contiene como ingrediente principal Fluralaner  500 mg y está formulado para uso oral exclusivo en caninos, de  10 a 20 kg brindando una solución eficaz y específica para su protección.</t>
  </si>
  <si>
    <t>Imidacloprid gato</t>
  </si>
  <si>
    <t>Imidacloprid perro</t>
  </si>
  <si>
    <t xml:space="preserve">Pamoato de pirantel 1,44% y Febantel 1,5% </t>
  </si>
  <si>
    <t>Esta indicado como desparacitante en  nematodos, acumulación de protozoos y cestodos Dosis para cachorros.</t>
  </si>
  <si>
    <t>Suspension Oral * 20 ml</t>
  </si>
  <si>
    <t>Ungüento tópico cicatrizante y epitelizante de uso veterinario</t>
  </si>
  <si>
    <t>Vacuna penta valente  canina</t>
  </si>
  <si>
    <t xml:space="preserve">Vacuna  Para la inmunización activa contra Distemper (Moquillo), Hepatitis Infecciosa y Leptospirosis canina, Adenovirus y parvo virus. </t>
  </si>
  <si>
    <t xml:space="preserve">Blíster x 1 ml </t>
  </si>
  <si>
    <t xml:space="preserve">VACUNA PUPPY  CANINA </t>
  </si>
  <si>
    <t xml:space="preserve"> En Caninos para la inmunización activa contra Moquillo, Hepatitis Infecciosa y Parvovirus. Cada dosis de 1 mL. contiene: 
Virus de Moquillo canino,  cepa Lederle.
Adenovirus canino tipo 2, cepa Manhattan.
Parvovirus canino, cepa Cornell.</t>
  </si>
  <si>
    <t>VACUNA TRIPLE FELINA (Dial)</t>
  </si>
  <si>
    <t>VACUNA TRIPLE FELINA (Rinotraqueitis Infecciosa Felina, Calicivirus Felino y Panleucopenia Felina.) Frasco * dosis</t>
  </si>
  <si>
    <t xml:space="preserve">Vitamina b12, cacodilato de sodio, metionina, histidina, triptófano 
Metionina 1 g
Histidina 0.5 g
Triptófano 0.250 g
Cacodilato de sodio 3 g
Cianocobalamina 0.004 g
Excipientes csp 100 m </t>
  </si>
  <si>
    <t>Suspension Oral * 500 ml</t>
  </si>
  <si>
    <t xml:space="preserve">Bulto de comida para perro razas pequeñas </t>
  </si>
  <si>
    <t xml:space="preserve">Ingredientes: Maíz y/o Arroz y/o Trigo y/o Cebada, Harina de Subproductos de Pollo, Harina de Carne y Hueso Bovino, Gluten de Maíz y/o Harina de Carne y Hueso de Cerdo, Salvado de Trigo, Hidrolizado de Menudencias de Pollo y/o Cerdo y/o Bovino, Sebo Bovino, Harina De Soja, Colorante (Caramelo), Cloruro de Sodio, Aceite de Pescado, Cloruro de Potasio, Colina, Antioxidantes (BHA, BHT), Prebióticos (Mananooligosacáridos), Leche en Polvo, Fosfato Dicálcico, Aminoácido (Triptófano). Vitamina E, D3, Niacina, Ácido Pantoténico, B2, B1, A, B6, Ácido Fólico, B12. Óxido de Zinc, Cobre Tribásico, Iodato de Calcio, Selenito de Sodio. Razas pequelas </t>
  </si>
  <si>
    <t>15 KG/ BULTO</t>
  </si>
  <si>
    <t xml:space="preserve">Bulto de comida para perro  razas medianas  </t>
  </si>
  <si>
    <t>Ingredientes: Harina de pollo, Harina de carne, Maíz, Torta de soya, Harina de trigo, Aceite de pollo, Gluten de maíz, Premezcla Vitamínica y Mineral (Vitamina A, Vitamina D3, Vitamina E, Vitamina K, Vitamina B1, Vitamina B2, Vitamina B3, Vitamina B6, Vitamina B12, Ácido pantoténico, Cloruro de colina, Ácido fólico, Biotina, Vitamina C, Sulfato de cobre, Sulfato de hierro, EDDI, Óxido de manganeso, Selenito de sodio, Óxido de zinc, Sulfato de magnesio, Carbonato de cobalto), Harina de arroz, Zeolita, Fosfato tricalcico, Aceite de pescado, Levadura (Saccharomyces cerevisiae), Sal, Mananoligosacaridos (MOS), Lisina, Metionina, B.H.T., Extracto yucca schidigera. Para perros adultos razas medianas.</t>
  </si>
  <si>
    <t>30 KG/ BULTO</t>
  </si>
  <si>
    <t xml:space="preserve">Bulto de comida para perros  razas   grandes </t>
  </si>
  <si>
    <t>Harina de Pollo y/o Harina de Carne y/o Harina de sangre, Levadura, Gluten de Maíz, harina de Trigo y/o Harina de Arroz y/o Harina de Maíz Precocido, Melaza y/o Azúcar, Torta de Soya y/o Torta de Ajonjolí, Soya Extruida, Sebo Animal y/o Aceite Vegetal, Galleta, Sal.
Humedad 10%, Proteina 18%, Grasa 7%, Fibra 5%, Cenizas 10%. Balanceado que satisface todas las necesidades del perro adulto, óptimo para animales que están en ambiente campestre.</t>
  </si>
  <si>
    <t xml:space="preserve">Bulto de comida para   perros cachorros </t>
  </si>
  <si>
    <t>Imgredientes: Harinas proteicas de origen animal (pollo, res y/o cerdo), harina de pescado y/o harina de alga (Schizochytrium sp.) fuente de omega 3, maíz y/o sorgo y/o trigo, arroz, harina de soya y/o concentrado proteico de soya y/o de maíz, fibra de trigo y/o soya y/o maíz y/o yuca y/o caña de azúcar y/o celulosa, grasa (vacuna y/o porcina y/o avícola y/o de pescado y/o vegetal) como fuente de omega 6, hidrolizado a base de menudencias y/o hígados de cerdo y/o pollo, vegetales deshidratados (zanahoria, espinaca, arveja), sal, cloruro de colina, leche en polvo, aminoácidos, vitaminas [A, B1, B2, B3, B5, B6, B7, B9, B12, D3, E, K3], minerales [(sulfatos: manganeso, hierro, cobre, zinc), yodato de calcio o potasio, selenito de sodio.</t>
  </si>
  <si>
    <t xml:space="preserve">Bulto de comida gatos cachorros </t>
  </si>
  <si>
    <t>GATITOS DE 1 A 12 MESES, ofrece los nutrientes que tu gatito necesita para un crecimiento sano durante su primer año de vida. Contiene DHA que ayuda a desarrollar su cerebro. Ingredientes: Maíz amarillo, gluten de maíz, derivado de harina de pollo y/o harina de carne y hueso de res y/o cerdo, pasta de soya, arroz, grasa animal (res y/o pollo y/o cerdo) estabilizada con antioxidantes (BHA &amp; BHT y/o TBHQ y/o tocoferoles), trigo, harina de pescado, digesto animal (hidrolizado de hígado de pollo y/o cerdo), ácido fosfórico y/o bisulfato de sodio, carbonato de calcio, sal, leche en polvo, cloruro de colina, cloruro de potasio, taurina, DL-metionina, L-lisina, sulfato de zinc, proteinato de zinc, sulfato ferroso, suplementos vitamínicos (A, D-3, E, B-12), suplemento de riboflavina, niacina, pantotenato de calcio, sulfato de manganeso, proteinato de manganeso, biotina, mononitrato de tiamina, ácido fólico, sulfato de cobre, proteinato de cobre, clorhidrato de piridoxina, complejo sódico de bisulfito de menadiona (fuente de actividad de vitamina K), iodato de calcio, selenito de sodio, colorantes (rojo 40, amarillo 5, amarillo 6, azul 2, dióxido de titanio).</t>
  </si>
  <si>
    <t>8 KG/ BULTO</t>
  </si>
  <si>
    <t xml:space="preserve">Bulto de comida gatos Adulto </t>
  </si>
  <si>
    <t>Ingredientes: Maíz, harina de gluten de maíz, harina de subproductos de pollo, harina de soja, harina de carne y hueso vacuna, grasa vacuna y/o grasa porcina y/o aceite de pollo preservados con tocoferoles mezclados, arroz cervecero y/o trigo integral, digesto animal, ácido fosfórico y/o bisulfito de sodio, sal, pirofosfato tetrasodico, carbonato de calcio, cloruro de potasio, cloruro de colina, taurina, dl-metionina, l-lisina, vitamina E, ácido ascórbico, niacina, suplementos vitamínicos, pantotenato de calcio, suplemento de riboflavina, biotina , ácido fólico, mononitrato de tiamina, clorhidrato de piridoxina, complejo de menadiona sódica bisulfito, sulfato de zinc, proteinato de zinc, sulfato ferroso, sulfato de manganeso, proteinato de manganeso, sulfato de cobre, proteinato de cobre, iodato de calcio, selenito de sodio, colorantes agregados.</t>
  </si>
  <si>
    <t>Snack para perro</t>
  </si>
  <si>
    <t>Snack para gato</t>
  </si>
  <si>
    <t>CAJA * 100</t>
  </si>
  <si>
    <t>Glucometro</t>
  </si>
  <si>
    <t xml:space="preserve">Mide la cantidad de glucosa en la sangre. Se utiliza para monitorear la diabetes y controlar los niveles de glucosa.
 Estuche para Transporte, 1 Glucómetro Accu-Chek® Active, 1 Lancetero Accu-Chek® Softclix, 1 batería 3V-CR2032 ya insertada en el medidor, 10 Lancetas Accu-Chek® Softclix, manuales de instrucciones </t>
  </si>
  <si>
    <t xml:space="preserve">Tiras de Glucometria </t>
  </si>
  <si>
    <t>Ventilador</t>
  </si>
  <si>
    <t>Ventilador Piso Industrial 20 Pulgadas 3 Velocidades, Metálico, cuenta con una potencia de 110 W y un caudal de aire de 122,16 m3/min, ideal para espacios amplios. Su funcionamiento es eléctrico con un voltaje de 220 V y su control es manual, sin necesidad de control remoto. El ventilador tiene 3 aspas
1.	Ancho : 50 cm
2.	•Alto : 59.5 cm
3.	•Profundidad : 25.2 cm</t>
  </si>
  <si>
    <t>El bozal consiste en una estructura de cuero, plástico o metal que se adapta al hocico del animal al cual se fija por una cinta que pasa por detrás de la cabeza. El bozal se ajusta al hocico para impedir que el animal abra la boca pero es lo suficientemente abierto para permitirle respirar.Bozal de nylon/tela.
Bozal tipo cesta (Anti-ingestas peligrosas)
Bozal tipo Baskerbll, con espacio interiory con cinta por la frente.
Todos tienen ciertas ventajas e inconvenientes, y alguno tiene ciertas limitaciones en el momento de su utilización. Intentaremos explicaros cuales son de manera sencilla.</t>
  </si>
  <si>
    <t>ANTIPULGAS</t>
  </si>
  <si>
    <t>Antipulgas y Garrapatas Para Perro Pulfen Spot On Jeringa (3.2 ML) PULFEN SPOT ON. Tratamiento y control de pulgas (Ctenocephalides sp), garrapatas (Rhipicephalus sp, Ixodes sp) y piojos (Trichodectes sp, Otodectes cynotis) en perros y gatos.
Especies: Caninos, Felinos.
Presentación: Jeringa de 3,2 ml.
COMPOSICIÓN:
Fipronil - 100mg
Excipientes c.s.p. 1 mL</t>
  </si>
  <si>
    <t xml:space="preserve">Jeringa x 3,2 ml </t>
  </si>
  <si>
    <t>UNIFORME TALLA S</t>
  </si>
  <si>
    <t>UNIFORME  TALLA M</t>
  </si>
  <si>
    <t>UNIFORME  TALLA L</t>
  </si>
  <si>
    <t>UNIFORME  TALLA XL</t>
  </si>
  <si>
    <t>OVEROL TALLA S</t>
  </si>
  <si>
    <t>OVEROL TALLA M</t>
  </si>
  <si>
    <t>OVEROL TALLA L</t>
  </si>
  <si>
    <t>OVEROL TALLA XL</t>
  </si>
  <si>
    <t>RECETARIO MEDICAMENTOS CONTROL</t>
  </si>
  <si>
    <t>Talonario con 25 recetarios para el uso de medicamentos control - CONVEZCOL - ABECE</t>
  </si>
  <si>
    <t>Recetario x 12 talonarios</t>
  </si>
  <si>
    <t xml:space="preserve">TEST VIRAL </t>
  </si>
  <si>
    <t>PRUEBA ANIGEN RAPIV CPV Ah PARVO ( CANINA)</t>
  </si>
  <si>
    <t xml:space="preserve">PRUEBA CPV CCV GIARDIA  RAPIV CPV Ah TRIPLE PARA GASTRO ENTERITITS  CANINA ) </t>
  </si>
  <si>
    <t>PRUEBA ANIGEN  CDV Ag Test  ( MOQUILLO)</t>
  </si>
  <si>
    <t>PRUEBA VIF  Y FELV  Ag Test  (VIF Y LEUCEMIA FELINA )</t>
  </si>
  <si>
    <t>PRUEBA E CANIS - ANAPLASMA TEST KIT ( HEMOPARASITOS EHRLIQUIA Y ANAPLASMOSIS)</t>
  </si>
  <si>
    <t>Binocular de observación con aumento entre 8x y 10x, diámetro de objetivo de 42 mm, lentes
con recubrimiento multicapa, sistema de enfoque central, ajuste de dioptría y estructura
ergonómica con recubrimiento antideslizante.
El equipo debe ser resistente al agua y al empañamiento, con diseño robusto para uso en
campo, e incluir accesorios básicos como estuche, correa y protectores de lentes.
Descripción general
Dispositivo óptico binocular de observación, diseñado para actividades de campo, monitoreo
ambiental, educación y uso general, con sistema de aumento fijo, óptica de alta calidad y
estructura resistente.
Especificaciones ópticas
• Aumento (magnificación): 8x a 10x
• Diámetro del objetivo: 42 mm
• Campo de visión real: 6.5° a 8° aprox.
• Campo de visión a 1000 m: 110 – 140 m aprox.
• Diámetro de pupila de salida: 4 – 5 mm
• Relieve ocular: mínimo 15 mm (apto para uso con gafas)
Sistema óptico
• Lentes con recubrimiento multicapa para mayor transmisión de luz
• Prismas tipo roof o porro
• Corrección de aberración cromática (opcional en gama media-alta)
• Imagen clara, brillante y de alto contraste
Construcción y diseño
• Cuerpo en aleación metálica o polímero reforzado
• Recubrimiento externo en goma antideslizante
• Diseño ergonómico para fácil agarre
Resistencia
• Resistente al agua (waterproof)
• Antiempañante (fogproof) con gas interno (nitrógeno o similar)
Funcionalidades
• Sistema de enfoque central
• Ajuste de dioptría
• Copas oculares ajustables (retráctiles o giratorias)
• Compatible con trípode (opcional)
Dimensiones y peso
• Longitud: 14 – 16 cm aprox.
• Ancho: 12 – 14 cm
• Peso: 500 – 800 g
Accesorios incluidos (recomendado)
• Estuche de transporte
• Correa para cuello
• Tapas protectoras (lentes y oculares)
• Paño de limpieza</t>
  </si>
  <si>
    <t>AGUA POTABLE</t>
  </si>
  <si>
    <t>Pintura para trafico (a base de resinas acrílicas) colores diversos</t>
  </si>
  <si>
    <t>PINTURA PARA TELA</t>
  </si>
  <si>
    <t>PITA</t>
  </si>
  <si>
    <t>RECIPIENTE PLÁSTICO PARA MEZCLA DE PINTURA</t>
  </si>
  <si>
    <t>RODILLO MEDIANO PARA PINTURA</t>
  </si>
  <si>
    <t>RODILLO GRANDE PARA PINTURA</t>
  </si>
  <si>
    <t>BOTIQUÍN PRIMEROS AUXILIOS VETERINARIOS - TALLER PRIMEROS AUX VET</t>
  </si>
  <si>
    <t>Estalones de fresa (variedades: Frontera, Monterrey.)</t>
  </si>
  <si>
    <t>Tierra negra abonada</t>
  </si>
  <si>
    <t>BEBEDERO AUTOMÁTICO</t>
  </si>
  <si>
    <t>TERMÓMETRO DIGITAL DE PUNTA RÍGIDA</t>
  </si>
  <si>
    <t>BOZALES PARA PERROS - SET DE 7 PIEZAS BOZAL AJUSTABLE</t>
  </si>
  <si>
    <t>CAJA DE AGUJAS  DESECHABLE 
CALIBRE   21 *  100</t>
  </si>
  <si>
    <t xml:space="preserve">CAJA DE AGUJAS  DESECHABLE 
CALIBRE  18 </t>
  </si>
  <si>
    <t>CAJA DE AGUJAS  DESECHABLE CALIBRE  22 *  100</t>
  </si>
  <si>
    <t>CAJA DE AGUJAS  DESECHABLE CALIBRE  23  * 100</t>
  </si>
  <si>
    <t>PAQUETE DE GORROS DESECHABLE TIPO ORUGA</t>
  </si>
  <si>
    <t xml:space="preserve">PAQUETE DE POLAINAS DESECHABLES </t>
  </si>
  <si>
    <t>Tiletamina 25 mg y Zolacepam 25 mg, solución inyectable</t>
  </si>
  <si>
    <t>TINTA TATUAJE NEGRA</t>
  </si>
  <si>
    <t>Tiletamina 50 mg y Zolacepam 50 mg, solución inyectable</t>
  </si>
  <si>
    <t>BOLSA DE POLIETILENO DE BAJA DENSIDAD 110 X 120 CM</t>
  </si>
  <si>
    <t xml:space="preserve">BOLSA DE POLIETILENO DE BAJA DENSIDAD 110 X 120 CM </t>
  </si>
  <si>
    <t xml:space="preserve">BOLSA DE POLIETILENO DE BAJA DENSIDAD 70 X 90 </t>
  </si>
  <si>
    <t>CAJA DE JERINGAS DESECHABLES *  10  ML</t>
  </si>
  <si>
    <t>CAJA DE JERINGAS DESECHABLES *  3 ML</t>
  </si>
  <si>
    <t>CAJA DE JERINGAS DESECHABLES *  5  ML</t>
  </si>
  <si>
    <t>CAJA DE JERINGAS DESECHABLES *  50  ML</t>
  </si>
  <si>
    <t>CAJA DE JERINGAS DESECHABLES * 20 ML</t>
  </si>
  <si>
    <t xml:space="preserve">CAJA DE SUTURA ABSORBIBLE  1/0 </t>
  </si>
  <si>
    <t>CAJA DE SUTURA ABSORBIBLE  2/0</t>
  </si>
  <si>
    <t>VENOCLISIS</t>
  </si>
  <si>
    <t>TUBOS ENDOTRAQUEALES 
 # 7.5</t>
  </si>
  <si>
    <t>TUBOS ENDOTRAQUEALES 
 #2.5</t>
  </si>
  <si>
    <t>TUBOS ENDOTRAQUEALES 
 #3.5</t>
  </si>
  <si>
    <t>TUBOS ENDOTRAQUEALES 
 #5.5</t>
  </si>
  <si>
    <t>TUBOS ENDOTRAQUEALES 
 #6.5</t>
  </si>
  <si>
    <t>ENVASE ATOMIZADOR PLÁSTICO BLANCO</t>
  </si>
  <si>
    <t>Tecnología del implante: ISO 11784/11785
Tipo de implante: codificado con un indicativo numérico único de 15 dígitos, para que sea válido a nivel mundial.
Eléctricas: frecuencia operativa  de 134,2 KHz
Periodo de validez de esterilización del empaque: 5 años
Duración: toda la vida
Tipo de recubrimiento del implante: parylene o corrugado con láser
Térmicas: funcionamiento: 10°c hasta 85°c
Almacenamiento:  10°c hasta 50°c
Dimensiones: diámetro: 1.4 a 2.1  mm +- 0.15mm
Presentación: jeringa desechable con microchip
Certificado: comité internacional de registro de animales (ICAR)
Suministro de jeringa desechable con sistema de  identificación electrónica (microchip) para caninos y felinos sin  distinciones de especie, raza, sexo, tamaño o apariencia. Diligenciamiento de documentación física y/o digital relacionada</t>
  </si>
  <si>
    <t>Traídilla  en cordón grueso de reata trenzada</t>
  </si>
  <si>
    <t>POSTES DE MADERA</t>
  </si>
  <si>
    <t xml:space="preserve">Postes 8X8 x 200 cm en madera plastica </t>
  </si>
  <si>
    <t>ALAMBRE DE PUAS</t>
  </si>
  <si>
    <t>BANDEJA PARA PINTURA</t>
  </si>
  <si>
    <t>Bandeja para pintura 9"</t>
  </si>
  <si>
    <t>GUANTES CARNAZA</t>
  </si>
  <si>
    <t>Malla Gallinero: 1 x 1/4 pulgada 1.5 x 30m</t>
  </si>
  <si>
    <t>PLASTICO TRANSPARENTE CAL. 6 POLIETILENO</t>
  </si>
  <si>
    <t>ALICATE</t>
  </si>
  <si>
    <t>Tijera de poda 8", alto 2 cm, ancho 4 cm, ancho de corte 8 pulgadas, Material de la hoja Acero templado, largo 20 cm</t>
  </si>
  <si>
    <t>PALADRAGA CON CABO</t>
  </si>
  <si>
    <t>Rollo de 500 metros. Plástico. 9.5cmx9.5cm.</t>
  </si>
  <si>
    <t>CLAVO</t>
  </si>
  <si>
    <t>Sierra circular bauker 1800w, •Cantidad contenida en el empaque : 1
•Uso de herramienta : Profesional
•Modelo : 32811A
•Garantia : 3 Años
•Tipo de sierra : Circular</t>
  </si>
  <si>
    <t>Las gafas de seguridad están diseñadas para proteger los ojos contra impactos, partículas en suspensión, productos químicos y radiación. Fabricadas con policarbonato resistente a golpes y rayaduras, pueden incluir protección UV y tratamientos antivaho. Su diseño ergonómico y ventilación adecuada garantizan comodidad y visión clara en diversos entornos laborales. Cumplen con normativas como ANSI Z87.1 o EN 166, asegurando su eficacia en aplicaciones industriales, de construcción y laboratorio.</t>
  </si>
  <si>
    <t>El extintor de polvo químico seco clase ABC está diseñado para combatir incendios de tipo A (materiales sólidos como madera y papel), B (líquidos inflamables como aceites y gasolina) y C (equipos eléctricos energizados). Su agente extintor, generalmente a base de fosfato monoamónico, interrumpe la reacción química del fuego y evita su propagación
 Cuenta con un cilindro presurizado de acero resistente, válvula de control, manómetro indicador de presión y manguera de descarga. Disponible en capacidades desde 1 kg hasta 12 kg, su activación es rápida y eficiente. Cumple con normativas de seguridad como NFPA 10, UNE-EN 3 y NOM-154-SCFI, asegurando su eficacia en entornos industriales, comerciales y residenciales.</t>
  </si>
  <si>
    <t>TAPABOCAS KN95 NESD CAJA X 25 UND</t>
  </si>
  <si>
    <t>Cinta de goteo para funcionar eficientemente con presiones de operación nominales de 0.55 baren; diámetro de 16 mm (5/8”) Rollo por 1000 metros</t>
  </si>
  <si>
    <t>MICROCHIP</t>
  </si>
  <si>
    <t>Canastilla carrullera de Profundidad: 40 cm; Altura: 25 cm; Ancho: 60 cm.
Formato de venta: UNIDAD Fabricada en plástico. Forma de la canasta: rectangular.COLORES VARIOS</t>
  </si>
  <si>
    <t>Ayudan a la recepcion de la muestra para ser procesada por el glucometro.
 Almacena hasta 50 resultados.
Tiempo de análisis: 5s.
Pantalla LCD.
    Compatible con Android.
    Incluye: tiras reactivas.</t>
  </si>
  <si>
    <t>CAJA DE SUTURA ABSORBIBLE  0</t>
  </si>
  <si>
    <t>CANTIDAD</t>
  </si>
  <si>
    <t>IDDENTIFY S.A.S
NIT: 901.412.899 -0</t>
  </si>
  <si>
    <t>VALOR UNITARIO
IVA INCLUIDO</t>
  </si>
  <si>
    <t>UNITROFEOS S.A.S.
NIT: 900.343.428-5</t>
  </si>
  <si>
    <t>ANALISIS COTIZACIONES</t>
  </si>
  <si>
    <t xml:space="preserve">MEDIANA  </t>
  </si>
  <si>
    <t xml:space="preserve">PROMEDIO </t>
  </si>
  <si>
    <t xml:space="preserve">DESVIACIÓN ESTÁNDAR 
</t>
  </si>
  <si>
    <t>DISPERSIÓN PRECIOS 
(Promedio)</t>
  </si>
  <si>
    <t>VALOR UNITARIO TECHO
(IVA INCLUIDO)</t>
  </si>
  <si>
    <t>VALOR UNITARIO ANTES DE IVA</t>
  </si>
  <si>
    <t>IVA</t>
  </si>
  <si>
    <t>Observación</t>
  </si>
  <si>
    <t>Se toma la mediana como medida de tendencia central para el cálculo</t>
  </si>
  <si>
    <t>Se toma el promedio como medida de tendencia central para el cálculo</t>
  </si>
  <si>
    <t>VIVERO LOS NOGALES
NIT: 800.083.097-1</t>
  </si>
  <si>
    <t>JARDINEROS LTDA.
NIT: 860.507.669-4</t>
  </si>
  <si>
    <t>VALOR UNITARIO IVA INCLUIDO</t>
  </si>
  <si>
    <t>VALOR UNITARIO 2025 + IPC (5,10%) 
IVA INCLUIDO</t>
  </si>
  <si>
    <t>EL SEMILLERO S.A.S.
NIT: 830.055.528-4
COTIZACION</t>
  </si>
  <si>
    <t>SEMILLAS RBC S.A.S.
NIT: 900.245.694-8</t>
  </si>
  <si>
    <t>SEMILLAS EXPOAGRO S.AS.
NIT: 901.651.555-7</t>
  </si>
  <si>
    <t>IMPULSORES INTERNACIONALES S.A.S.
NIT: 860.066.633-6</t>
  </si>
  <si>
    <t>TIERRAGRO
NIT: 890.912.426-7</t>
  </si>
  <si>
    <t>SAN MIGUEL - PLANTAS ORNAMENTALES
NIT: 901632923</t>
  </si>
  <si>
    <t>SEMBRAMOS AMOR POR LAS PLANTAS
NIT: 8164332</t>
  </si>
  <si>
    <t>BOSQUE VIVERO SEMBRANDO
NIT: 901.586.598-5</t>
  </si>
  <si>
    <t>EXPRESS
PETS LA VACA LTDA.
NIT: 900.008.285-3</t>
  </si>
  <si>
    <t>NTC REPRESENTACIONES S.A.S.
NIT: 900.585.417-2</t>
  </si>
  <si>
    <t>TECNOLO
GY LIVE DIANA - 
DIANA MARCELA GUERRERO BARAJAS
NIT: 1.032.416.457-6</t>
  </si>
  <si>
    <t>FUNDACION ECODES
NIT: 9003559095-6</t>
  </si>
  <si>
    <t>IMPULSAR FUNDACION SOCIAL
NIT: 900.164.390-6</t>
  </si>
  <si>
    <t>DIRECCION Y GESTION DE PROYECTOS
NIT: 901352122-9</t>
  </si>
  <si>
    <t>INSTRUMENTACION Y SERVICIOS S A S       NIT: 830505910-9</t>
  </si>
  <si>
    <t>DESVIACIÓN ESTÁNDAR</t>
  </si>
  <si>
    <t>VALOR UNITARIO TECHO (IVA INCLUIDO)</t>
  </si>
  <si>
    <t>FICO FERRETERIA S.A.S.
NIT 900.922.409-1</t>
  </si>
  <si>
    <t>SUMINISTROS Y FERRETERÍA INSTITUCIONAL S&amp;J S.A.S.                           
NIT: 901.643.816-7</t>
  </si>
  <si>
    <t>DEPOSITO Y FERRETERIA ALQUERIA S.A.S.
NIT: 901.390.728-3</t>
  </si>
  <si>
    <t>FERRE ELECTRICOS FABIAN - MARÍA MARCELA ROJAS NIÑO
NIT: 30.024.825-2</t>
  </si>
  <si>
    <t>HOMECENTER (INTERNET)
NIT: 800.242.106-2</t>
  </si>
  <si>
    <t>VALOR UNITARIO IVA INCLUISO
IVA INCLUIDO</t>
  </si>
  <si>
    <t>PROSEG.CO (INTERNET)
NIT: 900882638-7</t>
  </si>
  <si>
    <t>DISTRIBUCIONES JOSE J GOMEZ Y CIA S EN C
NIT: 800.093.859-1</t>
  </si>
  <si>
    <t>TECNOLOGY LIVE 
NIT. 1032416457‐6</t>
  </si>
  <si>
    <t>NTC REPRESENTACIONES SAS
NIT. 9000585417-2</t>
  </si>
  <si>
    <t xml:space="preserve">EXPRESS PETS LA VACA LTDA
NIT:900008285-3
</t>
  </si>
  <si>
    <t>DEPOSITO Y FERRETERIA FERRICENTRO S A S   NIT: 901693931-8</t>
  </si>
  <si>
    <t>FERRETERIA ANDRES MARTINEZ SAS            NIT: 900034102-4</t>
  </si>
  <si>
    <t>DIRECCION Y GESTION DE PROYECTOS S.A.S         NIT 901.352.122-9</t>
  </si>
  <si>
    <t>Almacenes Éxito S.A.
(INTERNET)
NIT:890.900.608-9</t>
  </si>
  <si>
    <t>Soelco S.A.S
 (INTERNET)
NIT:800.228.081-4</t>
  </si>
  <si>
    <t>Falabella de Colombia S.A.
(INTERNET)
NIT:900.017.302-0</t>
  </si>
  <si>
    <t>Plastico Transparente Cal. 6 polietileno. X 4MT X 100 metros</t>
  </si>
  <si>
    <t>Calypso
(INTERNET)
NIT: 890.900.322-1</t>
  </si>
  <si>
    <t>Protezzioni
(INTERNET)
NIT: 901.037.473-1</t>
  </si>
  <si>
    <t xml:space="preserve">Herramienta de mano machete. Longitud de la hoja: 18 pulgadas
</t>
  </si>
  <si>
    <t>Ferricentro S.A.S.
 (INTERNET)
NIT:860.033.486-4</t>
  </si>
  <si>
    <t>Serrucho manual, adecuado para trabajos de carpintería y uso general.
Tipo: Serrucho manual
Longitud: 20 pulgadas</t>
  </si>
  <si>
    <t>El Palustre S.A.S.
(INTERNET)
NIT: 890.505.328-8</t>
  </si>
  <si>
    <t>TECNIGAS
NIT.  9007770001</t>
  </si>
  <si>
    <t>FERRETERIA LUIS PENAGOS S.A.S. 
NIT: 830.037.039-8</t>
  </si>
  <si>
    <t>Tiendas EPP
(INTERNET)
NIT: 901.182.260-2.</t>
  </si>
  <si>
    <t>Easy
(INTERNET)
NIT: 900.155.713-3.</t>
  </si>
  <si>
    <t>Tiendas EPP
(INTERNET)
NIT: 901.182.260-2</t>
  </si>
  <si>
    <t>PRODUCABOS
(INTERNET)
NIT. 900.231.067 – 9</t>
  </si>
  <si>
    <t>COMERCIALIZADORA PIA
NIT: 900.420.787-4</t>
  </si>
  <si>
    <t>MUNDO
DOTACIONES S.A.S.
NIT: 901.090.656-4</t>
  </si>
  <si>
    <t>DOTARQUICK S.A.S.
NIT: 901.172.907-0</t>
  </si>
  <si>
    <t>SUMISOF S.A.S.
NIT. 901.045.608 -1</t>
  </si>
  <si>
    <t>JAVIL INDUSTRIAL SAS 
NIT:901 214292-1</t>
  </si>
  <si>
    <t>VETERINARIA LA RED SAS
NIT: 900.509.567-5</t>
  </si>
  <si>
    <t>PUNTO APICOLA
NIT:80.932.569-9</t>
  </si>
  <si>
    <t>Mascotecno S.A.S. (INTERNET)
NIT: 900.561.767-1</t>
  </si>
  <si>
    <t>FORMER GROUP S.A.S. (INTERNET)
NIT: 901.168.995-1</t>
  </si>
  <si>
    <t>EL JARDIN DE LAS ABEJAS
NIT: 900.957.716-7</t>
  </si>
  <si>
    <t xml:space="preserve">DIANA GIOVANNA YEPES RUBIO   
NIT: 35261900-0 </t>
  </si>
  <si>
    <t>COMERCIALIZADORA SIO
NIT: 901.917.047-0</t>
  </si>
  <si>
    <t>NUTRI ANIMAL SAS
NIT: 901701145-6</t>
  </si>
  <si>
    <t>AZUTEC S.A.S
NIT: 900.745.857-7</t>
  </si>
  <si>
    <t>Invasa Maquinaria S.A.S
NIT: 812.004.732-7</t>
  </si>
  <si>
    <t xml:space="preserve">DURORDEÑOS
NIT:900.730.163-9 </t>
  </si>
  <si>
    <t>NUTRIHEN SAS ALIMENTOS 
CONCENTRADOS 
NIT: 900389065</t>
  </si>
  <si>
    <t>INVERSIONES RODRIGUEZ CASTAÑEDA
NIT: 901.086.205-0</t>
  </si>
  <si>
    <t>INTERNACIONAL VET S.A.S.
NIT: 900.689.229-1</t>
  </si>
  <si>
    <t xml:space="preserve">EUROLAB
NIT: 806010982 </t>
  </si>
  <si>
    <t>IMPORTADORA 
COLOMBIANA DE ARTICULOS ESPECIALES 
S.A.S IMCARE S.A.S
NIT: 00.068.959-5</t>
  </si>
  <si>
    <t>ALIMENTOS CONCENTRADOS NUTRIHEN S.A.S.
NIT: 900.389.065-3</t>
  </si>
  <si>
    <t>IMPORTADORA COLOMBIANA DE ARTICULOS ESPECIALES S.A.S.
NIT: 900.068.959-5</t>
  </si>
  <si>
    <t>EXPRESS PETS LA VACA LTDA.
NIT: 900.008.285-3</t>
  </si>
  <si>
    <t>NTC REPRESENTACION S.A.S.
NIT: 900.585.417-2</t>
  </si>
  <si>
    <t>Centro Veterinario Integral Huellitas
NIT: 900.375.249-7</t>
  </si>
  <si>
    <t>EDWIN RICARDO BUITRAGO ORTIZ -
VERDE ANIMAL
NIT: 1.072.650.866-2</t>
  </si>
  <si>
    <t>MICROPET ID - ASIA BUSINESS GROUP S.A.S.
NIT: 900.622.112-0</t>
  </si>
  <si>
    <t>FELIXCAN COLOMBIA S.A.S. 
NIT: 901.000.317-8</t>
  </si>
  <si>
    <t>PAISAGRO
NIT:830.119.738-0</t>
  </si>
  <si>
    <t>VETERINARIA EL BURRO
NIT: 35261900-0</t>
  </si>
  <si>
    <t>AGROVETERINARIA VALEJO
NIT: 80.235.603-1</t>
  </si>
  <si>
    <t>CERAVI
NIT: 900540589-7</t>
  </si>
  <si>
    <t>COMERCIALIZADORA MORALES CASALLAS SAS
NIT: 900.653.186-8</t>
  </si>
  <si>
    <t>ALIMENTOS CONCENTRADOS NUTRIHEN SAS
NIT: 1032416457-6</t>
  </si>
  <si>
    <t>ANALISIS DE COTIZACIONES</t>
  </si>
  <si>
    <t>Copier soluciones j&amp;l s.a.s
NIT: 901226563-4</t>
  </si>
  <si>
    <t>Equipmaster Store S.A.S
NIT: 900.729.243-8</t>
  </si>
  <si>
    <t>DEPOSITO Y FERRETERIA LA INDEPENDENCIA SAS
NIT: 901.791.740-3</t>
  </si>
  <si>
    <t>UNION TEMPORAL ESTUDIOS 049
NIT: 901539681-9</t>
  </si>
  <si>
    <t>FERRICENTRO SAS (2026)
NIT: 800.237.412-1</t>
  </si>
  <si>
    <t>EXICAMPO 
NIT: 900820066-9</t>
  </si>
  <si>
    <t>AVISTRUMENTOS SAS 
NIT: 901334599-1</t>
  </si>
  <si>
    <t>GRUPO ALOSAN
NIT: 901243308</t>
  </si>
  <si>
    <t>INDUSTRIAS EQUIVAPI SAS
NIT:  830072798-8</t>
  </si>
  <si>
    <t>AGROVETERINARIA SERVICAMPO
NIT: 830123012</t>
  </si>
  <si>
    <t>FERRICENTRO SAS
NIT: 800237412-1</t>
  </si>
  <si>
    <t>MAKROEQUIPOS LA FLORESTA
NIT:  901309862-9</t>
  </si>
  <si>
    <t>ECOMADERAS
NIT: 901208861-8</t>
  </si>
  <si>
    <t>DIAZGRANADOS APICULTURA INTEGRAL SAS
NIT:  901518942</t>
  </si>
  <si>
    <t>MULTIPLASTICOS
S.A.S
NIT: 901123812-0</t>
  </si>
  <si>
    <t>ferreteria makicenter
sas
NIT:  901750550-5</t>
  </si>
  <si>
    <t>PORRAS TORRADO IMPORTACIONES SAS
NIT: 901.054.150-7</t>
  </si>
  <si>
    <t>CONCENTRADOS EL RANCHO
NIT: 830043063-1</t>
  </si>
  <si>
    <t>EXIAGRICOLA JD LTDA
NIT:830119428</t>
  </si>
  <si>
    <t>CESAR ERNERSTO ARIZA ZUÑIGA 
NIT: 80,539,620-2</t>
  </si>
  <si>
    <t>FUN. GUERREROS VIDA
NIT: 900384469</t>
  </si>
  <si>
    <t>INDUPROYECTOS DEL ORIENTE SAS
NIT: 830.138.573-3</t>
  </si>
  <si>
    <t>AVA MV SAS
NIT:900736166-8</t>
  </si>
  <si>
    <t>NUTRI ANIMAL S.A.S.
NIT: 901.701.145-6
2025</t>
  </si>
  <si>
    <t>ANIMA´S SAS 
NIT: 830.024.429-0
2026</t>
  </si>
  <si>
    <t xml:space="preserve">pipeta x 2.5ml </t>
  </si>
  <si>
    <t>Imidacloprid 100 mg  Excipientes c.s 1 ml
para perros de más de 10 kg hasta 25 kg de peso.</t>
  </si>
  <si>
    <t>LA CASA DEL GANADERO
NIT:  88.033.975-8</t>
  </si>
  <si>
    <t>DOTACIONES EXITO
NIT: 901237917-5</t>
  </si>
  <si>
    <t>COMEK
NIT:  901.460.245-9</t>
  </si>
  <si>
    <t>ABC RIEGO SAS
NIT: 901668696-1</t>
  </si>
  <si>
    <t>DUQUE SALDARRIAGA
NIT:  860.508.007-3</t>
  </si>
  <si>
    <t>WISTECH COLOMBIA SAS
NIT:  901700517-8</t>
  </si>
  <si>
    <t>SERVISANABRIA
NIT: NIT: 900140931
7</t>
  </si>
  <si>
    <t>A&amp;C
NIT: 901.114.690-0</t>
  </si>
  <si>
    <t>GEPAV S A S
NIT:844001014</t>
  </si>
  <si>
    <t xml:space="preserve"> FLUV MARTIN
NIT: 1022352427</t>
  </si>
  <si>
    <t>MAQUINAS Y SERVICIOS SAS
NIT:  900941324-3</t>
  </si>
  <si>
    <t>Empacadora al vacío de mesa a 110 V  en acero inoxidable grado alimenticio, cuenta con cámara de vacío con tapa acrílica, barra de sellado de 30 a 40 cm, bomba de vacío de hasta 20 m³/h, y capacidad de vacío de hasta 99.9 %. Su panel de control permite ajustar el tiempo de vacío y sellado, y con potencia  900 W .</t>
  </si>
  <si>
    <t>M&amp;P
NIT: 9 0 0 8 7 2 0 9 5</t>
  </si>
  <si>
    <t xml:space="preserve"> </t>
  </si>
  <si>
    <t>FUMIGADORA ESTACIONARIA GP200-ES30 MOTOR 6.5HP GASOLINA ,CAUDAL 30LITROS/MIN, PRESIÓN 0-500 PSI</t>
  </si>
  <si>
    <t>CONCENTRADOS DEL NORE 1 SAS
NIT:901200261-2</t>
  </si>
  <si>
    <t>CLINICA DE ESPECIALIALIDADES VETERINARIAS EL COUNTRY
NIT: 899999061-9</t>
  </si>
  <si>
    <t>Oxitetraciclina 50 mg solución inyectable</t>
  </si>
  <si>
    <t>LIMA BOUTIQUE
NIT:5 2 1 1 4 0 0 3-1</t>
  </si>
  <si>
    <t>TIERRAGRO
NIT: 8890.912.426-7</t>
  </si>
  <si>
    <t>VALOR UNITARIO BASE</t>
  </si>
  <si>
    <t>VALOR UNITARIO MAS CARGA TRIBUTARIA</t>
  </si>
  <si>
    <t>LA RES SAS
NIT: 860.031.776-1</t>
  </si>
  <si>
    <t>DEPOSITO DE DROGAS BOYACA
NIT: 860005224-7</t>
  </si>
  <si>
    <t>COMPAÑÍA MAYFER
NIT: 901114836-9</t>
  </si>
  <si>
    <t>Dipropionato de Imidocarb 120 mg solución inyectable</t>
  </si>
  <si>
    <t>FUNDACION ECODES
NIT: 900359095-6</t>
  </si>
  <si>
    <t>HOMECENTER
NIT: 800.242.106-2</t>
  </si>
  <si>
    <t>RUBBERMAID
NIT: 860002595-1</t>
  </si>
  <si>
    <t>TOTAL</t>
  </si>
  <si>
    <t>VALOR TOTAL</t>
  </si>
  <si>
    <r>
      <t> </t>
    </r>
    <r>
      <rPr>
        <sz val="12"/>
        <color rgb="FF000000"/>
        <rFont val="Garamond"/>
        <family val="1"/>
      </rPr>
      <t>ROLLO </t>
    </r>
  </si>
  <si>
    <r>
      <t xml:space="preserve">equipo de ordeño portátil de un puesto, con sistema </t>
    </r>
    <r>
      <rPr>
        <b/>
        <sz val="12"/>
        <rFont val="Garamond"/>
        <family val="1"/>
      </rPr>
      <t>dual de alimentación</t>
    </r>
    <r>
      <rPr>
        <sz val="12"/>
        <rFont val="Garamond"/>
        <family val="1"/>
      </rPr>
      <t xml:space="preserve">: </t>
    </r>
    <r>
      <rPr>
        <b/>
        <sz val="12"/>
        <rFont val="Garamond"/>
        <family val="1"/>
      </rPr>
      <t>motor a gasolina de 6.5 HP</t>
    </r>
    <r>
      <rPr>
        <sz val="12"/>
        <rFont val="Garamond"/>
        <family val="1"/>
      </rPr>
      <t xml:space="preserve"> y </t>
    </r>
    <r>
      <rPr>
        <b/>
        <sz val="12"/>
        <rFont val="Garamond"/>
        <family val="1"/>
      </rPr>
      <t>motor eléctrico de 1 HP a 110 V o 220 V</t>
    </r>
    <r>
      <rPr>
        <sz val="12"/>
        <rFont val="Garamond"/>
        <family val="1"/>
      </rPr>
      <t xml:space="preserve">, lo que permite operación continua en fincas con o sin red eléctrica. Cuenta con </t>
    </r>
    <r>
      <rPr>
        <b/>
        <sz val="12"/>
        <rFont val="Garamond"/>
        <family val="1"/>
      </rPr>
      <t>bomba de vacío de 400 litros/minuto</t>
    </r>
    <r>
      <rPr>
        <sz val="12"/>
        <rFont val="Garamond"/>
        <family val="1"/>
      </rPr>
      <t xml:space="preserve">, </t>
    </r>
    <r>
      <rPr>
        <b/>
        <sz val="12"/>
        <rFont val="Garamond"/>
        <family val="1"/>
      </rPr>
      <t>sistema de pulsación automática</t>
    </r>
    <r>
      <rPr>
        <sz val="12"/>
        <rFont val="Garamond"/>
        <family val="1"/>
      </rPr>
      <t xml:space="preserve">, </t>
    </r>
    <r>
      <rPr>
        <b/>
        <sz val="12"/>
        <rFont val="Garamond"/>
        <family val="1"/>
      </rPr>
      <t>regulador de vacío</t>
    </r>
    <r>
      <rPr>
        <sz val="12"/>
        <rFont val="Garamond"/>
        <family val="1"/>
      </rPr>
      <t xml:space="preserve">, y estructura tipo carro con </t>
    </r>
    <r>
      <rPr>
        <b/>
        <sz val="12"/>
        <rFont val="Garamond"/>
        <family val="1"/>
      </rPr>
      <t>chasis reforzado, ruedas todo terreno y cubierta protectora</t>
    </r>
    <r>
      <rPr>
        <sz val="12"/>
        <rFont val="Garamond"/>
        <family val="1"/>
      </rPr>
      <t xml:space="preserve">. Incluye </t>
    </r>
    <r>
      <rPr>
        <b/>
        <sz val="12"/>
        <rFont val="Garamond"/>
        <family val="1"/>
      </rPr>
      <t>cantina de acero inoxidable de 30 o 40 litros</t>
    </r>
    <r>
      <rPr>
        <sz val="12"/>
        <rFont val="Garamond"/>
        <family val="1"/>
      </rPr>
      <t xml:space="preserve">, </t>
    </r>
    <r>
      <rPr>
        <b/>
        <sz val="12"/>
        <rFont val="Garamond"/>
        <family val="1"/>
      </rPr>
      <t>colector de alta eficiencia</t>
    </r>
    <r>
      <rPr>
        <sz val="12"/>
        <rFont val="Garamond"/>
        <family val="1"/>
      </rPr>
      <t xml:space="preserve">, </t>
    </r>
    <r>
      <rPr>
        <b/>
        <sz val="12"/>
        <rFont val="Garamond"/>
        <family val="1"/>
      </rPr>
      <t>pezoneras de silicona</t>
    </r>
    <r>
      <rPr>
        <sz val="12"/>
        <rFont val="Garamond"/>
        <family val="1"/>
      </rPr>
      <t xml:space="preserve">, </t>
    </r>
    <r>
      <rPr>
        <b/>
        <sz val="12"/>
        <rFont val="Garamond"/>
        <family val="1"/>
      </rPr>
      <t>mangueras grado alimenticio</t>
    </r>
    <r>
      <rPr>
        <sz val="12"/>
        <rFont val="Garamond"/>
        <family val="1"/>
      </rPr>
      <t xml:space="preserve">, y </t>
    </r>
    <r>
      <rPr>
        <b/>
        <sz val="12"/>
        <rFont val="Garamond"/>
        <family val="1"/>
      </rPr>
      <t>kit de limpieza y mantenimiento</t>
    </r>
  </si>
  <si>
    <r>
      <t xml:space="preserve">establo de ordeño portátil de </t>
    </r>
    <r>
      <rPr>
        <b/>
        <sz val="12"/>
        <rFont val="Garamond"/>
        <family val="1"/>
      </rPr>
      <t>un puesto</t>
    </r>
    <r>
      <rPr>
        <sz val="12"/>
        <rFont val="Garamond"/>
        <family val="1"/>
      </rPr>
      <t xml:space="preserve"> está construido en </t>
    </r>
    <r>
      <rPr>
        <b/>
        <sz val="12"/>
        <rFont val="Garamond"/>
        <family val="1"/>
      </rPr>
      <t>estructura metálica de hierro galvanizado o pintado</t>
    </r>
    <r>
      <rPr>
        <sz val="12"/>
        <rFont val="Garamond"/>
        <family val="1"/>
      </rPr>
      <t xml:space="preserve">, con </t>
    </r>
    <r>
      <rPr>
        <b/>
        <sz val="12"/>
        <rFont val="Garamond"/>
        <family val="1"/>
      </rPr>
      <t>cajón de contención frontal</t>
    </r>
    <r>
      <rPr>
        <sz val="12"/>
        <rFont val="Garamond"/>
        <family val="1"/>
      </rPr>
      <t xml:space="preserve">, </t>
    </r>
    <r>
      <rPr>
        <b/>
        <sz val="12"/>
        <rFont val="Garamond"/>
        <family val="1"/>
      </rPr>
      <t>comederos laterales o frontales</t>
    </r>
    <r>
      <rPr>
        <sz val="12"/>
        <rFont val="Garamond"/>
        <family val="1"/>
      </rPr>
      <t xml:space="preserve">, y </t>
    </r>
    <r>
      <rPr>
        <b/>
        <sz val="12"/>
        <rFont val="Garamond"/>
        <family val="1"/>
      </rPr>
      <t>techo en teja plástica, metálica o de PVC</t>
    </r>
    <r>
      <rPr>
        <sz val="12"/>
        <rFont val="Garamond"/>
        <family val="1"/>
      </rPr>
      <t xml:space="preserve">, que protege al animal y al operario de la intemperie. Su diseño incluye </t>
    </r>
    <r>
      <rPr>
        <b/>
        <sz val="12"/>
        <rFont val="Garamond"/>
        <family val="1"/>
      </rPr>
      <t>puerta trasera abatible</t>
    </r>
    <r>
      <rPr>
        <sz val="12"/>
        <rFont val="Garamond"/>
        <family val="1"/>
      </rPr>
      <t xml:space="preserve">, </t>
    </r>
    <r>
      <rPr>
        <b/>
        <sz val="12"/>
        <rFont val="Garamond"/>
        <family val="1"/>
      </rPr>
      <t>rejillas laterales</t>
    </r>
    <r>
      <rPr>
        <sz val="12"/>
        <rFont val="Garamond"/>
        <family val="1"/>
      </rPr>
      <t xml:space="preserve">, y </t>
    </r>
    <r>
      <rPr>
        <b/>
        <sz val="12"/>
        <rFont val="Garamond"/>
        <family val="1"/>
      </rPr>
      <t>sistema de anclaje o ruedas opcionales</t>
    </r>
    <r>
      <rPr>
        <sz val="12"/>
        <rFont val="Garamond"/>
        <family val="1"/>
      </rPr>
      <t xml:space="preserve"> para facilitar el traslado. Las dimensiones aproximadas son </t>
    </r>
    <r>
      <rPr>
        <b/>
        <sz val="12"/>
        <rFont val="Garamond"/>
        <family val="1"/>
      </rPr>
      <t>1.5 m de largo × 1.2 m de ancho × 2 m de alto</t>
    </r>
  </si>
  <si>
    <r>
      <t xml:space="preserve">fumigadora estacionaria Honda GP200-ES30 está equipada con </t>
    </r>
    <r>
      <rPr>
        <b/>
        <sz val="12"/>
        <rFont val="Garamond"/>
        <family val="1"/>
      </rPr>
      <t>motor Honda de 4 tiempos, monocilíndrico, refrigerado por aire</t>
    </r>
    <r>
      <rPr>
        <sz val="12"/>
        <rFont val="Garamond"/>
        <family val="1"/>
      </rPr>
      <t xml:space="preserve">, con </t>
    </r>
    <r>
      <rPr>
        <b/>
        <sz val="12"/>
        <rFont val="Garamond"/>
        <family val="1"/>
      </rPr>
      <t>cilindrada de 196 cc</t>
    </r>
    <r>
      <rPr>
        <sz val="12"/>
        <rFont val="Garamond"/>
        <family val="1"/>
      </rPr>
      <t xml:space="preserve"> y </t>
    </r>
    <r>
      <rPr>
        <b/>
        <sz val="12"/>
        <rFont val="Garamond"/>
        <family val="1"/>
      </rPr>
      <t>potencia neta de 6.5 HP</t>
    </r>
    <r>
      <rPr>
        <sz val="12"/>
        <rFont val="Garamond"/>
        <family val="1"/>
      </rPr>
      <t xml:space="preserve">, lo que garantiza </t>
    </r>
    <r>
      <rPr>
        <b/>
        <sz val="12"/>
        <rFont val="Garamond"/>
        <family val="1"/>
      </rPr>
      <t>alto rendimiento y bajo consumo (1.7 L/h a potencia nominal)</t>
    </r>
  </si>
  <si>
    <r>
      <t xml:space="preserve">fumigadora manual de espalda tiene una </t>
    </r>
    <r>
      <rPr>
        <b/>
        <sz val="12"/>
        <rFont val="Garamond"/>
        <family val="1"/>
      </rPr>
      <t>capacidad de 20 litros</t>
    </r>
    <r>
      <rPr>
        <sz val="12"/>
        <rFont val="Garamond"/>
        <family val="1"/>
      </rPr>
      <t xml:space="preserve">, con </t>
    </r>
    <r>
      <rPr>
        <b/>
        <sz val="12"/>
        <rFont val="Garamond"/>
        <family val="1"/>
      </rPr>
      <t>cámara de presión de 1 litro</t>
    </r>
    <r>
      <rPr>
        <sz val="12"/>
        <rFont val="Garamond"/>
        <family val="1"/>
      </rPr>
      <t xml:space="preserve"> y </t>
    </r>
    <r>
      <rPr>
        <b/>
        <sz val="12"/>
        <rFont val="Garamond"/>
        <family val="1"/>
      </rPr>
      <t>presión de trabajo de 40 PSI ±10 %</t>
    </r>
    <r>
      <rPr>
        <sz val="12"/>
        <rFont val="Garamond"/>
        <family val="1"/>
      </rPr>
      <t xml:space="preserve">, lo que permite una </t>
    </r>
    <r>
      <rPr>
        <b/>
        <sz val="12"/>
        <rFont val="Garamond"/>
        <family val="1"/>
      </rPr>
      <t>aspersión eficiente y continua</t>
    </r>
    <r>
      <rPr>
        <sz val="12"/>
        <rFont val="Garamond"/>
        <family val="1"/>
      </rPr>
      <t xml:space="preserve">. Está equipada con </t>
    </r>
    <r>
      <rPr>
        <b/>
        <sz val="12"/>
        <rFont val="Garamond"/>
        <family val="1"/>
      </rPr>
      <t>bomba de émbolo externo</t>
    </r>
    <r>
      <rPr>
        <sz val="12"/>
        <rFont val="Garamond"/>
        <family val="1"/>
      </rPr>
      <t xml:space="preserve">, </t>
    </r>
    <r>
      <rPr>
        <b/>
        <sz val="12"/>
        <rFont val="Garamond"/>
        <family val="1"/>
      </rPr>
      <t>boquilla de cono hueco</t>
    </r>
    <r>
      <rPr>
        <sz val="12"/>
        <rFont val="Garamond"/>
        <family val="1"/>
      </rPr>
      <t xml:space="preserve">, </t>
    </r>
    <r>
      <rPr>
        <b/>
        <sz val="12"/>
        <rFont val="Garamond"/>
        <family val="1"/>
      </rPr>
      <t>lanza rígida en latón</t>
    </r>
    <r>
      <rPr>
        <sz val="12"/>
        <rFont val="Garamond"/>
        <family val="1"/>
      </rPr>
      <t xml:space="preserve">, </t>
    </r>
    <r>
      <rPr>
        <b/>
        <sz val="12"/>
        <rFont val="Garamond"/>
        <family val="1"/>
      </rPr>
      <t>llave de paso con filtro en malla de acero inoxidable</t>
    </r>
    <r>
      <rPr>
        <sz val="12"/>
        <rFont val="Garamond"/>
        <family val="1"/>
      </rPr>
      <t xml:space="preserve">, y </t>
    </r>
    <r>
      <rPr>
        <b/>
        <sz val="12"/>
        <rFont val="Garamond"/>
        <family val="1"/>
      </rPr>
      <t>porta boquilla universal</t>
    </r>
    <r>
      <rPr>
        <sz val="12"/>
        <rFont val="Garamond"/>
        <family val="1"/>
      </rPr>
      <t xml:space="preserve">. Su diseño incluye </t>
    </r>
    <r>
      <rPr>
        <b/>
        <sz val="12"/>
        <rFont val="Garamond"/>
        <family val="1"/>
      </rPr>
      <t>correas acolchadas y ajustables</t>
    </r>
    <r>
      <rPr>
        <sz val="12"/>
        <rFont val="Garamond"/>
        <family val="1"/>
      </rPr>
      <t xml:space="preserve">, </t>
    </r>
    <r>
      <rPr>
        <b/>
        <sz val="12"/>
        <rFont val="Garamond"/>
        <family val="1"/>
      </rPr>
      <t>chasis anatómico plástico con agarraderas</t>
    </r>
    <r>
      <rPr>
        <sz val="12"/>
        <rFont val="Garamond"/>
        <family val="1"/>
      </rPr>
      <t xml:space="preserve">, y </t>
    </r>
    <r>
      <rPr>
        <b/>
        <sz val="12"/>
        <rFont val="Garamond"/>
        <family val="1"/>
      </rPr>
      <t>tapa con sello hermético y diafragma de ventilación</t>
    </r>
    <r>
      <rPr>
        <sz val="12"/>
        <rFont val="Garamond"/>
        <family val="1"/>
      </rPr>
      <t xml:space="preserve">, lo que garantiza </t>
    </r>
    <r>
      <rPr>
        <b/>
        <sz val="12"/>
        <rFont val="Garamond"/>
        <family val="1"/>
      </rPr>
      <t>comodidad, seguridad y facilidad de uso</t>
    </r>
  </si>
  <si>
    <r>
      <t xml:space="preserve">fabricada en </t>
    </r>
    <r>
      <rPr>
        <i/>
        <sz val="12"/>
        <rFont val="Garamond"/>
        <family val="1"/>
      </rPr>
      <t>polietileno de alta densidad (PEAD)</t>
    </r>
    <r>
      <rPr>
        <sz val="12"/>
        <rFont val="Garamond"/>
        <family val="1"/>
      </rPr>
      <t xml:space="preserve">, con </t>
    </r>
    <r>
      <rPr>
        <i/>
        <sz val="12"/>
        <rFont val="Garamond"/>
        <family val="1"/>
      </rPr>
      <t>dimensiones estándar de 60×40×13cm</t>
    </r>
    <r>
      <rPr>
        <sz val="12"/>
        <rFont val="Garamond"/>
        <family val="1"/>
      </rPr>
      <t xml:space="preserve"> diseño </t>
    </r>
    <r>
      <rPr>
        <i/>
        <sz val="12"/>
        <rFont val="Garamond"/>
        <family val="1"/>
      </rPr>
      <t>toda lineal</t>
    </r>
    <r>
      <rPr>
        <sz val="12"/>
        <rFont val="Garamond"/>
        <family val="1"/>
      </rPr>
      <t xml:space="preserve"> incluye </t>
    </r>
    <r>
      <rPr>
        <i/>
        <sz val="12"/>
        <rFont val="Garamond"/>
        <family val="1"/>
      </rPr>
      <t>paredes y base perforadas</t>
    </r>
    <r>
      <rPr>
        <sz val="12"/>
        <rFont val="Garamond"/>
        <family val="1"/>
      </rPr>
      <t xml:space="preserve"> para ventilación, </t>
    </r>
    <r>
      <rPr>
        <i/>
        <sz val="12"/>
        <rFont val="Garamond"/>
        <family val="1"/>
      </rPr>
      <t>estructura reforzada</t>
    </r>
    <r>
      <rPr>
        <sz val="12"/>
        <rFont val="Garamond"/>
        <family val="1"/>
      </rPr>
      <t xml:space="preserve"> para apilamiento seguro, y </t>
    </r>
    <r>
      <rPr>
        <i/>
        <sz val="12"/>
        <rFont val="Garamond"/>
        <family val="1"/>
      </rPr>
      <t>resistencia a impactos, humedad y productos químicos</t>
    </r>
    <r>
      <rPr>
        <sz val="12"/>
        <rFont val="Garamond"/>
        <family val="1"/>
      </rPr>
      <t>.</t>
    </r>
  </si>
  <si>
    <r>
      <t xml:space="preserve">Está fabricada en </t>
    </r>
    <r>
      <rPr>
        <b/>
        <sz val="12"/>
        <rFont val="Garamond"/>
        <family val="1"/>
      </rPr>
      <t>acero galvanizado o fibra de vidrio</t>
    </r>
    <r>
      <rPr>
        <sz val="12"/>
        <rFont val="Garamond"/>
        <family val="1"/>
      </rPr>
      <t xml:space="preserve">, con longitudes que varían entre </t>
    </r>
    <r>
      <rPr>
        <b/>
        <sz val="12"/>
        <rFont val="Garamond"/>
        <family val="1"/>
      </rPr>
      <t>1.00 y 1.20 metros</t>
    </r>
    <r>
      <rPr>
        <sz val="12"/>
        <rFont val="Garamond"/>
        <family val="1"/>
      </rPr>
      <t xml:space="preserve">, y un diámetro aproximado de </t>
    </r>
    <r>
      <rPr>
        <b/>
        <sz val="12"/>
        <rFont val="Garamond"/>
        <family val="1"/>
      </rPr>
      <t>8 a 10 mm</t>
    </r>
    <r>
      <rPr>
        <sz val="12"/>
        <rFont val="Garamond"/>
        <family val="1"/>
      </rPr>
      <t xml:space="preserve">. Incluye </t>
    </r>
    <r>
      <rPr>
        <b/>
        <sz val="12"/>
        <rFont val="Garamond"/>
        <family val="1"/>
      </rPr>
      <t>aisladores plásticos integrados o removibles</t>
    </r>
    <r>
      <rPr>
        <sz val="12"/>
        <rFont val="Garamond"/>
        <family val="1"/>
      </rPr>
      <t xml:space="preserve">, generalmente de polietileno o polipropileno, que permiten sujetar el alambre eléctrico sin pérdida de carga. La base puede ser tipo </t>
    </r>
    <r>
      <rPr>
        <b/>
        <sz val="12"/>
        <rFont val="Garamond"/>
        <family val="1"/>
      </rPr>
      <t>pica (punta afilada)</t>
    </r>
    <r>
      <rPr>
        <sz val="12"/>
        <rFont val="Garamond"/>
        <family val="1"/>
      </rPr>
      <t xml:space="preserve"> para hincado manual en el suelo, o con </t>
    </r>
    <r>
      <rPr>
        <b/>
        <sz val="12"/>
        <rFont val="Garamond"/>
        <family val="1"/>
      </rPr>
      <t>pedal lateral</t>
    </r>
    <r>
      <rPr>
        <sz val="12"/>
        <rFont val="Garamond"/>
        <family val="1"/>
      </rPr>
      <t xml:space="preserve"> para facilitar la instalación con el pie.  incluyen </t>
    </r>
    <r>
      <rPr>
        <b/>
        <sz val="12"/>
        <rFont val="Garamond"/>
        <family val="1"/>
      </rPr>
      <t>resorte de retención o gancho giratorio</t>
    </r>
    <r>
      <rPr>
        <sz val="12"/>
        <rFont val="Garamond"/>
        <family val="1"/>
      </rPr>
      <t>,</t>
    </r>
  </si>
  <si>
    <r>
      <t xml:space="preserve">filtro de papel delgado  elaborado con </t>
    </r>
    <r>
      <rPr>
        <b/>
        <sz val="12"/>
        <rFont val="Garamond"/>
        <family val="1"/>
      </rPr>
      <t>mezcla viscosa y poliéster</t>
    </r>
    <r>
      <rPr>
        <sz val="12"/>
        <rFont val="Garamond"/>
        <family val="1"/>
      </rPr>
      <t xml:space="preserve">, lo que le confiere </t>
    </r>
    <r>
      <rPr>
        <b/>
        <sz val="12"/>
        <rFont val="Garamond"/>
        <family val="1"/>
      </rPr>
      <t>alta capacidad de absorción, resistencia mecánica y eficiencia en la retención de sedimentos</t>
    </r>
    <r>
      <rPr>
        <sz val="12"/>
        <rFont val="Garamond"/>
        <family val="1"/>
      </rPr>
      <t xml:space="preserve">. Se utiliza en sistemas de </t>
    </r>
    <r>
      <rPr>
        <b/>
        <sz val="12"/>
        <rFont val="Garamond"/>
        <family val="1"/>
      </rPr>
      <t>filtrado manual o mecánico</t>
    </r>
    <r>
      <rPr>
        <sz val="12"/>
        <rFont val="Garamond"/>
        <family val="1"/>
      </rPr>
      <t>, colocándose sobre el soporte del filtro en la salida del equipo de ordeño o cantina</t>
    </r>
  </si>
  <si>
    <r>
      <t xml:space="preserve">iltro plástico para leche  está fabricado en </t>
    </r>
    <r>
      <rPr>
        <b/>
        <sz val="12"/>
        <rFont val="Garamond"/>
        <family val="1"/>
      </rPr>
      <t>polietileno de alta densidad</t>
    </r>
    <r>
      <rPr>
        <sz val="12"/>
        <rFont val="Garamond"/>
        <family val="1"/>
      </rPr>
      <t xml:space="preserve">, con componentes en </t>
    </r>
    <r>
      <rPr>
        <b/>
        <sz val="12"/>
        <rFont val="Garamond"/>
        <family val="1"/>
      </rPr>
      <t>acero, aluminio, malla de papel y nylon monofilamento de 150 micras</t>
    </r>
    <r>
      <rPr>
        <sz val="12"/>
        <rFont val="Garamond"/>
        <family val="1"/>
      </rPr>
      <t xml:space="preserve">, lo que garantiza </t>
    </r>
    <r>
      <rPr>
        <b/>
        <sz val="12"/>
        <rFont val="Garamond"/>
        <family val="1"/>
      </rPr>
      <t>resistencia, durabilidad y eficiencia en la retención de partículas</t>
    </r>
    <r>
      <rPr>
        <sz val="12"/>
        <rFont val="Garamond"/>
        <family val="1"/>
      </rPr>
      <t xml:space="preserve">. Su diseño incluye </t>
    </r>
    <r>
      <rPr>
        <b/>
        <sz val="12"/>
        <rFont val="Garamond"/>
        <family val="1"/>
      </rPr>
      <t>tres mallas filtrantes</t>
    </r>
    <r>
      <rPr>
        <sz val="12"/>
        <rFont val="Garamond"/>
        <family val="1"/>
      </rPr>
      <t xml:space="preserve">, </t>
    </r>
    <r>
      <rPr>
        <b/>
        <sz val="12"/>
        <rFont val="Garamond"/>
        <family val="1"/>
      </rPr>
      <t>anillos de ajuste para cantinas metálicas o plásticas</t>
    </r>
    <r>
      <rPr>
        <sz val="12"/>
        <rFont val="Garamond"/>
        <family val="1"/>
      </rPr>
      <t xml:space="preserve">, y </t>
    </r>
    <r>
      <rPr>
        <b/>
        <sz val="12"/>
        <rFont val="Garamond"/>
        <family val="1"/>
      </rPr>
      <t>pestañas de sujeción</t>
    </r>
    <r>
      <rPr>
        <sz val="12"/>
        <rFont val="Garamond"/>
        <family val="1"/>
      </rPr>
      <t xml:space="preserve"> que facilitan el montaje y uso en campo</t>
    </r>
  </si>
  <si>
    <r>
      <t xml:space="preserve">cordón eléctrico de 200 metros está fabricado en </t>
    </r>
    <r>
      <rPr>
        <i/>
        <sz val="12"/>
        <rFont val="Garamond"/>
        <family val="1"/>
      </rPr>
      <t>polipropileno trenzado</t>
    </r>
    <r>
      <rPr>
        <sz val="12"/>
        <rFont val="Garamond"/>
        <family val="1"/>
      </rPr>
      <t xml:space="preserve">, con </t>
    </r>
    <r>
      <rPr>
        <b/>
        <sz val="12"/>
        <rFont val="Garamond"/>
        <family val="1"/>
      </rPr>
      <t>diámetro de 3 mm</t>
    </r>
    <r>
      <rPr>
        <sz val="12"/>
        <rFont val="Garamond"/>
        <family val="1"/>
      </rPr>
      <t xml:space="preserve">, color </t>
    </r>
    <r>
      <rPr>
        <b/>
        <sz val="12"/>
        <rFont val="Garamond"/>
        <family val="1"/>
      </rPr>
      <t>azul</t>
    </r>
    <r>
      <rPr>
        <sz val="12"/>
        <rFont val="Garamond"/>
        <family val="1"/>
      </rPr>
      <t xml:space="preserve">, y contiene </t>
    </r>
    <r>
      <rPr>
        <b/>
        <sz val="12"/>
        <rFont val="Garamond"/>
        <family val="1"/>
      </rPr>
      <t>6 filamentos conductores de acero inoxidable de 0.22 mm</t>
    </r>
    <r>
      <rPr>
        <sz val="12"/>
        <rFont val="Garamond"/>
        <family val="1"/>
      </rPr>
      <t xml:space="preserve"> cada uno. Su resistencia eléctrica es de </t>
    </r>
    <r>
      <rPr>
        <b/>
        <sz val="12"/>
        <rFont val="Garamond"/>
        <family val="1"/>
      </rPr>
      <t>10.8 ohmios por metro</t>
    </r>
    <r>
      <rPr>
        <sz val="12"/>
        <rFont val="Garamond"/>
        <family val="1"/>
      </rPr>
      <t xml:space="preserve">, con pérdida de voltaje estimada en </t>
    </r>
    <r>
      <rPr>
        <b/>
        <sz val="12"/>
        <rFont val="Garamond"/>
        <family val="1"/>
      </rPr>
      <t>1,500 m</t>
    </r>
    <r>
      <rPr>
        <sz val="12"/>
        <rFont val="Garamond"/>
        <family val="1"/>
      </rPr>
      <t xml:space="preserve">, lo que lo hace apto para cercas de mediana extensión. Es </t>
    </r>
    <r>
      <rPr>
        <i/>
        <sz val="12"/>
        <rFont val="Garamond"/>
        <family val="1"/>
      </rPr>
      <t>flexible, resistente al desgaste, a rayos UV y a la tracción</t>
    </r>
    <r>
      <rPr>
        <sz val="12"/>
        <rFont val="Garamond"/>
        <family val="1"/>
      </rPr>
      <t xml:space="preserve">, permitiendo </t>
    </r>
    <r>
      <rPr>
        <i/>
        <sz val="12"/>
        <rFont val="Garamond"/>
        <family val="1"/>
      </rPr>
      <t>anudado sin pérdida de conducción</t>
    </r>
  </si>
  <si>
    <r>
      <t xml:space="preserve">raje está fabricado en </t>
    </r>
    <r>
      <rPr>
        <b/>
        <sz val="12"/>
        <rFont val="Garamond"/>
        <family val="1"/>
      </rPr>
      <t>materiales microporosos o poliolefina no tejida</t>
    </r>
    <r>
      <rPr>
        <sz val="12"/>
        <rFont val="Garamond"/>
        <family val="1"/>
      </rPr>
      <t xml:space="preserve">, como </t>
    </r>
    <r>
      <rPr>
        <b/>
        <sz val="12"/>
        <rFont val="Garamond"/>
        <family val="1"/>
      </rPr>
      <t>Tyvek®</t>
    </r>
    <r>
      <rPr>
        <sz val="12"/>
        <rFont val="Garamond"/>
        <family val="1"/>
      </rPr>
      <t xml:space="preserve"> o </t>
    </r>
    <r>
      <rPr>
        <b/>
        <sz val="12"/>
        <rFont val="Garamond"/>
        <family val="1"/>
      </rPr>
      <t>Raygard™</t>
    </r>
    <r>
      <rPr>
        <sz val="12"/>
        <rFont val="Garamond"/>
        <family val="1"/>
      </rPr>
      <t xml:space="preserve">, que ofrecen </t>
    </r>
    <r>
      <rPr>
        <b/>
        <sz val="12"/>
        <rFont val="Garamond"/>
        <family val="1"/>
      </rPr>
      <t>barrera contra salpicaduras ligeras (Tipo 6)</t>
    </r>
    <r>
      <rPr>
        <sz val="12"/>
        <rFont val="Garamond"/>
        <family val="1"/>
      </rPr>
      <t xml:space="preserve">, </t>
    </r>
    <r>
      <rPr>
        <b/>
        <sz val="12"/>
        <rFont val="Garamond"/>
        <family val="1"/>
      </rPr>
      <t>polvos peligrosos (Tipo 5)</t>
    </r>
    <r>
      <rPr>
        <sz val="12"/>
        <rFont val="Garamond"/>
        <family val="1"/>
      </rPr>
      <t xml:space="preserve"> y algunos </t>
    </r>
    <r>
      <rPr>
        <b/>
        <sz val="12"/>
        <rFont val="Garamond"/>
        <family val="1"/>
      </rPr>
      <t>productos químicos líquidos (Tipo 4)</t>
    </r>
    <r>
      <rPr>
        <sz val="12"/>
        <rFont val="Garamond"/>
        <family val="1"/>
      </rPr>
      <t xml:space="preserve">. Su diseño incluye </t>
    </r>
    <r>
      <rPr>
        <b/>
        <sz val="12"/>
        <rFont val="Garamond"/>
        <family val="1"/>
      </rPr>
      <t>capucha integrada</t>
    </r>
    <r>
      <rPr>
        <sz val="12"/>
        <rFont val="Garamond"/>
        <family val="1"/>
      </rPr>
      <t xml:space="preserve">, </t>
    </r>
    <r>
      <rPr>
        <b/>
        <sz val="12"/>
        <rFont val="Garamond"/>
        <family val="1"/>
      </rPr>
      <t>cremallera frontal cubierta por solapa autoadhesiva</t>
    </r>
    <r>
      <rPr>
        <sz val="12"/>
        <rFont val="Garamond"/>
        <family val="1"/>
      </rPr>
      <t xml:space="preserve">, </t>
    </r>
    <r>
      <rPr>
        <b/>
        <sz val="12"/>
        <rFont val="Garamond"/>
        <family val="1"/>
      </rPr>
      <t>elásticos en puños, tobillos, cintura y capucha</t>
    </r>
    <r>
      <rPr>
        <sz val="12"/>
        <rFont val="Garamond"/>
        <family val="1"/>
      </rPr>
      <t xml:space="preserve">, y </t>
    </r>
    <r>
      <rPr>
        <b/>
        <sz val="12"/>
        <rFont val="Garamond"/>
        <family val="1"/>
      </rPr>
      <t>costuras selladas herméticamente</t>
    </r>
    <r>
      <rPr>
        <sz val="12"/>
        <rFont val="Garamond"/>
        <family val="1"/>
      </rPr>
      <t>, lo que garantiza protección integral y comodidad durante la jornada</t>
    </r>
  </si>
  <si>
    <r>
      <t>Velocidad de pulsación:</t>
    </r>
    <r>
      <rPr>
        <sz val="12"/>
        <color theme="1"/>
        <rFont val="Garamond"/>
        <family val="1"/>
      </rPr>
      <t xml:space="preserve"> Ajustable entre </t>
    </r>
    <r>
      <rPr>
        <b/>
        <sz val="12"/>
        <color theme="1"/>
        <rFont val="Garamond"/>
        <family val="1"/>
      </rPr>
      <t>50 y 180 ppm (pulsaciones por minuto)</t>
    </r>
    <r>
      <rPr>
        <sz val="12"/>
        <color theme="1"/>
        <rFont val="Garamond"/>
        <family val="1"/>
      </rPr>
      <t>.
Relación de pulsación estándar: 60/40 (succión/masaje), con opciones de 65/35 y 50/50.</t>
    </r>
  </si>
  <si>
    <r>
      <t>Material:</t>
    </r>
    <r>
      <rPr>
        <sz val="12"/>
        <color theme="1"/>
        <rFont val="Garamond"/>
        <family val="1"/>
      </rPr>
      <t xml:space="preserve"> Acero inoxidable o acero galvanizado, resistente a la corrosión y al uso intensivo.
Longitud total: Entre 25 y 30 cm, adecuada para un agarre firme sin ser excesivamente pesada.</t>
    </r>
    <r>
      <rPr>
        <sz val="12"/>
        <rFont val="Garamond"/>
        <family val="1"/>
      </rPr>
      <t xml:space="preserve">
Sistema de cierre: Muelle o resorte central que permite apertura y cierre rápido, con puntas redondeadas para evitar lesiones graves.</t>
    </r>
  </si>
  <si>
    <t>Kit de juego médico para niños</t>
  </si>
  <si>
    <t>M3</t>
  </si>
  <si>
    <t>Lonas en fibra de 25 kilos. Paquete por 10 und</t>
  </si>
  <si>
    <t>Bolsa de polietileno de baja densidad 110 X 120 cm negra Cal. 200. Paquete por 100 unidades.
Los desechos médicos no aprovechables, como papel higiénico, servilletas y cartones contaminados, se depositan en bolsas negras.</t>
  </si>
  <si>
    <t>Jabón Enzimático, detergente líquido multienzimático y biodegradable, diseñado para la limpieza profunda del instrumental quirúrgico.  Fórmula con enzimas Lipasa, Amilasa y Proteasa para descomponer y remover  eficazmente sangre, material orgánico y biofilm, asegurando una higiene impecable y reduciendo el riesgo de contaminación.  Jabón para el prelavado y lavado manual o automático, facilitando la eliminación de residuos en instrumental médico, clínico, odontológico y bacteriológico. PH neutro (5.5)</t>
  </si>
  <si>
    <t xml:space="preserve">Maquina de peluqueria canina CARACTERÍSTICAS. 
* Diseño ergonómico, ligero y silencioso. 
* Adecuada para largas jornadas de trabajo. 
* Cabezal removible que permite intercambiar cuchillas para una amplia variedad de cortes de raza. 
* 3 velocidades de trabajo: 1 Vel 3100 rpm - 2 Vel 3600 rpm - 3 Vel 4100 rpm. 
* Potencia 45W 
* Uso Profesional. 
INCLUYE: 
* Cuchilla de acero inoxidable N°10 (corte 1,6 mm). 
* 1 protector de cuchilla. 
* 1 aceite lubricante. 
* 1 cepillo de limpieza. </t>
  </si>
  <si>
    <t>Uniforme Antifluido, Veterinaria con logo institucional Alcaldia Local de Ciudad Bolivar. 
Blusa: manga corta
Tela: antifluido
Cuello: V con refuerzo en azul y línea blanca
Puños: Azules con línea decorativa blanca
Acabado: 2 bolsillos frontales con líneas blancas
Diseño: Bordado</t>
  </si>
  <si>
    <t>Uniforme Antifluido, Veterinaria  logo institucional Alcaldía Local de Ciudad Bolivar. 
Blusa: manga corta
Tela: antifluido
Cuello: V con refuerzo en azul y línea blanca
Puños: Azules con línea decorativa blanca
Acabado: 2 bolsillos frontales con líneas blancas
Diseño: Bordado</t>
  </si>
  <si>
    <t>Uniforme Antifluido, Veterinaria 
Blusa: manga corta
Tela: antifluido
Cuello: V con refuerzo en azul y línea blanca
Puños: Azules con línea decorativa blanca
Acabado: 2 bolsillos frontales con líneas blancas
Diseño: Bordado</t>
  </si>
  <si>
    <t>Juego de fichas didácticas tipo memorama "Acciones para el Bienestar Animal"</t>
  </si>
  <si>
    <t>Bingo del Bienestar ABingo pedagógico reutilizable “Bienestar Animal”</t>
  </si>
  <si>
    <t>Kit</t>
  </si>
  <si>
    <t>Kit de 10 plantillas reutilizables fabricadas en PVC ligero de alta resistencia, aptas para pintura y limpieza frecuente. 
Plantilla tamaño 30 x 30 cm 
Material: PVC ligero
Cortes de precisión con bordes reforzados para evitar deformación. Material lavable, durable y reutilizable, apto para uso continuo en jornadas pedagógicas de interior y exterior.
(La aprobación del diseño estará a cargo de la ALCB)</t>
  </si>
  <si>
    <t>Kit pedagógico reutilizable diseñado para promover el aprendizaje y la apropiación de conceptos relacionados con el bienestar y cuidado animal mediante actividades lúdicas y participativas. Elaborado en PVC flexible, con impresión digital a full color y laminado protector contra humedad, fricción y desgaste.
El kit incluye como mínimo:
Veinte (20) cartones pedagógicos impresos a color con temática de bienestar animal.
Un (1) juego de 30 tarjetas de sorteo ilustradas relacionadas con las temáticas del kit.
Fichas reutilizables para marcación elaboradas en PVC.
Bolsa o estuche reutilizable para almacenamiento y transporte.
Especificaciones mínimas:
Tamaño de los cartones: 20 × 25 cm.
Tamaño aproximado de las casillas: 4 × 4 cm.
Tamaño de las fichas de marcación: 2 × 2 cm.
El diseño gráfico, la diagramación y el contenido pedagógico deberán ser aprobados por la Alcaldía Local de Ciudad Bolívar (ALCB) previo a la producción definitiva</t>
  </si>
  <si>
    <t>Kit pedagógico reutilizable tipo memorama, diseñado para fortalecer el aprendizaje y la apropiación de buenas prácticas de bienestar y protección animal mediante actividades lúdicas de asociación. El juego consiste en emparejar ilustraciones o conceptos que representen acciones correctas e incorrectas relacionadas con el cuidado y trato responsable de los animales.
Elaborado en PVC rígido de alta resistencia, con impresión digital a full color y laminado protector contra humedad, fricción y desgaste, apto para uso continuo en actividades educativas, comunitarias y ambientales.
El kit incluye como mínimo:
12 fichas didácticas impresas a doble cara o según diseño aprobado.
Ilustraciones y contenidos pedagógicos relacionados con acciones positivas (+) y negativas (–) frente al bienestar animal.
Estuche o bolsa reutilizable para almacenamiento y transporte.
Especificaciones mínimas:
Material: PVC rígido.
Dimensiones de cada ficha: 6 × 9 cm.
Impresión: Full color con acabado laminado protector.
Uso: Interior y exterior.
El diseño gráfico, las ilustraciones y el contenido pedagógico deberán ser aprobados por la Alcaldía Local de Ciudad Bolívar (ALCB) previo a la producción definitiva.</t>
  </si>
  <si>
    <t>Plato plegable para mascotas en silicona de grado alimenticio, capacidad mínima de 500 ml, diámetro mínimo de 15 cm, altura desplegado mínima de 5 cm y altura plegado máxima de 2 cm, incluye mosquetón para transporte. 
El diseño gráfico, los colores y la ubicación del logotipo deberán ser aprobados por la Alcaldía Local de Ciudad Bolívar (ALCB) previo a la producción definitiva</t>
  </si>
  <si>
    <t>Kit pedagógico reutilizable diseñado para fortalecer el reconocimiento y la apropiación de conocimientos sobre la fauna silvestre mediante actividades lúdicas de asociación de imágenes. El juego consiste en identificar y emparejar especies de fauna silvestre a través de fichas ilustradas, promoviendo el aprendizaje, la memoria y la educación ambiental.
Elaborado en PVC flexible, con impresión digital a full color y laminado protector contra humedad, fricción y desgaste, apto para uso continuo en jornadas educativas, comunitarias y de sensibilización ambiental.
El kit incluye como mínimo:
16 fichas didácticas (8 pares) con ilustraciones de fauna silvestre.
Fichas elaboradas en PVC, reutilizables y lavables.
Bolsa o estuche reutilizable para almacenamiento y transporte.
Especificaciones mínimas:
Material: PVC flexible.
Dimensiones de cada ficha: 14 cm × 21,5 cm.
Impresión: Full color con acabado laminado protector.
Uso: Interior y exterior.
El diseño gráfico, las ilustraciones y el contenido pedagógico deberán ser aprobados por la Alcaldía Local de Ciudad Bolívar (ALCB) previo a la producción definitiva.</t>
  </si>
  <si>
    <t>Kit pedagógico reutilizable diseñado para el fortalecimiento de conocimientos y buenas prácticas de bienestar y cuidado animal mediante actividades lúdicas y participativas. El material está compuesto por un tablero principal tipo “semáforo” y un conjunto de fichas o tarjetas ilustradas para la clasificación de acciones adecuadas e inadecuadas relacionadas con el manejo y protección de los animales.
Fabricado en PVC rígido de alta resistencia, con impresión digital a full color y laminado protector antidesgaste, apto para uso continuo en actividades grupales en espacios interiores y exteriores. Incluye:
(1) tablero pedagógico de 20 × 25 cm.
Mínimo 30 fichas o tarjetas didácticas de 5 × 5 cm, elaboradas en PVC.
Sistema de almacenamiento (bolsa o estuche reutilizable) para conservación y transporte del kit.
El diseño gráfico y el contenido pedagógico deberán ser aprobados por la Alcaldía Local de Ciudad Bolívar (ALCB) previo a su producción definitiva.</t>
  </si>
  <si>
    <t>Lona tipo banner en PVC (vinilo flexible) de gran formato, con gramaje mínimo de 15 oz, dimensiones de 2,00 m de largo x 1,50 m de ancho. Material resistente, lavable y reutilizable, apto para actividades pedagógicas y participativas que requieran escritura o ilustración con marcadores borrables, marcadores permanentes o pintura acrílica lavable.
La superficie deberá permitir su limpieza sin deterioro significativo del material, garantizando múltiples usos. Se entregará con diseño base impreso según los lineamientos suministrados por la entidad.
La aprobación final del diseño estará a cargo de la Alcaldía Local de Ciudad Bolívar (ALCB).</t>
  </si>
  <si>
    <t>Teatro de títeres pedagógico portátil, diseñado para el desarrollo de actividades educativas, recreativas y de sensibilización comunitaria en temas de bienestar animal, convivencia y educación ambiental. Fabricado con estructura plegable de fácil armado y desarmado, elaborada en PVC liviano, con cubierta en tela resistente y lavable.El kit deberá ser reutilizable, de fácil transporte y almacenamiento, e incluir todos los elementos necesarios para su funcionamiento.
El kit incluye como mínimo:
(1) Estructura portátil plegable para teatro de títeres.
(8) Títeres de mano tipo guante, elaborados en tela resistente y lavable, con diseños alusivos a personas y animales.
(1) Bolsa o estuche para almacenamiento y transporte.
(1) Manual o instructivo básico de armado y uso.
Especificaciones técnicas mínimas:
Dimensiones de la estructura: 140 cm de alto × 100 cm de ancho × 80 cm de profundidad.
Material de la estructura: PVC liviano.
Material de la cubierta: tela resistente y lavable.
Títeres tipo guante de 35 cm de altura.
Material de los títeres: tela lavable de alta resistencia.
Diseño de los títeres: personajes humanos y animales relacionados con las temáticas del proyecto.
El diseño gráfico, los personajes y las características estéticas del kit deberán ser aprobados por la Alcaldía Local de Ciudad Bolívar (ALCB) previo a la producción definitiva</t>
  </si>
  <si>
    <t>Tapete pedagógico de gran formato elaborado en lona PVC (vinilo flexible), impreso a todo color con diseño temático “Colas y Huellas” suministrado por la entidad. Material durable, lavable, reutilizable y apto para uso continuo en actividades lúdico-pedagógicas, con resistencia al desgaste derivado de la manipulación y tránsito frecuente de los participantes.
Dimensiones : 3,00 m de largo x 1,50 m de ancho. Deberá contar con superficie antideslizante o base que minimice el desplazamiento durante su uso, garantizando la seguridad de los participantes durante el desarrollo de las actividades.
El producto deberá entregarse con sistema de empaque, funda o estuche que facilite su almacenamiento, protección y transporte.
La aprobación final del diseño estará a cargo de la Alcaldía Local de Ciudad Bolívar (ALCB).</t>
  </si>
  <si>
    <t>Set didáctico de juguetes que simulan instrumentos médicos, presentado en maletín plástico resistente para almacenamiento y transporte. Los elementos deberán estar elaborados en materiales seguros, durables y aptos para uso pedagógico infantil.
El kit deberá contener como mínimo:
* Un (1) maletín plástico de almacenamiento.
* Un (1) estetoscopio de juguete.
* Un (1) termómetro de juguete.
* Una (1) jeringa de juguete.
* Una (1) pinza de juguete.
* Una (1) tijera plástica de juguete.
* Un (1) frasco de medicamento de juguete.
* Un (1) gorro de médico infantil.
Todos los elementos deberán estar diseñados para actividades lúdico-pedagógicas y de juego de roles, promoviendo el aprendizaje y la recreación de manera segura.</t>
  </si>
  <si>
    <t>Insignia tipo botón metálico de 38 mm (1,5 pulgadas), elaborada en lámina metálica con impresión a todo color protegida mediante película transparente de alta resistencia. Sistema de sujeción posterior mediante imperdible metálico o mecanismo equivalente que garantice una adecuada fijación a prendas de vestir, morrales o accesorios.
El producto deberá presentar acabados uniformes, buena calidad de impresión, adecuada visibilidad de los elementos gráficos y resistencia al uso normal. El diseño será suministrado por la entidad.
La aprobación final del diseño estará a cargo de la Alcaldía Local de Ciudad Bolívar (ALCB).</t>
  </si>
  <si>
    <t>KIT DE JARDINERIA</t>
  </si>
  <si>
    <t>FOSFATO MONOPOTÁSICO</t>
  </si>
  <si>
    <t>Suministro y transporte de agua potable para actividades de riego y mantenimiento de viveros, mediante carrotanque con capacidad de 14 m³, apta para uso agroforestal y ambiental. El servicio incluye el cargue, transporte, descargue y entrega en el sitio definido por la entidad contratante, garantizando el cumplimiento de las condiciones de calidad y salubridad exigidas por la normatividad vigente.</t>
  </si>
  <si>
    <t>Viaje (carrotanque x 14 m³)</t>
  </si>
  <si>
    <t>Alambre de Puas calibre 16.5x 400 metros</t>
  </si>
  <si>
    <t>Tela Cerramiento - Polisombra Verde - Rollo de 100 x 2.10 metros</t>
  </si>
  <si>
    <t>LONAS DE FIBRA</t>
  </si>
  <si>
    <t>Lonas de fibra para 50 kg por 10 unidades</t>
  </si>
  <si>
    <t xml:space="preserve">GALÓN </t>
  </si>
  <si>
    <t>Fabricado en acero resistente, con estructura tubular y acabado en pintura electrostática. Tiene una capacidad máxima de carga de 250 kg, lo que la hace ideal para mover insumos, herramientas, materiales de construcción o productos agropecuarios. Sus dimensiones generales son 130 cm de alto × 55 cm de ancho, y cuenta con una bandeja metálica de apoyo de 22 cm de fondo × 35 cm de ancho, útil para estabilizar la carga durante el desplazamiento</t>
  </si>
  <si>
    <t>estiba plástica de 100 × 120 × 15 cm, fabricada en polietileno de alta densidad (PEAD), cuenta con superficie cerrada. Su diseño incluye refuerzos internos tipo nervadura, esquinas redondeadas, y base antideslizante, con capacidad de carga estática de hasta 2000 kg y dinámica de 1000 kg,</t>
  </si>
  <si>
    <t>carpa tipo toldo de 2×2 metros está fabricada con estructura metálica plegable (acero inoxidable o aluminio), cubierta en lona Oxford 600D impermeable, y paredes laterales removibles del mismo material. Su diseño retráctil tipo araña permite instalación rápida sin herramientas, con altura ajustable hasta 2.1 m, peso aproximado de 14–16 kg, y protección UV. Incluye bolsa de transporte, bases reforzadas, y sistema de anclaje para mayor estabilidad.</t>
  </si>
  <si>
    <t>Malacate Manual 300 Kg Con Cable 7m 14719 MAW-27C</t>
  </si>
  <si>
    <t>Mazo de goma 24 oz16932</t>
  </si>
  <si>
    <t>Carretilla 5.5ft3 gris,imponchable, bastidores madera, Llanta imponchable suave y ligera de poliuretano con rin 3 aspas, facilita el acarreo y reduce la fatiga. Concha de lámina espesor 0.7 mm
Bastidores cuadrados de madera (37 x 37 mm)
Soportes de uso ligero</t>
  </si>
  <si>
    <t>Largo total: 1.5 m.
Diámetro: 2.5 cm.
Acero de medio carbono que garantiza resistencia y durabilidad ante condiciones difíciles.
Escoplo de 102 mm para facilitar la penetración en el suelo.</t>
  </si>
  <si>
    <t xml:space="preserve">PINTURA ACRILICA DILUIBLE CON AGUA TIPO 1 (Colores varios)
</t>
  </si>
  <si>
    <t>Pala Redonda N°2 Con Cabo: Herramientas De Mango Largo. Punta Redonda. 
Tipo : Palas
Ancho : 24 cm
Alto : 175 cm
Espesor : 0.18 cm
Color : Mango Color Madera, Herramienta Negro</t>
  </si>
  <si>
    <t>Herramienta manual de mango largo, fabricada en metal, con diseño curvo y mango de madera resistente.
Tipo: Rastrillo metálico
Diseño: Curvo
Longitud del mango: 1,20 m
Material del mango: Madera
16 Dientes</t>
  </si>
  <si>
    <t xml:space="preserve">CEPILLO INDUSTRIAL </t>
  </si>
  <si>
    <t>Filamento sintético rígido largo en los extremos para mayor acceso. 36X6 CM  FIBRA DURA</t>
  </si>
  <si>
    <t>Paladraga sencilla
Ancho: 15 cm
Alto: 15 cm
Tipo de pala: Punta huevo
Material del mango: Madera
Material de la hoja: Acero
Características: Hojas de acero templado., Mangos cuadrados de madera., Apertura máxima: 6.1/2" (165 mm)., Largo de los mangos: 48" (122 cm)., Espesor de la hoja: 1.8 mm., Socket: 4 mm.</t>
  </si>
  <si>
    <t>Segueta con marco ajustable 
Tipo: Marco para segueta manual.
Longitud: 12 pulgadas (300 mm).
Material del marco: Acero al carbono o acero tubular de alta resistencia con acabado anticorrosivo.
Mango: Ergonómico, fabricado en plástico de ingeniería o polímero de alto impacto, antideslizante.
Sistema de tensión: Ajustable mediante tornillo o mecanismo tensor que permita fijar firmemente la hoja de corte.
Hoja incluida: Una (1) hoja para segueta de 12", fabricada en acero de alta velocidad (HSS) o acero bimetálico, apta para corte de materiales metálicos y plásticos.
Compatibilidad: Apta para utilizar hojas estándar de segueta de 12 pulgadas disponibles en el mercado.
Condición del producto: Nuevo, de fabricación reciente y listo para su uso.</t>
  </si>
  <si>
    <t>Tipo: Puntilla redonda sin cabeza.
Material: Acero de bajo carbono de alta resistencia.
Longitud: 1 1/2 pulgadas (38 mm).
Calibre: 15.
Acabado: Natural, pulido o galvanizado, libre de corrosión visible.
Diseño: Cuerpo cilíndrico con punta aguda y sin cabeza visible para acabado estético.
Presentación: Caja de 500 gramos.
Aplicación: Apta para trabajos de carpintería, ebanistería, molduras, acabados y fijaciones livianas en madera.
Condición del producto: Nuevo</t>
  </si>
  <si>
    <t>Guante Vaqueta Ingeniero Corto Sencillo Amarillo. Características: Cuero 100% vaqueta de res, dorso sintetico, costura con hilo en algodón, ribete en el puño, largo 9"</t>
  </si>
  <si>
    <t>VALOR TOTAL IVA INCLUIDO</t>
  </si>
  <si>
    <t>VALOR UNITARIO TECHO IVA INCLUIDO</t>
  </si>
  <si>
    <t xml:space="preserve">Regadera plástica de jardinería 8 litros, ancho 13 cm, alto 27 cm, largo 45 cm, color verde, material plastico, capacidad volumetrica 8 litros. </t>
  </si>
  <si>
    <t xml:space="preserve">BISTURÍ PROFESIONAL </t>
  </si>
  <si>
    <t>Pintura esmalte sintético base aceite para exteriores, apta para la protección y acabado de superficies metálicas, con acabado brillante o semibrillante y disponibilidad en varios colores. Presentación en galón (3,785 L), de fácil aplicación con brocha, rodillo o pistola, con alto poder cubriente y resistencia a la corrosión, al desgaste y a la intemperie.</t>
  </si>
  <si>
    <t>•Tipo : Mallas galvanizadas
•Alto : 1.5 m
•Largo : 45 m
•Características : Fabricada en acero galvanizado., Resistente a la corrosión., Fácil de adaptar e instalar., Formato: Hexagonal., Largo: 45 m., Altura: 1.50 m., Abertura: 38 mm., Calibre: 22., De alta resistencia, suave y maleable.</t>
  </si>
  <si>
    <t xml:space="preserve">MALLA REJA </t>
  </si>
  <si>
    <t>10 MM X 10 MM H100 CM ROLLO 30 M VERDE PLATESA
•Alto : 100 cm
•Color : Verde
•Espesor : 4 mm</t>
  </si>
  <si>
    <t xml:space="preserve">MALLA PLÁSTICA MULTIUSOS </t>
  </si>
  <si>
    <t>Overol industrial enterizo color negro, confeccionado en tela dril de alta resistencia, apto para actividades operativas, mantenimiento, construcción, jardinería y labores industriales. Diseño de manga larga con cierre frontal mediante cremallera de alta resistencia, cuello tipo camisero y costuras reforzadas para mayor durabilidad.
La prenda deberá contar como mínimo con dos (2) bolsillos frontales y ajuste cómodo que permita la movilidad del usuario durante la jornada laboral. Disponible en tallas S, M, L, XL y XXL.
Material: Tela dril industrial color negro. Composición mínima 65 % algodón y 35 % poliéster o equivalente. Producto resistente al desgaste, de fácil lavado y apto para uso continuo.</t>
  </si>
  <si>
    <t xml:space="preserve">MALLA ESLABONADA </t>
  </si>
  <si>
    <t xml:space="preserve">Dimensiones: 45cm de profundidad, 90cm de ancho y 180cm de largo con llave y cuatro entrepaños que soportan cada uno 50kg. METÁLICO CON LLAVE </t>
  </si>
  <si>
    <t xml:space="preserve">fabricada en acero galvanizado con recubrimiento de zinc y pintura poliéster color azul RAL 5015, lo que le otorga alta durabilidad frente a la intemperie y excelente resistencia a la corrosión. Sus dimensiones son 1.01 m de ancho útil, 6 m de largo y 0.27 mm de espesor nominal, con perfil trapezoidal TJ 3115 que facilita el escurrimiento del agua y mejora la rigidez estructural. TJ 3115 AZUL 1.01 X 6 MTS CAL 31 0.27 MM </t>
  </si>
  <si>
    <t>TEJA ARQUITECTÓNICA</t>
  </si>
  <si>
    <t>Madeja de Pita x50 Metros, grosor 2 mm, en material propileno</t>
  </si>
  <si>
    <t>EQUIPO DE ORDEÑO PORTÁTIL  - A GASOLINA</t>
  </si>
  <si>
    <t>Tinta en frasco para tatuar animales, color negro.La Tinta Para Tatuar  (Frasco ) es una herramienta esencial en el ámbito veterinario para la identificación permanente de 
 animales. Su fórmula especializada permite una aplicación precisa y duradera, facilitando el registro 
 y seguimiento de cada individuo</t>
  </si>
  <si>
    <t>Aerosol de acción 3 en 1 diseñado para el mantenimiento de cuchillas de máquinas de corte para cabello y mascotas. Enfría, lubrica y limpia las cuchillas al instante, reduciendo la fricción y el desgaste, ayudando a prevenir la oxidación sin dejar residuos aceitosos pesados. Puede aplicarse con la máquina en funcionamiento y está libre de CFC y HCFC. Presentación comercial aproximada de 400 ml a 500 ml.</t>
  </si>
  <si>
    <t>Aceite mineral premium no detergente, formulado para la lubricación y mantenimiento de máquinas de corte para cabello y mascotas. Ayuda a reducir la fricción y el calentamiento, prolonga la vida útil de cuchillas y cabezales y mejora el rendimiento del equipo. Compatible con la mayoría de componentes plásticos y metálicos. Presentación comercial aproximada de 100 ml a 120 ml.</t>
  </si>
  <si>
    <t>Kits De Disección Avanzados 33 Piezas De Acero Inoxidable. Instrumentos alemanes de acero inoxidable de grado quirúrgico.
Mango para bisturí N.° 3
Mango para bisturí N.° 4
Hoja de bisturí N.° 10
Hoja de bisturí N.° 11
Hoja de bisturí N.° 12
Hoja de bisturí N.° 15
Tijera recta de disección
Tijera curva de disección
Tijera fina para tejidos
Pinza anatómica recta
Pinza anatómica curva
Pinza con dientes recta
Pinza con dientes curva
Pinza hemostática recta
Pinza hemostática curva
Pinza mosquito recta
Pinza mosquito curva
Portaagujas Mayo-Hegar
Sonda acanalada
Sonda exploradora recta
Sonda exploradora curva
Aguja de disección recta
Aguja de disección curva
Espátula doble metálica
Separador pequeño tipo Farabeuf
Separador de tejidos doble extremo
Cánula o pipeta de disección
Pinza de sujeción para muestras
Gancho de disección simple
Gancho de disección doble
Regla metálica graduada
Estuche o funda organizadora con compartimentos
Caja surtida de hojas de bisturí de repuesto.</t>
  </si>
  <si>
    <t>TUBOS ENDOTRAQUEALES 
 #2.0</t>
  </si>
  <si>
    <t>TUBOS ENDOTRAQUEALES 
 #3.0</t>
  </si>
  <si>
    <t>TUBOS ENDOTRAQUEALES 
 #4.0</t>
  </si>
  <si>
    <t>TUBOS ENDOTRAQUEALES 
 #4.5</t>
  </si>
  <si>
    <t>TUBOS ENDOTRAQUEALES 
 #5.0</t>
  </si>
  <si>
    <t>TUBOS ENDOTRAQUEALES 
 # 6.0</t>
  </si>
  <si>
    <t>TUBOS ENDOTRAQUEALES 
 # 7.0</t>
  </si>
  <si>
    <t>TUBOS ENDOTRAQUEALES 
 # 8.0</t>
  </si>
  <si>
    <t>TUBOS ENDOTRAQUEALES 
 # 8.5</t>
  </si>
  <si>
    <t>TUBOS ENDOTRAQUEALES 
 # 9.0</t>
  </si>
  <si>
    <t>TUBOS ENDOTRAQUEALES 
 # 9.5</t>
  </si>
  <si>
    <t>TUBOS ENDOTRAQUEALES 
 # 10</t>
  </si>
  <si>
    <t>Paños de limpieza industriales en rollo x 7 unidades. Fabricados en material no tejido de alta resistencia, diseñados para reemplazar trapos, estopas y toallas de tela en labores de limpieza y mantenimiento. Ofrecen alta capacidad de absorción de líquidos, aceites y grasas, con baja liberación de pelusa, lo que los hace ideales para la limpieza de superficies, herramientas y equipos. Presentación en rollo de 7 paños, con dimensiones aproximadas de 42 x 28 cm por paño. Aptos para uso industrial, institucional y de mantenimiento general.</t>
  </si>
  <si>
    <t xml:space="preserve">Carbon Activado  8 gr ( Enterex) Se utiliza para tratar intoxicaciones y otros problemas estomacales. Caja X 10 sobres unidad x 8gr </t>
  </si>
  <si>
    <t>Caja</t>
  </si>
  <si>
    <t>Digluconato de clorhexidina 0.5 g en vehículo acuoso. FRASCO X 4 LITROS</t>
  </si>
  <si>
    <t>Frasco</t>
  </si>
  <si>
    <t>Peroxido de Hidrogeno, Desinfectante de uso externo que elimina las bacterias y hongos. Solución de Peróxido de Hidrógeno a 13½ volúmenes (4,0%).  GALÓN POR 3.5 LTS</t>
  </si>
  <si>
    <t>Alcohol Antiseptico  destruye microorganismos como bacterias, hongos y virus, al desnaturalizar sus proteínas y reducir la tensión superficial de su membrana celular. 3600 ml al 70% x Galon</t>
  </si>
  <si>
    <t>solución para limpieza de pisos, aromatizado con olor a canela concentrada. Galón x 5 litros</t>
  </si>
  <si>
    <t>hipoclorito de sodio en garrafa o cuñete de 20 litros es una solución industrial de alto poder desinfectante y blanqueador, con concentraciones comunes entre el 5%, 13% y 15%. Es ideal para desinfección de pisos, baños, superficies y tratamiento de agua. Galón x 20 litros</t>
  </si>
  <si>
    <t>Recolector cortopunzante rígido en polipropileno de alta densidad, resistentes a la ruptura y perforación de elementos cortopunzantes con tapa ajustable. Su diseño permite el descarte fácil de los varios tipos de agujas y de las hojas de elementos cortopunzantes como bisturís, consiste en un envase plástico de color rojo con tapa traslúcida, fabricado por proceso de inyección con polipropileno pigmentado y natural Presentación: Empaque individual. Unidad por 3 Lts</t>
  </si>
  <si>
    <t>Agua destilada, altamente purificada, casi (H2O) puro, obtenida mediante destilación para eliminar minerales, sales, impurezas y microorganismos. Se caracteriza por ser incolora, inodora, insípida, con un pH neutro (que baja approx 5,8 al contacto con el aire) y baja conductividad eléctrica, ideal para uso industrial, médico y doméstica. Galón x 20 litros</t>
  </si>
  <si>
    <t>Solución inyectable de uso terapéutico con vitaminas, electrolitos, aminoácidos y dextrosa. Principio activo: dextrosa, vitamina b1, b2, b3, b6, b12, pantenol, treonina, serina, prolina descripción: aminolyte es una solución de vitaminas, electrolitos, aminoácidos y dextrosa composición contenido dextrosa 5% tiamina clorhidrato 10 mg piridoxina clorhidrato 10 mg cianocobalamina 5 mcg riboflavina 4 mg d-pantenol 5 mg niacinamida 150 mg treonina 2.7 mg serina 3.6 mg ácido glutámico 12.8 mg prolina 6.4 mg glicina 1.2 mg alanina 2 mg valina 4.2 mg metionina 1.7 mg isoleucina 3.3 mg leucina 5.4 mg tirosina 0.9 mg fenilalanina 2.2 mg histidina 1.7 mg lisina 4.9 mg arginina 2.2 mg triptófano 0.7 mg acetato de sodio 250 mg cloruro de calcio 15 mg cloruro de potasio 20 mg sulfato de magnesio 20 mg glutamato monosódico 4 mg ácido aspártico 4.7 mg. FRASCO X 250 ml</t>
  </si>
  <si>
    <t xml:space="preserve">Fenbedazol 25% 25gr   Antiparasitario en suspensión oral de amplio espectro indicado en Bovinos, ovinos y caprinos para el tratamiento de: parásitos gastrointestinales y pulmonares como Haemonchus sp, Ostertagia sp, Cooperia sp, Nematodirus sp, Oesophagostomum sp, Strongyloides sp, Dictyocaulus sp, Trichostrongylus sp, y Moniezia sp, entre otros.
En porcinos para: Oesophagostomum sp, y Trichuris sp.
En equinos: grandes estróngilos: S. edentatus, S. equinus, S. vulgar; pequeños estróngilos: Cyathostomum sp, Cylococylus sp, Cylicostephanus sp, Triodontaphorus sp y Oxyuris equi., Neoascaris sp y Oxyurus sp.
Garrafa x 2000 ml 
En caninos para: Trichuris sp, Capillaria sp, y Ascaris sp.
  </t>
  </si>
  <si>
    <t xml:space="preserve">Imidacloprid 100 mg   Excipientes c.s 1 ml
Pipeta - Spot On 0.8ml para gatos. </t>
  </si>
  <si>
    <t>Pipeta</t>
  </si>
  <si>
    <t>COMPOSICIÓN: Cada 100 g contienen:
Alantoína 2 g
Sulfanilamida 6 g
Óxido de zinc 15 g
Subnitrato de Bismuto 1 g
Envase plástico X 100 gr</t>
  </si>
  <si>
    <t>Overol enterizo manga larga y seis bolsillos. Cierres en cremallera de Nylon de alta calidad, ajuste en cintura elástico para ajustar a diferentes siluetas. Con logo institucional Alcaldía Local de Ciudad Bolivar. Tela Dril Vulcano de 7 onzas. Bordado.</t>
  </si>
  <si>
    <t>Overol enterizo manga larga y seis bolsillos. Cierres en cremallera de Nylon de alta calidad, ajuste en cintura elástico para ajustar a diferentes siluetas. Con logo institucional Alcaldía Local de Ciudad Bolivar.Tela Dril Vulcano de 7 onzas. Bordado.</t>
  </si>
  <si>
    <t>OBJETO: “SUMINISTRAR A MONTO AGOTABLES LOS ELEMENTOS E INSUMOS NECESARIOS PARA LA EJECUCIÓN DE LOS PROGRAMAS Y PROYECTOS AMBIENTALES EN EL MARCO DEL PLAN DE DESARROLLO LOCAL DE CIUDAD BOLÍVAR ".</t>
  </si>
  <si>
    <t>OBJETO:  “SUMINISTRAR A MONTO AGOTABLES LOS ELEMENTOS E INSUMOS NECESARIOS PARA LA EJECUCIÓN DE LOS PROGRAMAS Y PROYECTOS AMBIENTALES EN EL MARCO DEL PLAN DE DESARROLLO LOCAL DE CIUDAD BOLÍVAR ".</t>
  </si>
  <si>
    <t>LISTA DE NECESIDADES</t>
  </si>
  <si>
    <t>Amonio cuaternario (cloruro de Benzalconio) Cloruro de Benzalconio: 15 g por cada 100 mL.
Frasco x 1000 ml</t>
  </si>
  <si>
    <t>Esparadrapo de tela. Usado como material auxiliar en procesos de curación y otros. Es un adhesivo para pieles normales, recomendado cuando se requiere una fijación segura de apósitos, vendajes, tubos, catéteres, sondas, cánulas y aparatos de medición. Composición Tela de viscosa, adhesivo: caucho natural, Poliisobutileno, Oxido de Zinc, Lanolina, resina, Colofonia, resinas Terpenofelonicas, Aceite Mineral, 2,2 Metilene-bis (6-tert-butyl-p-cresol), Propilendinitrilo-di-o-cresol, Acetato de Etilo, Isopropanol, Disolvente Alifático</t>
  </si>
  <si>
    <t xml:space="preserve">El equipo de venoclisis de macrogoteo es un dispositivo estéril utilizado para la administración intravenosa de grandes volúmenes de soluciones (hidratación, fármacos) a un flujo rápido. Se caracteriza por una cámara de goteo donde 1ml equivale a 20 gotas. Sus componentes incluyen punzón, cámara, rodillo regulador y puerto en Y., útil para infundir volúmenes de soluciones intravenosas (cristaloides/coloides) a flujos rápidos </t>
  </si>
  <si>
    <t>Son un elemento de protección para el personal de la salud, son una especie de fundas para aislar el calzado. Tiene un resorte ajustable que le permite adaptarse con facilidad, no genera incomodidad y hace más fácil su colocación.
Antideslizante Paq X 100 Unidades</t>
  </si>
  <si>
    <t xml:space="preserve">Galgocal Antiparasitario Interno para Perros y Gatos 200:  Composición Cada tableta contiene: Galgocal® 200 Galgocal Albendazol micronizado 200 mg 600 mg Praziquantel 30 mg 100 mg Excipientes c.s.p. 1 tableta 1 tableta Indicaciones Tratamiento y control del parasitismo producido por nematodos, cestodos, tenias y giardias. Dosificación y administración Por vía oral, en una sola dosis. Dosis básica: Albendazol, 30 mg/kg de peso. Praziquantel, 5 mg/kg de peso. En la práctica: Galgocal® 200: 1 Tableta por cada 6 kg de peso.1 Tableta por cada 20 kg de peso. En giardiasis a dosis de 25 mg/kg de albendazol, vía oral cada 12 horas durante 2 días consecutivos en perros y durante 5 días en gatos. Otras indicaciones. BLISTER por 2 tabletas caja x 10 </t>
  </si>
  <si>
    <t xml:space="preserve">Caja x 10 </t>
  </si>
  <si>
    <t xml:space="preserve">Galgocal Antiparasitario Interno para Perros y Gatos 600: Galgocal Antiparasitario Interno para Perros y Gatos  Galgocal® 600 Albendazol micronizado 200 mg 600 mg Praziquantel 30 mg 100 mg Excipientes c.s.p. 1 tableta 1 tableta Indicaciones Tratamiento y control del parasitismo producido por nematodos, cestodos, tenias y giardias. Dosificación y administración Por vía oral, en una sola dosis. Dosis básica: Albendazol, 30 mg/kg de peso. Praziquantel, 5 mg/kg de peso. En la práctica: Galgocal® 200: 1 Tableta por cada 6 kg de peso.  En giardiasis a dosis de 25 mg/kg de albendazol, vía oral cada 12 horas durante 2 días consecutivos en perros y durante 5 días en gatos. BLISTER por 2 tabletas caja x 10 </t>
  </si>
  <si>
    <t>Kit portátil que contiene insumos básicos para la atención primaria de emergencias en animales de compañía, incluye bolsa con cremallera para un almacenamiento conveniente.
Incluye artículos de primera necesidad para primeros auxilios básicos 
ESPECIFICACIONES TÉCNICAS
- Gasas estériles: Paquete x 10 unidades – Cantidad: 2 paquetes
- Vendas de gasa: Rollo – Cantidad: 4 unidades
- Venda elástica: Rollo – Cantidad: 2 unidades
- Esparadrapo: Rollo – Cantidad: 2 unidades
- Algodón: Bolsa o paquete – Cantidad: 1 unidad
- Solución salina: 500 ml – Cantidad: 2 unidades
- Clorhexidina: Solución – Cantidad: 1 unidad
- Tijeras punta roma: Acero inoxidable – Cantidad: 1 unidad
- Pinzas: Acero inoxidable – Cantidad: 1 unidad
- Termómetro digital: Uso veterinario – Cantidad: 1 unidad
- Jeringas: 5 ml y 10 ml – Cantidad: 5 unidades
- Guantes desechables: Caja – Cantidad: 1 unidad
- Bozal ajustable: Talla media – Cantidad: 1 unidad
- Manta o toalla: Tela – Cantidad: 1 unidad
- Carbón activado: Uso veterinario – Cantidad: 1 unidad
REQUISITOS GENERALES
Los insumos deben ser nuevos, de uso veterinario o aptos para primeros auxilios, seguros, de buena calidad y con fechas de vencimiento vigentes.</t>
  </si>
  <si>
    <t>Tierra negra abonada x m3</t>
  </si>
  <si>
    <t>Tipo: Escoba industrial para aseo institucional y mantenimiento de áreas interiores y exteriores.Base: Fabricada en polietileno de alta densidad.
Cerda sintetica rigida en PVC, resistente al desgaste, a la humedad y a productos de limpieza comunes.
Longitud aproximada de la base: Entre 40 y 50 cm.
Altura de las cerdas: Aproximadamente 8 a 10 cm.
Sistema de acople: Rosca o adaptador universal compatible con cabo de madera o metálico estándar.
Resistencia: Apta para uso continuo, resistente a la humedad, a la deformación y a la exposición moderada a la intemperie.
Color: generalmente verde o negro.
Con cabo estándar de madera o metálico mediante sistema de rosca o acople universal.</t>
  </si>
  <si>
    <t xml:space="preserve">MANGUERA DE AGUA DE 1/2"X 100 M JARDÍN. Fabricada en PVC de alta resistencia con tres capas donde el interior y exterior del plastico son de alta resistencia,capa intermedia con tejido de hilo de poliester que otorga mayor robustez. Presion maxima de trabajo de 200 PSI y temperatura maxima de 60 grados centrigrados.  </t>
  </si>
  <si>
    <t>Bombonera por 1 kg Alimento para perro que sirve como premio para perros de todas las edades y las razas son ideales. Estos snacks vienen en una presentación de gomas. Además, incluyen una tabla de dosis indicada según el peso y tamaño de la mascota.
INGREDIENTES: Almidón de maíz, carne de pollo, sorbitol, agua, harina de carne, arroz cristal, harina de pollo, aceite de pollo, salvado de trigo, hidrolizado de hígado de pollo, cloruro de sodio, óxido de zinc, sulfato ferroso, vitamina A, vitamina D3, vitamina E, vitamina B12, óxido de manganeso, tiamina, riboflavina, niacina, pantotenato de calcio, piridoxina, ácido fólico, sulfato de cobre, cloruro de colina, carbonato de calcio, yodato de calcio, cloruro de potasio, selenito de sodio, BHT, aceite de romero, ácido propiónico, tripolifosfato de sodio.
TABLA NUTRICIONAL: que contenga grasa cruda, fibra cruda, humedad, ceniza y proteina cruda.</t>
  </si>
  <si>
    <t>Bombonera por 1 kg Alimento para gato para felinos de todas las edades y las razas. Estos snacks vienen en una presentación de gomas con una textura rica, incluyen una tabla de dosis indicada según el peso y tamaño.
INGREDIENTES: Granos de arroz, Salvado de trigo, Harina de vísceras de pollo, Gluten de maíz, Grasa vegetal, Aceite de pollo, Hidrolizado de hígado de pollo, Probióticos (nulina), Extracto de tomate deshidratado, Espinaca deshidratada, Zanahoria deshidratada, Extracto de Yucca Schidigera, Almidón de maíz, Premix mineral y vitamínico (vitamina A, D3, E, B12, B6, Riboflavina “vitamina B12”, Ácido pantoténico, Niacina , Ácido fólico, Tiamina “vitamina B1”, Colina, Sulfato de manganeso, Oxido de cobre, Yodado de potasio, Selenio de sodio, Cloruro de zinc, Oxido de hierro), Cloruro de sodio (sal común), Adsorbentes de micotoxinas (Silica), (MOS) manano oligosacárido, emulsionantes (Aluminosilicato de calcio), Fosfato dicálcico, Taurina, Antioxidantes (BHT y Etoxiquin), Antifúngico (Sorbato de potasio).
TABLA NUTRICIONAL: que contenga grasa cruda, fibra cruda, humedad, ceniza y proteina cruda.</t>
  </si>
  <si>
    <t>VALOR UNITARIO CON IVA (19%) + CARGA TRIBUTARIA (7%) + (UTILIDAD 10%)</t>
  </si>
  <si>
    <t>VALOR UNITARIO IVA INCLUIDO
IVA INCLUIDO</t>
  </si>
  <si>
    <t>Esquejes certificadas</t>
  </si>
  <si>
    <t xml:space="preserve">Esquejes  certificadas </t>
  </si>
  <si>
    <t>PEPINO</t>
  </si>
  <si>
    <t>MY GARDEN
NIT: 901420523
INTERNET</t>
  </si>
  <si>
    <t>HOMECENTER - SODIMAC COLOMBIA S.A.
NIT: 800.242.106-2
INTERNET</t>
  </si>
  <si>
    <t>FERCOM
NIT:890.316.640-0
INTERNET</t>
  </si>
  <si>
    <t>VALOR UNITARIO CON IVA SI APLICA (19%) + CARGA TRIBUTARIA (7%) + (UTILIDAD 10%)</t>
  </si>
  <si>
    <t>Paca cascarilla de arroz prensada 40 kilos.</t>
  </si>
  <si>
    <t>Enmienda para corregir la acidez del suelo. Dado el alto porcentaje de calcio (CaO 36%) y magnesio (MgO 13%). Bulto x 25 kg.</t>
  </si>
  <si>
    <t>Humus líquido de lombriz californiana (Eisenia fetida), fertilizante orgánico líquido obtenido mediante procesos biológicos de vermicompostaje, apto para la nutrición y bioestimulación de cultivos. El producto deberá presentar un aspecto homogéneo, libre de sedimentos excesivos, impurezas y contaminantes, con composición que garantice el aporte de materia orgánica, microorganismos benéficos y nutrientes propios del humus líquido. Presentación en garrafa plástica de treinta (30) litros, debidamente sellada y rotulada, con identificación del fabricante, lote, fecha de elaboración y recomendaciones de uso. Deberá contar con registro de venta vigente expedido por el ICA, cuando aplique.</t>
  </si>
  <si>
    <t>Humus sólido de lombriz californiana (Eisenia fetida), obtenido mediante procesos controlados de vermicompostaje, apto para el mejoramiento físico, químico y biológico del suelo. Producto estabilizado, libre de semillas de malezas, patógenos, residuos inorgánicos y materiales extraños, con alto contenido de materia orgánica y microorganismos benéficos. Presentación en bulto de cuarenta (40) kilogramos, debidamente empacado, identificado y sellado para garantizar su conservación durante el almacenamiento y transporte. El producto deberá contar con registro de venta vigente expedido por el ICA, cuando la normatividad aplicable así lo exija.</t>
  </si>
  <si>
    <t>Fortificante y protector de plantas de origen ecológico, formulado a partir de extractos vegetales, compuestos orgánicos, fermentados naturales o sustancias de origen biológico, destinado a fortalecer los mecanismos naturales de defensa de las plantas y contribuir al manejo preventivo de enfermedades causadas por hongos. El producto deberá ser amigable con el medio ambiente, apto para uso agrícola y presentar como mínimo contenido de potasio y carbono orgánico o componentes equivalentes que favorezcan el desarrollo y resistencia de los cultivos. Presentación en envase de un (1) litro, debidamente sellado y rotulado, con instrucciones de uso y registro ICA vigente, cuando aplique.</t>
  </si>
  <si>
    <t>Fertilizante orgánico mineral líquido para aplicación al suelo, formulado a partir de fuentes orgánicas y minerales de alta disponibilidad, enriquecido con carbono orgánico, nitrógeno, fósforo y otros nutrientes esenciales para favorecer el desarrollo radicular, el crecimiento vegetativo y la recuperación de la fertilidad del suelo. El producto deberá ser compatible con programas de nutrición vegetal y con la aplicación conjunta de biofertilizantes, microorganismos benéficos y demás biopreparados compatibles.
Como mínimo deberá contener:
Nitrógeno total (N).
Fósforo asimilable (P₂O₅).
Carbono orgánico oxidable.
Fracción de nitrógeno de origen orgánico.
Sustancias húmicas, fúlvicas o compuestos orgánicos bioactivos que favorezcan la actividad microbiológica del suelo.
El producto deberá contribuir al mejoramiento de las propiedades físicas, químicas y biológicas del suelo, incrementando la retención de humedad, la disponibilidad de nutrientes y la actividad microbiológica.
Presentación en envase de un (1) litro, debidamente sellado, rotulado y con registro ICA vigente.</t>
  </si>
  <si>
    <t>Fertilizante líquido para aplicación agrícola, formulado a base de calcio de alta disponibilidad, enriquecido con potasio, magnesio y boro, destinado a mejorar la nutrición de los cultivos, favorecer la división celular, el desarrollo radicular, la floración, el cuajado y la calidad de frutos. El producto deberá contribuir a la corrección de deficiencias nutricionales y al fortalecimiento fisiológico de las plantas. Como mínimo deberá contener calcio (Ca), potasio (K), magnesio (Mg) y boro (B), además de agentes complejantes o componentes que favorezcan la absorción de los nutrientes, o una composición equivalente que garantice un desempeño agronómico igual o superior. Presentación en envase de un (1) litro, debidamente sellado, rotulado e identificado. El producto deberá contar con registro de venta vigente expedido por el ICA, cuando la normatividad aplicable así lo exija.</t>
  </si>
  <si>
    <r>
      <t xml:space="preserve">Fertilizante líquido de alta eficiencia para aplicación foliar y al suelo, formulado a partir de zinc de alta disponibilidad, enriquecido con agentes complejantes y bioactivadores de origen orgánico que favorezcan la absorción, translocación y aprovechamiento de los nutrientes. El producto deberá contribuir al equilibrio nutricional de las plantas, estimular la actividad enzimática, mejorar la respuesta fisiológica frente a condiciones de estrés biótico y abiótico, favorecer el crecimiento vegetativo, el desarrollo radicular, la floración, el cuajado y el rendimiento de los cultivos. Como mínimo deberá contener zinc (Zn) soluble en agua y agentes complejantes o compuestos bioactivos que incrementen la disponibilidad del micronutriente, tales como aminoácidos, ácidos orgánicos, ácidos carboxílicos, extractos vegetales, complejantes orgánicos o tecnologías equivalentes que garanticen un desempeño agronómico igual o superior. Como referencia técnica podrá presentar una concentración aproximada de zinc (Zn) soluble en agua de </t>
    </r>
    <r>
      <rPr>
        <b/>
        <sz val="11"/>
        <color theme="1"/>
        <rFont val="Calibri"/>
        <family val="2"/>
        <scheme val="minor"/>
      </rPr>
      <t>32 g/L</t>
    </r>
    <r>
      <rPr>
        <sz val="11"/>
        <color theme="1"/>
        <rFont val="Calibri"/>
        <family val="2"/>
        <scheme val="minor"/>
      </rPr>
      <t xml:space="preserve"> o concentración equivalente. Presentación en envase de un (1) litro, debidamente sellado, rotulado e identificado. El producto deberá contar con registro de venta vigente expedido por el ICA, cuando la normatividad aplicable así lo exija.</t>
    </r>
  </si>
  <si>
    <t>Insecticida organico. es un producto a base en los extractos de ají y ajo, posee gran cantidad de componentes como,compuestos azufrados derivados del ajo, limoneno, capsaicina, ácido nicotínico y carotenoides.el rango de su efecto protector va desde repelencia, disuasión de la alimentación y oviposición, hasta toxicidad aguda e interferencia con el crecimiento y desarrollo de los insectos plaga.</t>
  </si>
  <si>
    <t>Bandeja de plantulación fabricada en plástico, con 50 cavidades para producción de plántulas. 
Dimensiones aproximadas de la base de cada cavidad: 2,5 × 2,5 cm. Con perforaciones inferiores para drenaje y adecuada aireación radicular. Material reutilizable y apto para actividades de vivero.</t>
  </si>
  <si>
    <t>Bandeja de plantulación fabricada en plástico, reutilizable, con 72 cavidades para la producción de plántulas. Dimensiones aproximadas de cada cavidad: 3,8 × 3,8 cm. Con perforaciones inferiores para drenaje y adecuada aireación radicular. Material resistente a la humedad y al uso continuo en vivero.</t>
  </si>
  <si>
    <t>Bandeja de plantulación elaborada en plástico rígido de alta resistencia, reutilizable, con 128 cavidades para la producción de plántulas. Dimensiones aproximadas de cada cavidad: 2,5 × 2,5 cm. Con perforaciones inferiores para drenaje y adecuada aireación radicular.  Material resistente a la humedad y al uso continuo en actividades de vivero.</t>
  </si>
  <si>
    <t>Bandeja de plantulación elaborada en plástico rígido de alta resistencia, reutilizable, con 200 cavidades para la producción de plántulas. Dimensiones aproximadas de cada cavidad: ~1.9 × 1.9 cm. Con perforaciones inferiores para drenaje y adecuada aireación radicular.  Material resistente a la humedad y al uso continuo en actividades de vivero.</t>
  </si>
  <si>
    <r>
      <t>Fungicida botánico de origen vegetal para uso agrícola, formulado a partir de hidrolato o extracto de cola de caballo (</t>
    </r>
    <r>
      <rPr>
        <i/>
        <sz val="11"/>
        <color theme="1"/>
        <rFont val="Calibri"/>
        <family val="2"/>
        <scheme val="minor"/>
      </rPr>
      <t>Equisetum bogotense</t>
    </r>
    <r>
      <rPr>
        <sz val="11"/>
        <color theme="1"/>
        <rFont val="Calibri"/>
        <family val="2"/>
        <scheme val="minor"/>
      </rPr>
      <t xml:space="preserve">, </t>
    </r>
    <r>
      <rPr>
        <i/>
        <sz val="11"/>
        <color theme="1"/>
        <rFont val="Calibri"/>
        <family val="2"/>
        <scheme val="minor"/>
      </rPr>
      <t>Equisetum arvense</t>
    </r>
    <r>
      <rPr>
        <sz val="11"/>
        <color theme="1"/>
        <rFont val="Calibri"/>
        <family val="2"/>
        <scheme val="minor"/>
      </rPr>
      <t xml:space="preserve"> o especies equivalentes), destinado al manejo preventivo y complementario de enfermedades causadas por hongos en cultivos de frutales, hortalizas, solanáceas y demás especies agrícolas. El producto deberá contribuir al fortalecimiento de los tejidos vegetales y al mejoramiento de la respuesta fisiológica de las plantas frente al ataque de patógenos. Como mínimo deberá contener hidrolato o extracto vegetal de cola de caballo y metabolitos bioactivos característicos de la especie, tales como sílice soluble, flavonoides, compuestos fenólicos, saponinas, cumarinas u otros compuestos equivalentes que garanticen un desempeño agronómico igual o superior. Presentación en envase de un (1) litro, debidamente sellado, rotulado e identificado. El producto deberá contar con registro de venta vigente expedido por el ICA, cuando la normatividad aplicable así lo exija.</t>
    </r>
  </si>
  <si>
    <t>Microorganismos eficientes (EM) de uso agrícola, formulados como un consorcio de microorganismos benéficos para aplicación al suelo, residuos orgánicos, compostaje y sistemas de producción agrícola. El producto deberá contribuir al mejoramiento de la actividad microbiológica del suelo, favorecer la descomposición de la materia orgánica, promover la disponibilidad de nutrientes y apoyar el desarrollo y crecimiento de los cultivos. Como mínimo deberá contener un consorcio de microorganismos benéficos, tales como bacterias ácido-lácticas, levaduras, bacterias fotosintéticas, actinomicetos, hongos benéficos u otros microorganismos equivalentes que garanticen un desempeño agronómico igual o superior. Presentación en envase de un (1) litro, debidamente sellado, rotulado e identificado. El producto deberá contar con registro de venta vigente expedido por el ICA, cuando la normatividad aplicable así lo exija.</t>
  </si>
  <si>
    <r>
      <t xml:space="preserve">Bioestimulante orgánico de uso agrícola, formulado a partir de microorganismos benéficos para aplicación al suelo o vía foliar, destinado a estimular el crecimiento y desarrollo de los cultivos, mejorar la actividad biológica del suelo, favorecer el desarrollo radicular, optimizar la disponibilidad de nutrientes y contribuir al equilibrio microbiológico del sistema productivo. El producto deberá contener un consorcio de microorganismos promotores del crecimiento vegetal, tales como bacterias fijadoras de nitrógeno, bacterias promotoras del crecimiento, actinomicetos u otros microorganismos benéficos equivalentes que garanticen un desempeño agronómico igual o superior. Podrá contener microorganismos de los géneros </t>
    </r>
    <r>
      <rPr>
        <i/>
        <sz val="11"/>
        <color theme="1"/>
        <rFont val="Calibri"/>
        <family val="2"/>
        <scheme val="minor"/>
      </rPr>
      <t>Azospirillum</t>
    </r>
    <r>
      <rPr>
        <sz val="11"/>
        <color theme="1"/>
        <rFont val="Calibri"/>
        <family val="2"/>
        <scheme val="minor"/>
      </rPr>
      <t xml:space="preserve">, </t>
    </r>
    <r>
      <rPr>
        <i/>
        <sz val="11"/>
        <color theme="1"/>
        <rFont val="Calibri"/>
        <family val="2"/>
        <scheme val="minor"/>
      </rPr>
      <t>Azotobacter</t>
    </r>
    <r>
      <rPr>
        <sz val="11"/>
        <color theme="1"/>
        <rFont val="Calibri"/>
        <family val="2"/>
        <scheme val="minor"/>
      </rPr>
      <t xml:space="preserve"> o equivalentes, sin que ello constituya un requisito excluyente. Presentación en envase de un (1) litro, debidamente sellado, rotulado e identificado. El producto deberá contar con registro de venta vigente expedido por el ICA, cuando la normatividad aplicable así lo exija.</t>
    </r>
  </si>
  <si>
    <r>
      <t xml:space="preserve">Fertilizante simple líquido de alta eficiencia para aplicación al suelo, formulado a base de nitrógeno de alta disponibilidad, enriquecido con azufre y micronutrientes esenciales, destinado a mejorar la nutrición vegetal, favorecer el crecimiento y desarrollo de los cultivos y optimizar el aprovechamiento de los nutrientes. El producto deberá ser compatible con programas de fertilización biológica y podrá utilizarse en mezcla con biofertilizantes, microorganismos benéficos y demás biopreparados compatibles. Como mínimo deberá contener nitrógeno (N) como nutriente principal, complementado con azufre (S) y micronutrientes tales como boro (B), cobre (Cu), hierro (Fe) y manganeso (Mn), o una composición equivalente que garantice un desempeño agronómico igual o superior. Como referencia técnica podrá presentar una formulación aproximada de nitrógeno total (N) </t>
    </r>
    <r>
      <rPr>
        <b/>
        <sz val="11"/>
        <color theme="1"/>
        <rFont val="Calibri"/>
        <family val="2"/>
        <scheme val="minor"/>
      </rPr>
      <t>58 g/L</t>
    </r>
    <r>
      <rPr>
        <sz val="11"/>
        <color theme="1"/>
        <rFont val="Calibri"/>
        <family val="2"/>
        <scheme val="minor"/>
      </rPr>
      <t xml:space="preserve">, nitrógeno ureico (N) </t>
    </r>
    <r>
      <rPr>
        <b/>
        <sz val="11"/>
        <color theme="1"/>
        <rFont val="Calibri"/>
        <family val="2"/>
        <scheme val="minor"/>
      </rPr>
      <t>58 g/L</t>
    </r>
    <r>
      <rPr>
        <sz val="11"/>
        <color theme="1"/>
        <rFont val="Calibri"/>
        <family val="2"/>
        <scheme val="minor"/>
      </rPr>
      <t xml:space="preserve">, azufre total (S) </t>
    </r>
    <r>
      <rPr>
        <b/>
        <sz val="11"/>
        <color theme="1"/>
        <rFont val="Calibri"/>
        <family val="2"/>
        <scheme val="minor"/>
      </rPr>
      <t>0,48 g/L</t>
    </r>
    <r>
      <rPr>
        <sz val="11"/>
        <color theme="1"/>
        <rFont val="Calibri"/>
        <family val="2"/>
        <scheme val="minor"/>
      </rPr>
      <t xml:space="preserve">, boro (B) </t>
    </r>
    <r>
      <rPr>
        <b/>
        <sz val="11"/>
        <color theme="1"/>
        <rFont val="Calibri"/>
        <family val="2"/>
        <scheme val="minor"/>
      </rPr>
      <t>0,21 g/L</t>
    </r>
    <r>
      <rPr>
        <sz val="11"/>
        <color theme="1"/>
        <rFont val="Calibri"/>
        <family val="2"/>
        <scheme val="minor"/>
      </rPr>
      <t xml:space="preserve">, cobre (Cu) </t>
    </r>
    <r>
      <rPr>
        <b/>
        <sz val="11"/>
        <color theme="1"/>
        <rFont val="Calibri"/>
        <family val="2"/>
        <scheme val="minor"/>
      </rPr>
      <t>0,23 g/L</t>
    </r>
    <r>
      <rPr>
        <sz val="11"/>
        <color theme="1"/>
        <rFont val="Calibri"/>
        <family val="2"/>
        <scheme val="minor"/>
      </rPr>
      <t xml:space="preserve">, hierro (Fe) </t>
    </r>
    <r>
      <rPr>
        <b/>
        <sz val="11"/>
        <color theme="1"/>
        <rFont val="Calibri"/>
        <family val="2"/>
        <scheme val="minor"/>
      </rPr>
      <t>0,48 g/L</t>
    </r>
    <r>
      <rPr>
        <sz val="11"/>
        <color theme="1"/>
        <rFont val="Calibri"/>
        <family val="2"/>
        <scheme val="minor"/>
      </rPr>
      <t xml:space="preserve"> y manganeso (Mn) </t>
    </r>
    <r>
      <rPr>
        <b/>
        <sz val="11"/>
        <color theme="1"/>
        <rFont val="Calibri"/>
        <family val="2"/>
        <scheme val="minor"/>
      </rPr>
      <t>0,11 g/L</t>
    </r>
    <r>
      <rPr>
        <sz val="11"/>
        <color theme="1"/>
        <rFont val="Calibri"/>
        <family val="2"/>
        <scheme val="minor"/>
      </rPr>
      <t>, o composición equivalente. Presentación en envase de un (1) litro, debidamente sellado, rotulado e identificado. El producto deberá contar con registro de venta vigente expedido por el ICA, cuando la normatividad aplicable así lo exija.</t>
    </r>
  </si>
  <si>
    <t>Bolsa para Vivero 15x20cm 100 Unidades</t>
  </si>
  <si>
    <t>Paquete x 2 gr</t>
  </si>
  <si>
    <t>BULTO X 10 KG</t>
  </si>
  <si>
    <t>Semilla  Sobre  X 100 Gramos. Debe incluir lote y fecha de vencimiento.</t>
  </si>
  <si>
    <t>Semilla Sobre X 1 gramo. Debe incluir lote y fecha de vencimiento.</t>
  </si>
  <si>
    <t>Semilla Sobre X  1 gramo Debe incluir lote y fecha de vencimiento.</t>
  </si>
  <si>
    <t>Semilla Sobre  X 1 gramo. Debe incluir lote y fecha de vencimiento.</t>
  </si>
  <si>
    <t>Semillas certificadas de cilantro patimorado (coriandrum sativum) presentación por  sobre 100 Gr. Debe incluir lote y fecha de vencimiento.</t>
  </si>
  <si>
    <t>Semilla Sobre X 100 Gramos. Debe incluir lote y fecha de vencimiento.</t>
  </si>
  <si>
    <t>Semilla  sobre 1 gramos. Debe incluir lote y fecha de vencimiento.</t>
  </si>
  <si>
    <t>Semilla  sobre 2 gramos. Debe incluir lote y fecha de vencimiento.</t>
  </si>
  <si>
    <t>Semilla Sobre 10 Gramos. Debe incluir lote y fecha de vencimiento.</t>
  </si>
  <si>
    <t>Semilla Sobre X 0,1 Gramos. Debe incluir lote y fecha de vencimiento.</t>
  </si>
  <si>
    <t>Semilla Sobre X 1 Gramos. Debe incluir lote y fecha de vencimiento.</t>
  </si>
  <si>
    <t>Semilla Paquete X 0,8 Gr. Debe incluir lote y fecha de vencimiento.</t>
  </si>
  <si>
    <t>Semilla Sobre X 3 Gramos. Debe incluir lote y fecha de vencimiento.</t>
  </si>
  <si>
    <t>Semilla Sobre X 10 Gramos. Debe incluir lote y fecha de vencimiento.</t>
  </si>
  <si>
    <t>Semilla Sobre X 0,3 Gramo. Debe incluir lote y fecha de vencimiento.</t>
  </si>
  <si>
    <t>Semilla Sobre X 0.3 Gramos. Debe incluir lote y fecha de vencimiento.</t>
  </si>
  <si>
    <t>Semilla Sobre 0.1 Gramos. Debe incluir lote y fecha de vencimiento.</t>
  </si>
  <si>
    <t>Semilla Libra. Debe incluir lote y fecha de vencimiento.</t>
  </si>
  <si>
    <t>Semilla Sobre X 2 Gramos. Debe incluir lote y fecha de vencimiento.</t>
  </si>
  <si>
    <t>Semilla  sobre 65 gramos. Debe incluir lote y fecha de vencimiento.</t>
  </si>
  <si>
    <t>Semilla Sobre X 5 Gramos. Debe incluir lote y fecha de vencimiento.</t>
  </si>
  <si>
    <t>Semilla Sobre X 1 Gramos.Debe incluir lote y fecha de vencimiento.</t>
  </si>
  <si>
    <t>Semilla Sobre X 0,3 Gramos. Debe incluir lote y fecha de vencimiento.</t>
  </si>
  <si>
    <t>Semilla sobre X 5 gramos. Debe incluir lote y fecha de vencimiento.</t>
  </si>
  <si>
    <t>Semilla avena forrajera "Nacional" Bulto x 20kg. Debe incluir lote y fecha de vencimiento.</t>
  </si>
  <si>
    <t>Semilla Sobre  X 1 Gramo. Debe incluir lote y fecha de vencimiento.</t>
  </si>
  <si>
    <t>SEMILLA (Solanum muricatum)Debe incluir lote y fecha de vencimiento.</t>
  </si>
  <si>
    <t>Semillas de calabacin grey zucchini sobre 5gr. Debe incluir lote y fecha de vencimiento.</t>
  </si>
  <si>
    <t>Semillas de Rugula. Debe incluir lote y fecha de vencimiento.</t>
  </si>
  <si>
    <r>
      <t xml:space="preserve">La semilla de papa nativa andina corresponde a variedades criollas del grupo </t>
    </r>
    <r>
      <rPr>
        <b/>
        <i/>
        <sz val="12"/>
        <color theme="1"/>
        <rFont val="Garamond"/>
        <family val="1"/>
      </rPr>
      <t>Phureja</t>
    </r>
    <r>
      <rPr>
        <b/>
        <sz val="12"/>
        <color theme="1"/>
        <rFont val="Garamond"/>
        <family val="1"/>
      </rPr>
      <t>, adaptadas a altitudes entre 2.000 y 3.200 msnm, con alto valor nutricional, rusticidad y diversidad morfológica.</t>
    </r>
    <r>
      <rPr>
        <sz val="12"/>
        <rFont val="Garamond"/>
        <family val="1"/>
      </rPr>
      <t xml:space="preserve"> Debe incluir lote y fecha de vencimiento.</t>
    </r>
  </si>
  <si>
    <t>ZANAHORIA DANVERS 126 sobre  4 gramos. Debe incluir lote y fecha de vencimiento.</t>
  </si>
  <si>
    <t>Fertilizante compuesto NPK altamente soluble en agua, apto para aplicación mediante sistemas de riego por goteo y fertirriego. Formulado con nitrógeno (N), fósforo (P) y potasio (K), enriquecido con elementos menores esenciales como magnesio (Mg), azufre (S), boro (B), cobalto (Co), cobre (Cu), hierro (Fe), manganeso (Mn), molibdeno (Mo) y zinc (Zn).
Bulto por 25 kg.</t>
  </si>
  <si>
    <t>FERTILIZANTE COMPUESTO NPK ALTAMENTE SOLUBLE PARA FERTIRRIEGO Y RIEGO POR GOTEO</t>
  </si>
  <si>
    <t>Semilla de Pisum sativum. La Arveja es una planta, anual de 50 cm a 2 Mts de altura, trepadora, frutos en legumbre,  necesita suelos profundos, con buen drenaje. Las plantas crecen sujetándose mediante zarcillos, hay que utilizar tutoraje,  los riegos  son  regularmente a la base del tallo. Realizar fertilizaciones frecuentes durante el ciclo del cultivo. La propagación es por semilla y se siembra directamente al suelo.
Presentación 1 kg. Debe incluir lote y fecha de vencimiento. Deberá contar con registro y certificación vigente expedidos por el ICA.</t>
  </si>
  <si>
    <t>Semilla de mora de castilla: es una planta de climas templados y fríos. Su temperatura está entre los 15 º y 22 ºC, Humedad relativa entre75 – 90% alto brillo solar y precipitaciones entre 1.500 y 2.500 mm. Al año bien distribuidas.  Debe incluir lote y fecha de vencimiento. Deberá contar con registro y certificación vigente expedidos por el ICA.
Presentación: Bolsa x 100 gramos</t>
  </si>
  <si>
    <t>SEMILLA MAÍZ PORVA SIMIJACA: Altura sobre el nivel del mar: 2.200 a 2.800 m
Semilla necesaria por Hectárea:  30 Kilogramos
Distancia surcos: 90 – 100
Cosecha: 180 a 210 Chócolo y 270 en seco
Presentación: Bolsa x 1 Kg. Debe incluir lote y fecha de vencimiento. Deberá contar con registro y certificación vigente expedidos por el ICA.</t>
  </si>
  <si>
    <t>Semilla pepino Poinsett. Es una planta medianamente tolerante a la salinidad, de estructura suelta, bien drenado y con suficiente materia orgánica. El pH óptimo oscila entre 5,5 y 7.
Presentación: Bolsa x 100 gramos Debe incluir lote y fecha de vencimiento. Deberá contar con registro y certificación vigente expedidos por el ICA.</t>
  </si>
  <si>
    <t xml:space="preserve">Rollo de polisombra color negro con 70 % de sombreamiento, tratamiento anti-UV, dimensiones de 100 m de largo por 4,0 m de ancho, fabricada en polietileno de alta densidad (HDPE) o material equivalente, resistente a la intemperie y apta para uso en viveros, invernaderos, cultivos, jardines y demás áreas que requieran control de la radiación solar.
 </t>
  </si>
  <si>
    <t>Biofertilizante líquido</t>
  </si>
  <si>
    <t>BIOINSUMO AGRÍCOLA A BASE DE HONGOS ENTOMOPATÓGENOS Y BACTERIAS BENÉFICAS</t>
  </si>
  <si>
    <t>BIOINSUMO AGRÍCOLA MICROBIOLÓGICO ANTAGONISTA DE HONGOS FITOPATÓGENOS Y NEMATICIDA EN POLVO MOJABLE (WP)</t>
  </si>
  <si>
    <t>BIOINSUMO MICROBIOLÓGICO NEMATICIDA EN POLVO MOJABLE (WP).</t>
  </si>
  <si>
    <t>BIOINSUMO DE USO AGRICOLA AGENTE MICROBIANO ENTOMOPATOGENO. PRODUCTO ELABORADO A BASE DE LA MEZCLA DE LOS HONGOS BEAUVERIA BASSIANA, METARHIZIUM ANISOPLIAE, LECANICILLIUM LECANII Y LA BACTERIA BACILLUS THURINGIENSIS, IDEALES PARA EL CONTROL DE INSECTOS PLAGA EN DIFERENTES CULTIVOS. LOS HONGOS BEAUVERIA BASSIANA, METARHIZIUM ANISOPLIAE Y LECANICILLIUM LECANII ATACAN DIVERSOS GRUPOS DE INSECTOS QUE SON PLAGAS EN CULTIVOS. INGREDIENTE ACTIVO: BEAUVERIA BASSIANA 4X10 8 UFC/G, METARHIZIUM ANISOPLIAE 4X10 8 UFC/G, LECANICILLIUM LECANII 1X10 8 UFC/G, BACILLUS THURINGIENSIS 1X10 8 UFC /G CONTENIDO TOTAL 1X10 9 UFC /G
Presentación: Bolsa x 500 gramos. El producto deberá contar con registro vigente ante el ICA</t>
  </si>
  <si>
    <t>AGENTE MICROBIAL ANTAGONISTA DE HONGOS FITOPATOGENOS  Y NEMATICIDA DE USO AGRICOLA. PRODUCTO A BASE DE LA MEZCLA DE LOS HONGOS TRICHODERMA SP. Y PAECILOMYCES SP., IDEALES PARA EL CONTROL DE HONGOS Y NEMATODOS FITOPARÁSITOS. INGREDIENTE ACTIVO: TRICHODERMA ASPERELLUM , TRICHODERMA ATROVIRIDAE ,TRICHODERMA HARZIANUM 5X10 8 CONIDIAS/G PAECILOMYCES LILACINUS 5X10 8 CONIDIAS/G CONTENIDO TOTAL 1X10 9 CONIDIAS /G
Presentación: Bolsa x 500 gramos. El producto deberá contar con registro vigente ante el ICA</t>
  </si>
  <si>
    <t>ES UN PRODUCTO CON BASE EN TAZAS (CEPAS) DEL HONGO PURPUREOCILLIUM LILACINUM PROVENIENTES DE LA COLECCIÓN PROPIEDAD DE NATURAL CONTROL S.A SELECCIONADAS DURANTE 50 AÑOS, ESPECIALIZADAS EN CONTROL DE NEMATODOS, ÁCAROS E INSECTOS. INGREDIENTE ACTIVO: CONIDIAS DEL HONGO PURPUREOCILLIUM LILACINUM.  CONCENTRACION: 1X108 ESPORAS/GRAMOS. El producto deberá contar con registro vigente ante el ICA</t>
  </si>
  <si>
    <t>FUNGICIDA BOTÁNICO LÍQUIDO A BASE DE EXTRACTOS VEGETALES</t>
  </si>
  <si>
    <t>FUNGICIDA MINERAL A BASE DE POLISULFURO DE CALCIO (200 g/L)</t>
  </si>
  <si>
    <t>FERTILIZANTE POTÁSICO LÍQUIDO (325 g/L DE K₂O)</t>
  </si>
  <si>
    <t>BIOESTIMULANTE LÍQUIDO A BASE DE EXTRACTOS VEGETALES Y MICROELEMENTOS</t>
  </si>
  <si>
    <t>FERTILIZANTE LÍQUIDO A BASE DE CALCIO Y BORO</t>
  </si>
  <si>
    <t>BIOINSUMO AGRÍCOLA A BASE DE MICROORGANISMOS BENÉFICOS EN POLVO MOJABLE (WP)</t>
  </si>
  <si>
    <t>ACARICIDA BOTÁNICO LÍQUIDO A BASE DE AJO Y AJÍ</t>
  </si>
  <si>
    <t>FERTILIZANTE LÍQUIDO DE ALTA CONCENTRACIÓN DE POTASIO CON CALCIO, AZUFRE Y BORO</t>
  </si>
  <si>
    <t>ACONDICIONADOR ORGÁNICO DE SUELOS A BASE DE SUSTANCIAS HÚMICAS</t>
  </si>
  <si>
    <t>FUNGICIDA BOTANICODE AMPLIO ESPECTRO, OBTENIDO A PARTIR DE EXTRACTOS VEGETALES HOMOGENIZADOS EN UNA BASE OLEOSA ORGÁNICA QUE SE MEZCLA FÁCIL CON EL AGUA. ES COMPLETAMENTE ORGÁNICO, RÁPIDAMENTE BIODEGRADABLE E INOCUO PARA EL HOMBRE Y EL MEDIO AMBIENTE, DESARROLLADO PARA PROTEGER DE ALGUNAS ENFERMEDADES A FLORES, FRUTALES, HORTALIZAS, ALGODÓN Y PLANTAS ORNAMENTALES. ACTÚA COMO ENDOELICITOR Y EXOELICITOR POR LOS METABOLITOS PRESENTES EN LOS EXTRACTOS. INGREDIENTE ACTIVO: CARVACOL + TIMOL + CITRAL EXTRACTO VEGETAL 90% SL.  El producto deberá contar con registro vigente ante el ICA</t>
  </si>
  <si>
    <t>FERTILIZANTE POTÁSICO ALTAMENTE ASIMILABLE, DESARROLLADO PARA CORREGIR O PREVENIR LOS PROBLEMAS CAUSADOS POR ESTADOS CARENCIALES DE POTASIO. SU USO EN LOS CICLOS FINALES DEL CULTIVO AUMENTA LA CALIDAD DE LAS COSECHAS AL MEJORAR LA CONSISTENCIA DE LA PIEL, LA MADURACIÓN DE LOS FRUTOS E INCREMENTARSE LOS NIVELES DE AZÚCARES. LAS APLICACIONES DE TRICHO-K MEJORAN LA CALIDAD Y EL RENDIMIENTO DE LA COSECHA.  COMPOSICION: POTASIO SOLUBLE EN AGUA (K2O) 325,0 G/L  El producto deberá contar con registro vigente ante el ICA</t>
  </si>
  <si>
    <t>PRODUCTO LÍQUIDO FORMULADO A BASE DE EXTRACTOS VEGETALES (ASCOPHYLLUM NODOSUM, ETC…) RICOS EN PROTEÍNAS ESPECIFICAS, AMINOÁCIDOS, AUXINAS, CITOQUININAS, VITAMINAS, ÁCIDOS ORGÁNICOS, OLIGOELEMENTOS FITOQUELATADOS Y OTROS COMPONENTES BIOLÓGICAMENTE ACTIVOS, ASÍ COMO FERMENTOS DE MICROORGANISMOS BENEFICIOSOS. POR SU COMPOSICIÓN NATURAL Y EQUILIBRADA PUEDE SER UTILIZADO DURANTE TODO EL CICLO VITAL DE LOS VEGETALES CULTIVADOS, YA SEA POR VÍA FOLIAR COMO RADICULAR. COMPOSICION: HIERRO SOLUBLE EN AGUA (FE)* 6,5 G/L, MANGANESO SOLUBLE EN AGUA (MN) 7,0 G/L, ZINC SOLUBLE EN AGUA (ZN)* 7,0 G/L, MOLIBDENO SOLUBLE EN AGUA (MO) 5,0 G/L.  El producto deberá contar con registro vigente ante el ICA</t>
  </si>
  <si>
    <t>AGENTE  MICROBIAL  CON ACTIVIDAD FUNGICIDA E INSECTICIDA. MEZCLA MICROBIANA DE 5 GÉNEROS DE MICROORGANISMOS, BEAUVERIA BASSIANA, METARHIZIUM ANISOPLIAE, PAECILOMYCES LILACINUS, TRICHODERMA (ESPECIES HARZIANUM Y KONINGII) Y SACCHAROMYCES CEREVISIAE, QUE ACTÚAN EN EL CONTROL PREVENTIVO DE POBLACIONES DE INSECTOS PLAGAS, PATÓGENOS DEL SUELO Y NEMATODOS EN CULTIVOS, PROMUEVE LA ESCARIFICACIÓN DE SEMILLAS Y EL DESARROLLO RADICULAR. Debe incluir lote y fecha de vencimiento.  El producto deberá contar con registro vigente ante el ICA</t>
  </si>
  <si>
    <t>ACARICIDA  LÍQUIDO EMULSIONADO DE EXTRACTO CONCENTRADO DE AJO Y AJÍ COMBINADO CON PARAFINA Y OTROS ACEITES. COMPOSICION: ALISINA + CAPSICINA  EXTRACTO VEGETAL  0,07 + 0,03  G/L SL..  El producto deberá contar con registro vigente ante el ICA</t>
  </si>
  <si>
    <t>FERTILIZANTE DE ALTA CONCENTRACIÓN EN POTASIO SOLUBLE COMPLEMENTADA CON CALCIO, AZUFRE Y MICRONUTRIENTES COMO BORO, COMPLEJADO CON MONOETANOLAMINA, (EDTA, ÁCIDO CÍTRICO Y ACIDO GLUTÁMICO) CON EL FIN DE MEJORAR SU ESTABILIDAD Y ADSORCIÓN.  El producto deberá contar con registro vigente ante el ICA</t>
  </si>
  <si>
    <t xml:space="preserve">Acondicionador orgánico de suelos
Concentrado soluble
Componentes: N-K2O-Extracto húmico total-A. húmicos-A.
fúlvicos-Carbono orgánico
Concentración: 7-38-100-63-37-48 gr/litro
Toxicidad: DL5O no determinada.  El producto deberá contar con registro vigente ante el ICA
</t>
  </si>
  <si>
    <t>Kit de jardinería compuesto por tres (3) herramientas básicas para labores de siembra, mantenimiento y jardinería: una (1) pala de jardín, un (1) rastrillo manual y un (1) trasplantador.
Las herramientas deberán estar fabricadas en hierro resistente, con mangos de madera de diseño ergonómico que faciliten su agarre y manipulación.
Dimensiones mínimas de las herramientas:
* Una (1) pala de jardín: 25,5 cm de largo x 7 cm de ancho.
* Un (1) rastrillo manual: 25,5 cm de largo x 8 cm de ancho, con tres dientes.
* Una (1) paleta o trasplantador: 25,5 cm de largo x 5 cm de ancho.
El kit deberá ser resistente, reutilizable, de fácil limpieza y apto para actividades de jardinería, huertas urbanas y procesos pedagógicos relacionados con el manejo y cuidado de plantas. con acabado antocorrocibo.</t>
  </si>
  <si>
    <t>UNGICIDA MINERAL TIPO CALDO BORDELÉS</t>
  </si>
  <si>
    <t>MOLUSQUICIDA Y REPELENTE DE ORIGEN VEGETAL</t>
  </si>
  <si>
    <t>FUNGICIDA Y DESINFECTANTE MINERAL TIPO CALDO DE BORDELES . INGREDIENTES ACTIVOS: SULTFATO DE COBRE PENTAHIDRATADO  21%, SULFATO DE CALCIO DIHIDRATADO. El producto deberá contar con registro vigente ante el ICA</t>
  </si>
  <si>
    <t>MOLUSQUICIDA Y REPELENTE DE ORIGEN VEGETAL. ES UN MOLUSQUICIDA Y REPELENTE NATURAL FORMULADO A PARTIR DE UNA MEZCLA DE ACCIÓN SINÉRGICA DE ALCALOIDES VEGETALES, QUE PREVIENE Y CONTROLA EL ATAQUE DE BABOSAS (DEROCERAS SP., LIMAX SP.). INGREDIENTE ACTIVO: ALCALOIDE EXTRAÍDO DE RUBIÁCEAS 33.0%. El producto deberá contar con registro vigente ante el ICA</t>
  </si>
  <si>
    <t>CILINDRO DE SUSTRATO ENVUELTO EN PAPEL BIODEGRADABLE PARA PLÁNTULAS</t>
  </si>
  <si>
    <t>Paquete</t>
  </si>
  <si>
    <t>Maletín que incluye:
Medidor de nitrato
Medidor de calcio
Medidor de sodio
Medidor de potasio
Medidor de pH
Medidor de conductividad
Medidor de sal.
Totalmente a prueba de agua y polvo
Incluye soluciones de calibración y baterías.
Fácil de transportar y operar.
Medidas del maletín: Aproximadamente 170 mm × 80 mm × 40 mm.</t>
  </si>
  <si>
    <t>kit</t>
  </si>
  <si>
    <t>Medallas de Participación, elaboradas en Aleación metalica tipo zamac o equivalente , material no tóxico, troquelada con logotipo y texto en alto relieve por las dos caras, de 6 CM de diámetro por 3 MM de espesor, baño bronceado o plateado o dorado brillante o antiguo, con cinta de 80 cm de largo. Diseño, texto y logos imagen institucional Alcaldía Local de Ciudad Bolivar. El diseño debe ser aprobado por la oficina de prensa de la Alcaldía Local.</t>
  </si>
  <si>
    <t>Tapete pedagógico interactivo tipo golosa gigante, impreso a color con diseño institucional de la ALCB, destinado a actividades de sensibilización en bienestar animal. Fabricado en lona vinílica de alto tráfico, resistente al tránsito pesado, fricción y humedad, apto para saltar y uso repetido en espacio público. Impresión full color con protección antideslizante. Dimensiones de 3  m de largo y 2 m de ancho. Reutilizable y con su respectivo empaque para almacenamiento y transporte. (La aprobación del diseño estará a cargo de la ALCB)</t>
  </si>
  <si>
    <t>Señales portátiles impresas a color en PVC rígido directamente sobre la lona, con bases plegables o sistema de soporte liviano. Diseño institucional. Apto para uso repetido en interior y exterior. Material lavable y durable. 
El kit incluye:
CONOS: Altura: 30 cm, Material: plástico liviano y plegable, 12 conos.
PALETAS: Tamaño: 30 cm diámetro, Material: liviano PVC 8 unidades.
CINTA: Rollo de cinta de seguridad por 100 metro 
(La aprobación del diseño estará a cargo de la ALCB)</t>
  </si>
  <si>
    <t>Tula reutilizable para actividades institucionales, educativas y comunitarias, confeccionada en poliéster 210D o tafetán de alta resistencia, apta para el transporte de materiales didácticos, promocionales o de apoyo logístico. El producto deberá contar con costuras reforzadas y cordón de cierre tipo mochila, resistente al uso continuo y de fácil limpieza.
Especificaciones técnicas mínimas:
Material: Poliéster 210D.
Dimensiones: 34 cm de ancho × 42 cm de alto.
Sistema de cierre: Cordón ajustable tipo mochila.
Impresión: Personalización con logo o diseño institucional a una tinta o full color, según aprobación de la entidad. en serigrafia o dtf
Acabados: Costuras reforzadas y terminación resistente al desgaste.
Color: Según diseño aprobado por la entidad contratante.
El diseño gráfico, los colores y la ubicación del logotipo deberán ser aprobados por la Alcaldía Local de Ciudad Bolívar (ALCB) previo a la producción definitiva</t>
  </si>
  <si>
    <t>Dado pedagógico interactivo reutilizable, diseñado para el desarrollo de actividades lúdicas, educativas y de sensibilización comunitaria en temas de bienestar animal y educación ambiental. Fabricado en lona PVC de 13 a 15 oz con espuma de alta densidad, con relleno interno en espuma de alta densidad, impresión digital a full color y laminado protector contra humedad, desgaste y manipulación frecuente. Cada una de sus seis caras contará con números, ilustraciones, símbolos o temáticas definidas a partir de los insumos suministrados por el equipo pedagógico de la entidad. El producto deberá ser durable, lavable, liviano y apto para uso continuo en jornadas pedagógicas de interior y exterior. Dimensiones aproximadas de 25 × 25 × 25 cm, con un peso máximo de 1 kg. El diseño gráfico y la distribución de los contenidos en cada una de las caras deberán ser aprobados por la Alcaldía Local de Ciudad Bolívar (ALCB).</t>
  </si>
  <si>
    <t>Kit de obstaculos para entrenamiento canino</t>
  </si>
  <si>
    <t>El kit comprende un conjunto de obstáculos básicos para la conformación de un circuito funcional de agility, apto para actividades comunitarias, educativas y de entrenamiento inicial.
ESPECIFICACIONES TÉCNICAS 
Vallas o saltos • Tipo: salto simple regulable • Altura: ajustable entre 30 cm • Ancho: 1 m • Material: PVC reforzado • Características: desmontable, seguro y estable Túnel flexible • Longitud: 4 m • Diámetro: 60 cm • Material: lona • Características: plegable, liviano y resistente Slalom (zigzag) • Composición: 8 postes • Altura: 1 m. • Material: plástico resistente • Base: estable o con anclaje Aro de salto • Diámetro del aro: 60 cm • Altura 80 cm • Material: goma • Soporte: estructura estable Rampa tipo A (obstáculo de contacto) • Altura: 1.4 m. • Longitud: 3 m por lado • Material: plástico reforzado • Superficie: antideslizante • Características: estructura estable y segura</t>
  </si>
  <si>
    <t xml:space="preserve">TIERRAGRO EL SUPERMERCADO AGROPECUARIO </t>
  </si>
  <si>
    <t>AGRO TODO STORE</t>
  </si>
  <si>
    <t>AGRO ACTIVO</t>
  </si>
  <si>
    <t>CROPER</t>
  </si>
  <si>
    <t>AGROCOLOMBIA</t>
  </si>
  <si>
    <t>AGROACTIVO</t>
  </si>
  <si>
    <t>VALOR INTERNET IVA INCLUIDO</t>
  </si>
  <si>
    <t>BASE GRAVABLE</t>
  </si>
  <si>
    <t>VALOR UNITARIO (CARGA TRIBUTARIA 26% + UTILIDAD 10%)</t>
  </si>
  <si>
    <t xml:space="preserve">dimensiones 28 × 7 × 3 cm </t>
  </si>
  <si>
    <t xml:space="preserve">Plástico de Mulch Negro de Plata película de Mulch perforado Cal 0,9 1,20 cm x 1.000 m C 0,9 con UV Resistencia </t>
  </si>
  <si>
    <t>Equipo de calefacción infrarroja para uso pecuario, destinado a proporcionar calor localizado a lechones recién nacidos durante las etapas de maternidad, lactancia, cría o precebo. Deberá estar compuesto, como mínimo, por campana o reflector metálico de alta resistencia, diseñado para dirigir y distribuir uniformemente la radiación térmica hacia la zona de alojamiento de los animales.
La estructura deberá estar fabricada en aluminio, acero inoxidable, acero galvanizado u otro material metálico equivalente, resistente a la corrosión, a las altas temperaturas, a la humedad y a las condiciones propias de instalaciones pecuarias. Deberá incorporar rejilla o protector metálico inferior que reduzca el riesgo de contacto accidental de los animales o del operario con la bombilla.
El equipo deberá ser compatible con bombillas infrarrojas de rosca estándar, con potencia entre ciento veinticinco (125 W) y doscientos cincuenta vatios (250 W), aptas para funcionamiento en redes eléctricas de 110 a 120 V o en el voltaje disponible en el sitio de instalación.
Deberá incluir, como mínimo:
Una (1) campana o reflector metálico.
Un (1) portalámparas cerámico o de material resistente a altas temperaturas.
Una (1) rejilla metálica protectora.
Una (1) cadena, cable o sistema de suspensión regulable en altura.
Cable eléctrico de longitud mínima de dos (2) metros, con clavija para conexión.
Interruptor de encendido y apagado o selector de intensidad térmica, cuando aplique según el diseño del fabricante.
Una (1) bombilla infrarroja de potencia entre 175 W y 250 W.
Una (1) bombilla infrarroja adicional de repuesto de potencia compatible.
La lámpara deberá permitir la regulación de la intensidad térmica mediante la selección de potencia, interruptor de dos niveles o ajuste de la altura de instalación. El área efectiva de calefacción dependerá de la potencia utilizada, de la altura de instalación, de la temperatura ambiental y de las condiciones del alojamiento, y deberá ser suficiente para proporcionar calor localizado a un nido o zona de descanso para lechones.
Todos los componentes deberán entregarse ensamblados o listos para instalación y funcionamiento, debidamente empacados, nuevos, sin uso, con manual o instrucciones básicas de instalación y garantía mínima de seis (6) meses contra defectos de fabricación.</t>
  </si>
  <si>
    <t>Comedero tipo tolva en plástico capacidad entre 3 kg y 7 kg dimensiones: Altura promedio de 30 cm y diámetro de 20 cm a 40 cm.</t>
  </si>
  <si>
    <t>Alicate universal para trabajos pesados de 8" construcción robusta en acero alto en carbono #45, mangos ergonómicos de PVC antideslizante, Está diseñado para cortar alambre de hierro de hasta 2.6 mm, cobre de 2.8 mm y acero de 2.0 mm</t>
  </si>
  <si>
    <t>Guantes largos impermeables para uso agrícola, pecuario, piscícola y de mantenimiento, fabricados en caucho natural, PVC, látex, nitrilo o material elastomérico de resistencia equivalente. Diseñados para proteger las manos y brazos durante labores que impliquen contacto con agua, humedad, lodos, estiércol, sedimentos, materia orgánica y soluciones de limpieza de uso común en actividades agropecuarias.
Deberán tener una longitud mínima de veintisiete (27) pulgadas (aproximadamente 68 cm), proporcionando protección hasta el codo o superior. El interior podrá contar con acabado liso, flocado o forro textil que facilite su uso y comodidad.
La palma y los dedos deberán presentar superficie texturizada o antideslizante para mejorar el agarre en condiciones húmedas. El material deberá ofrecer buena flexibilidad, resistencia al desgaste y al uso continuo, sin permitir el paso de líquidos durante la operación normal.
Disponibles en diferentes tallas (M, L y XL o equivalentes), nuevos, libres de defectos de fabricación y aptos para labores de limpieza de estanques, manejo de peces, actividades acuícolas, mantenimiento de reservorios, labores pecuarias y demás actividades agrícolas.</t>
  </si>
  <si>
    <t>Bota de seguridad para uso industrial, agrícola, forestal, de construcción y mantenimiento, fabricada en cuero natural, cuero sintético o material de resistencia equivalente. Deberá contar con puntera de seguridad en acero o material compuesto de resistencia equivalente, diseñada para brindar protección contra impactos y compresión durante el desarrollo de las actividades laborales.
La suela deberá estar fabricada en poliuretano (PU), caucho, PVC o material equivalente, ser antideslizante y resistente al desgaste y la abrasión ocasionados por el uso normal.
El calzado deberá incorporar forro interno textil o material equivalente, plantilla confortable y sistema de ajuste mediante cordones o mecanismo equivalente que garantice una adecuada sujeción del pie.
Deberá cumplir con los requisitos establecidos en la norma ASTM F2413 vigente, EN ISO 20345 vigente o normas técnicas equivalentes aplicables al calzado de seguridad.
Disponible en diferentes tallas, comprendidas entre la 35 y la 45 o equivalentes, de acuerdo con las necesidades de la entidad. Producto nuevo, libre de defectos de fabricación y con garantía mínima de seis (6) meses.</t>
  </si>
  <si>
    <t>Malla eslabonada fabricada en alambre de acero galvanizado o material de resistencia equivalente, resistente a la corrosión y a la intemperie.
Presentación en rollo de dimensiones aproximadas de dos (2,0) metros de altura por diez (10) metros de longitud, con tolerancia de ±5 %.
Fabricada con alambre galvanizado de diámetro comercial adecuado para cerramientos, que garantice la resistencia mecánica requerida para uso exterior.
Abertura tipo rombo (diamante) de aproximadamente 2¼ pulgadas (57 mm) × 2¼ pulgadas (57 mm), con tolerancia de ±10 % o medida equivalente de uso comercial.
Producto nuevo, libre de defectos de fabricación, con acabado galvanizado uniforme que garantice protección contra la corrosión y apto para instalaciones de cerramiento.</t>
  </si>
  <si>
    <t>ROLLO X 60 METROS</t>
  </si>
  <si>
    <t>Palín hoyador para labores agrícolas, forestales, de jardinería y mantenimiento, fabricado en acero al carbono o material metálico de resistencia equivalente.
La cabeza deberá estar conformada por pala tipo hoyador, con acabado en pintura anticorrosiva o tratamiento de protección equivalente.
Deberá incluir cabo elaborado en madera inmunizada, madera dura o material de resistencia equivalente, firmemente ensamblado a la cabeza metálica para garantizar un uso seguro y adecuado.
Longitud total aproximada entre 1,00 m y 1,20 m, o dimensiones comerciales equivalentes que permitan el desarrollo de labores de excavación y apertura de hoyos.
Producto nuevo, libre de defectos de fabricación y apto para uso en actividades agropecuarias, forestales y de mantenimiento.</t>
  </si>
  <si>
    <t>Grapa industrial para grapadora utilizada en labores de costura y fijación de películas plásticas, polisombras, mallas y otros materiales empleados en invernaderos y actividades agropecuarias.
Fabricada en acero galvanizado o material de resistencia equivalente, con acabado anticorrosivo que garantice resistencia a la humedad y al uso continuo.
Compatible con grapadoras para costura de invernaderos que utilicen grapa referencia P6C-8 o referencia equivalente.
Puente interior aproximado de diez (10) mm, con tolerancia de ±10 %, o dimensiones equivalentes compatibles con el equipo para el cual se destine.
Presentación en caja con cinco mil (5.000) grapas. Producto nuevo, libre de defectos de fabricación.</t>
  </si>
  <si>
    <t>Cuchilla de dos (2) puntas para guadaña o desbrozadora, fabricada en acero al carbono o material de resistencia equivalente, diseñada para labores de corte de pasto, maleza, arbustos y vegetación de baja y mediana densidad.
Diámetro aproximado de treinta (30) cm, con tolerancia de ±10 %, o medida comercial equivalente compatible con guadañas de uso agrícola y forestal.
Deberá contar con orificio central y sistema de fijación compatible con equipos de guadaña de uso comercial.
Producto nuevo, balanceado, libre de defectos de fabricación y apto para uso en actividades agropecuarias, forestales y mantenimiento de zonas verdes.</t>
  </si>
  <si>
    <t>Solvente tipo thinner multipropósito, apto para la dilución de pinturas, esmaltes sintéticos, barnices y otros recubrimientos base solvente compatibles, así como para la limpieza de herramientas, equipos de aplicación y superficies.
El producto deberá presentar adecuada capacidad de dilución y limpieza para labores de mantenimiento, construcción e industria, conforme a las recomendaciones del fabricante.
Presentación comercial en envase plástico resistente de un (1) galón (3,785 litros aproximadamente), debidamente sellado, rotulado e identificado con la información del fabricante y las advertencias de seguridad correspondientes.
Producto nuevo, libre de contaminantes y apto para uso industrial o de mantenimiento.</t>
  </si>
  <si>
    <t>Malla plástica multiusos fabricada en polietileno (PE), polipropileno (PP) o material polimérico de resistencia equivalente, apta para delimitación de áreas, cerramientos livianos, jardinería, viveros y actividades agropecuarias.
Deberá contar con abertura aproximada de cuatro por cuatro milímetros (4 mm × 4 mm), ancho de un metro (1,00 m ± 5 %) y longitud aproximada de treinta metros (30 m ± 5 %) por rollo. Color negro o equivalente, con adecuada resistencia a la humedad y a las condiciones normales de uso en exteriores.
Producto nuevo, libre de defectos de fabricación y en presentación comercial del fabricante.</t>
  </si>
  <si>
    <t>Taladro inalámbrico con función percutora, alimentado mediante batería recargable de ion de litio, con voltaje nominal mínimo de veinte voltios (20 V) o superior. Deberá contar con mandril metálico o de alta resistencia de ajuste rápido sin llave de mínimo trece milímetros (13 mm – 1/2"), velocidad variable, giro reversible, mínimo dos (2) velocidades mecánicas, selector de torque con mínimo veinte (20) posiciones de ajuste más modo perforación y percusión, freno eléctrico y luz LED integrada para iluminación del área de trabajo.
El equipo deberá ser apto para perforación en madera, acero, mampostería y materiales similares, e incluir como mínimo dos (2) baterías recargables de ion de litio, un (1) cargador, maletín o estuche de transporte resistente y juego básico de brocas o puntas.
Diseño ergonómico con empuñadura antideslizante, gancho para cinturón o elemento equivalente y presentación comercial del fabricante. Producto nuevo y libre de defectos de fabricación.</t>
  </si>
  <si>
    <t>Tabla de madera aserrada y cepillada, elaborada en pino, eucalipto o especie forestal de características mecánicas equivalentes, apta para trabajos de carpintería, construcción, mantenimiento y adecuaciones locativas.
Deberá tener un ancho aproximado de treinta centímetros (30 cm ± 5 %), espesor aproximado de tres centímetros (3 cm ± 5 %) y longitud de un metro (1,00 m ± 5 %).
La pieza deberá suministrarse cepillada, con superficie lisa, bordes regulares y apta para uso inmediato. Deberá estar libre de grietas, deformaciones o defectos que afecten su resistencia o funcionalidad.
Producto nuevo, en presentación comercial del proveedor.</t>
  </si>
  <si>
    <t>Pistola de riego multifunción con mínimo siete (7) patrones de aspersión, fabricada en plástico de alta resistencia, polipropileno (PP), ABS o material de características equivalentes.
Deberá permitir diferentes tipos de chorro para actividades de riego, limpieza y mantenimiento de jardines y zonas verdes, incluyendo como mínimo patrones de aspersión tipo concentrado, cono, ducha, plano, completo, niebla o equivalentes.
Deberá contar con gatillo de accionamiento manual, regulación del caudal de agua y acople rápido universal compatible con mangueras de jardín de 1/2", 5/8" o 3/4" y conexiones estándar disponibles en el mercado.
Producto nuevo, en presentación comercial del fabricante y apto para uso doméstico, institucional o de mantenimiento.</t>
  </si>
  <si>
    <t>Bisturí o cuchillo utilitario de uso profesional para trabajo pesado, con cuerpo fabricado en plástico de alta resistencia y alma o refuerzo interno metálico, apto para realizar cortes en cartón, papel, plástico, caucho, láminas delgadas y otros materiales similares.
Deberá utilizar cuchillas segmentadas de dieciocho milímetros (18 mm), contar con sistema de bloqueo automático o mecanismo de seguridad para fijación de la cuchilla y permitir su reemplazo de forma sencilla.
El producto deberá incluir como mínimo tres (3) cuchillas de repuesto fabricadas en acero al carbono o material de resistencia equivalente. Producto nuevo, en presentación comercial del fabricante y apto para labores de mantenimiento, construcción y uso general.</t>
  </si>
  <si>
    <t>Puntilla 3 Pulgada Construida En Acero. Con Cabeza Grafilada 3 Pulgada. Caja 1/2 Libra</t>
  </si>
  <si>
    <t>AGROCOLOMBIA
NIT: 900.608.730-4</t>
  </si>
  <si>
    <t>ATRIAL
NIT: 900.425.823-4.</t>
  </si>
  <si>
    <t>PINTULAND
NIT:860.518.811-1</t>
  </si>
  <si>
    <t>Par Guantes de seguridad en carnaza refuerzo Vaqueta. Protección Manos. Composición : 100% Cuero Carnaza</t>
  </si>
  <si>
    <t>Azadón Forjado Con Mango
Ancho:14 cm
Alto: 26 cm
Largo: 130 cm
Material del cuchillo:Acero inoxidable
Material del mango:Madera
Largo del mango:130 cm</t>
  </si>
  <si>
    <t>Tipo: Puntilla lisa con cabeza.
Material: Acero de bajo carbono de alta resistencia.
Longitud: 2 pulgadas (50,8 mm).
Acabado: Natural pulido o galvanizado, libre de corrosión y defectos de fabricación.
Diseño: Cuerpo liso con punta aguda y cabeza plana.
Presentación: Caja x 1 libra (500 g).
Aplicación: Apta para trabajos de carpintería, construcción, ebanistería y fijaciones en madera.
Condición del producto: Nuevo</t>
  </si>
  <si>
    <t>Accesorio para la cabeza que proporciona sombra y protección contra la radiación ultravioleta. Gorro tipo safari confeccionado en dril, ala ancha con cuello desmontable protege rostro y cuello de los rayos UV, diseño unisex, talla única, cordón ajustable al cuello o barbilla para días de viento, plegable y fácil de transportar.</t>
  </si>
  <si>
    <t>Recipiente fabricado en plástico resistente, diseñado para la mezcla homogénea de pinturas, diluyentes y aditivos. Recipiente de Plástico para Pintura Descartable con Capacidad de 4.73 L</t>
  </si>
  <si>
    <t>Rodillo de tamaño mediano ( 9 pulgadas), de uso general para la aplicación de pintura en muros, fachadas y superficies planas de tamaño medio. Cuenta con recubrimiento de fibra sintética o lana, que garantiza buena carga y liberación de pintura, logrando acabados homogéneos y eficientes. Compatible con pinturas acrílicas, esmaltes y recubrimientos base agua o solvente.</t>
  </si>
  <si>
    <t>Rodillo de gran formato (18 pulgadas), diseñado para cubrir áreas amplias en menor tiempo, como fachadas extensas, muros exteriores y pavimentos. Fabricado con materiales de alta resistencia y fibras de mayor absorción, ideal para trabajos de mayor rendimiento y aplicaciones continuas. Recomendado para proyectos comunitarios, institucionales y de señalización en espacios públicos.</t>
  </si>
  <si>
    <t>Candado de seguridad con cuerpo metálico y recubrimiento encauchetado o plástico de alta resistencia, incluye mínimo dos llaves originales, resistente al corte, la corrosión y la intemperie, apto para aplicaciones de seguridad en interiores y exteriores. 40 MM</t>
  </si>
  <si>
    <t>VALOR UNITARIO CON CARGA TRIBUTARIA (7%) + (UTILIDAD 10%)</t>
  </si>
  <si>
    <t>AGROGARZON - MERCADO LIBRE</t>
  </si>
  <si>
    <t>AGROACTIVO
NIT: 71.622.440-5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</si>
</sst>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5" formatCode="&quot;$&quot;\ #,##0;\-&quot;$&quot;\ #,##0"/>
    <numFmt numFmtId="42" formatCode="_-&quot;$&quot;\ * #,##0_-;\-&quot;$&quot;\ * #,##0_-;_-&quot;$&quot;\ * &quot;-&quot;_-;_-@_-"/>
    <numFmt numFmtId="44" formatCode="_-&quot;$&quot;\ * #,##0.00_-;\-&quot;$&quot;\ * #,##0.00_-;_-&quot;$&quot;\ * &quot;-&quot;??_-;_-@_-"/>
    <numFmt numFmtId="43" formatCode="_-* #,##0.00_-;\-* #,##0.00_-;_-* &quot;-&quot;??_-;_-@_-"/>
    <numFmt numFmtId="164" formatCode="_-&quot;$&quot;* #,##0_-;\-&quot;$&quot;* #,##0_-;_-&quot;$&quot;* &quot;-&quot;_-;_-@_-"/>
    <numFmt numFmtId="165" formatCode="&quot;$&quot;\ #,##0"/>
    <numFmt numFmtId="166" formatCode="_-&quot;$&quot;\ * #,##0.00_-;\-&quot;$&quot;\ * #,##0.00_-;_-&quot;$&quot;\ * &quot;-&quot;??_-;_-@"/>
    <numFmt numFmtId="167" formatCode="_-* #,##0_-;\-* #,##0_-;_-* &quot;-&quot;??_-;_-@_-"/>
    <numFmt numFmtId="168" formatCode="_-&quot;$&quot;\ * #,##0_-;\-&quot;$&quot;\ * #,##0_-;_-&quot;$&quot;\ * &quot;-&quot;??_-;_-@_-"/>
    <numFmt numFmtId="169" formatCode="_-[$$-240A]\ * #,##0_-;\-[$$-240A]\ * #,##0_-;_-[$$-240A]\ * &quot;-&quot;??_-;_-@_-"/>
    <numFmt numFmtId="170" formatCode="&quot;$&quot;\ #,##0.00"/>
    <numFmt numFmtId="171" formatCode="_-&quot;$&quot;\ * #,##0_-;\-&quot;$&quot;\ * #,##0_-;_-&quot;$&quot;\ * &quot;-&quot;??_-;_-@"/>
  </numFmts>
  <fonts count="19" x14ac:knownFonts="1">
    <font>
      <sz val="11"/>
      <color theme="1"/>
      <name val="Calibri"/>
      <family val="2"/>
      <scheme val="minor"/>
    </font>
    <font>
      <sz val="11"/>
      <color theme="1"/>
      <name val="Calibri"/>
      <family val="2"/>
      <scheme val="minor"/>
    </font>
    <font>
      <sz val="12"/>
      <color theme="1"/>
      <name val="Garamond"/>
      <family val="1"/>
    </font>
    <font>
      <b/>
      <sz val="12"/>
      <name val="Garamond"/>
      <family val="1"/>
    </font>
    <font>
      <b/>
      <sz val="12"/>
      <color theme="1"/>
      <name val="Garamond"/>
      <family val="1"/>
    </font>
    <font>
      <sz val="12"/>
      <color rgb="FF000000"/>
      <name val="Garamond"/>
      <family val="1"/>
    </font>
    <font>
      <sz val="12"/>
      <name val="Garamond"/>
      <family val="1"/>
    </font>
    <font>
      <u/>
      <sz val="11"/>
      <color theme="10"/>
      <name val="Calibri"/>
      <family val="2"/>
      <scheme val="minor"/>
    </font>
    <font>
      <sz val="12"/>
      <color theme="1"/>
      <name val="Calibri"/>
      <family val="2"/>
      <scheme val="minor"/>
    </font>
    <font>
      <b/>
      <sz val="12"/>
      <color rgb="FF000000"/>
      <name val="Garamond"/>
      <family val="1"/>
    </font>
    <font>
      <b/>
      <sz val="9"/>
      <color indexed="81"/>
      <name val="Tahoma"/>
      <family val="2"/>
    </font>
    <font>
      <sz val="9"/>
      <color indexed="81"/>
      <name val="Tahoma"/>
      <family val="2"/>
    </font>
    <font>
      <b/>
      <sz val="12"/>
      <color theme="0"/>
      <name val="Garamond"/>
      <family val="1"/>
    </font>
    <font>
      <b/>
      <sz val="12"/>
      <color rgb="FFFFFFFF"/>
      <name val="Garamond"/>
      <family val="1"/>
    </font>
    <font>
      <b/>
      <i/>
      <sz val="12"/>
      <color theme="1"/>
      <name val="Garamond"/>
      <family val="1"/>
    </font>
    <font>
      <i/>
      <sz val="12"/>
      <name val="Garamond"/>
      <family val="1"/>
    </font>
    <font>
      <b/>
      <sz val="12"/>
      <color rgb="FFFF0000"/>
      <name val="Garamond"/>
      <family val="1"/>
    </font>
    <font>
      <b/>
      <sz val="11"/>
      <color theme="1"/>
      <name val="Calibri"/>
      <family val="2"/>
      <scheme val="minor"/>
    </font>
    <font>
      <i/>
      <sz val="11"/>
      <color theme="1"/>
      <name val="Calibri"/>
      <family val="2"/>
      <scheme val="minor"/>
    </font>
  </fonts>
  <fills count="44">
    <fill>
      <patternFill patternType="none"/>
    </fill>
    <fill>
      <patternFill patternType="gray125"/>
    </fill>
    <fill>
      <patternFill patternType="solid">
        <fgColor theme="0" tint="-0.14999847407452621"/>
        <bgColor indexed="64"/>
      </patternFill>
    </fill>
    <fill>
      <patternFill patternType="solid">
        <fgColor theme="0" tint="-0.14996795556505021"/>
        <bgColor indexed="64"/>
      </patternFill>
    </fill>
    <fill>
      <patternFill patternType="solid">
        <fgColor theme="2" tint="-9.9978637043366805E-2"/>
        <bgColor indexed="64"/>
      </patternFill>
    </fill>
    <fill>
      <patternFill patternType="solid">
        <fgColor theme="3" tint="0.79998168889431442"/>
        <bgColor indexed="64"/>
      </patternFill>
    </fill>
    <fill>
      <patternFill patternType="solid">
        <fgColor rgb="FFFD7FFD"/>
        <bgColor indexed="64"/>
      </patternFill>
    </fill>
    <fill>
      <patternFill patternType="solid">
        <fgColor theme="5" tint="0.39997558519241921"/>
        <bgColor indexed="64"/>
      </patternFill>
    </fill>
    <fill>
      <patternFill patternType="solid">
        <fgColor rgb="FF00B0F0"/>
        <bgColor rgb="FF00B0F0"/>
      </patternFill>
    </fill>
    <fill>
      <patternFill patternType="solid">
        <fgColor rgb="FFD8D8D8"/>
        <bgColor rgb="FFD8D8D8"/>
      </patternFill>
    </fill>
    <fill>
      <patternFill patternType="solid">
        <fgColor rgb="FFFFCCFF"/>
        <bgColor rgb="FFFFCCFF"/>
      </patternFill>
    </fill>
    <fill>
      <patternFill patternType="solid">
        <fgColor rgb="FF99CCFF"/>
        <bgColor indexed="64"/>
      </patternFill>
    </fill>
    <fill>
      <patternFill patternType="solid">
        <fgColor rgb="FF000099"/>
        <bgColor indexed="64"/>
      </patternFill>
    </fill>
    <fill>
      <patternFill patternType="solid">
        <fgColor rgb="FFCCECFF"/>
        <bgColor rgb="FFCCECFF"/>
      </patternFill>
    </fill>
    <fill>
      <patternFill patternType="solid">
        <fgColor rgb="FF92D050"/>
        <bgColor rgb="FFD8D8D8"/>
      </patternFill>
    </fill>
    <fill>
      <patternFill patternType="solid">
        <fgColor rgb="FF002060"/>
        <bgColor rgb="FF002060"/>
      </patternFill>
    </fill>
    <fill>
      <patternFill patternType="solid">
        <fgColor rgb="FFFEF2CB"/>
        <bgColor rgb="FFFEF2CB"/>
      </patternFill>
    </fill>
    <fill>
      <patternFill patternType="solid">
        <fgColor rgb="FFFBD7F3"/>
        <bgColor rgb="FFFBD7F3"/>
      </patternFill>
    </fill>
    <fill>
      <patternFill patternType="solid">
        <fgColor theme="9" tint="0.79998168889431442"/>
        <bgColor rgb="FFFBD7F3"/>
      </patternFill>
    </fill>
    <fill>
      <patternFill patternType="solid">
        <fgColor theme="5" tint="0.79998168889431442"/>
        <bgColor indexed="64"/>
      </patternFill>
    </fill>
    <fill>
      <patternFill patternType="solid">
        <fgColor theme="5" tint="0.59999389629810485"/>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rgb="FFFD73CC"/>
        <bgColor indexed="64"/>
      </patternFill>
    </fill>
    <fill>
      <patternFill patternType="solid">
        <fgColor theme="4" tint="0.59999389629810485"/>
        <bgColor indexed="64"/>
      </patternFill>
    </fill>
    <fill>
      <patternFill patternType="solid">
        <fgColor rgb="FF7AD8F6"/>
        <bgColor indexed="64"/>
      </patternFill>
    </fill>
    <fill>
      <patternFill patternType="solid">
        <fgColor theme="8" tint="0.79998168889431442"/>
        <bgColor rgb="FF66FFFF"/>
      </patternFill>
    </fill>
    <fill>
      <patternFill patternType="solid">
        <fgColor theme="8" tint="0.79998168889431442"/>
        <bgColor rgb="FFFBF5A3"/>
      </patternFill>
    </fill>
    <fill>
      <patternFill patternType="solid">
        <fgColor theme="8" tint="-0.249977111117893"/>
        <bgColor rgb="FFFBF5A3"/>
      </patternFill>
    </fill>
    <fill>
      <patternFill patternType="solid">
        <fgColor theme="8" tint="-0.249977111117893"/>
        <bgColor rgb="FFCCFF99"/>
      </patternFill>
    </fill>
    <fill>
      <patternFill patternType="solid">
        <fgColor theme="8" tint="0.79998168889431442"/>
        <bgColor rgb="FFFFCCCC"/>
      </patternFill>
    </fill>
    <fill>
      <patternFill patternType="solid">
        <fgColor rgb="FF0070C0"/>
        <bgColor rgb="FFCCECFF"/>
      </patternFill>
    </fill>
    <fill>
      <patternFill patternType="solid">
        <fgColor rgb="FF0070C0"/>
        <bgColor indexed="64"/>
      </patternFill>
    </fill>
    <fill>
      <patternFill patternType="solid">
        <fgColor theme="2"/>
        <bgColor indexed="64"/>
      </patternFill>
    </fill>
    <fill>
      <patternFill patternType="solid">
        <fgColor rgb="FF0070C0"/>
        <bgColor rgb="FFFFCCCC"/>
      </patternFill>
    </fill>
    <fill>
      <patternFill patternType="solid">
        <fgColor theme="4"/>
        <bgColor rgb="FFFFCCCC"/>
      </patternFill>
    </fill>
    <fill>
      <patternFill patternType="solid">
        <fgColor theme="8" tint="-0.249977111117893"/>
        <bgColor rgb="FFFFCCCC"/>
      </patternFill>
    </fill>
    <fill>
      <patternFill patternType="solid">
        <fgColor theme="4" tint="0.59999389629810485"/>
        <bgColor rgb="FF002060"/>
      </patternFill>
    </fill>
    <fill>
      <patternFill patternType="solid">
        <fgColor theme="5" tint="0.79998168889431442"/>
        <bgColor rgb="FF002060"/>
      </patternFill>
    </fill>
    <fill>
      <patternFill patternType="solid">
        <fgColor theme="8" tint="0.79998168889431442"/>
        <bgColor rgb="FFCCECFF"/>
      </patternFill>
    </fill>
    <fill>
      <patternFill patternType="solid">
        <fgColor rgb="FFFFFF00"/>
        <bgColor indexed="64"/>
      </patternFill>
    </fill>
    <fill>
      <patternFill patternType="solid">
        <fgColor theme="3" tint="0.39997558519241921"/>
        <bgColor rgb="FF002060"/>
      </patternFill>
    </fill>
    <fill>
      <patternFill patternType="solid">
        <fgColor theme="9" tint="0.79998168889431442"/>
        <bgColor indexed="64"/>
      </patternFill>
    </fill>
    <fill>
      <patternFill patternType="solid">
        <fgColor theme="4" tint="0.79998168889431442"/>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auto="1"/>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indexed="64"/>
      </left>
      <right/>
      <top/>
      <bottom style="thin">
        <color indexed="64"/>
      </bottom>
      <diagonal/>
    </border>
    <border>
      <left style="thin">
        <color rgb="FF000000"/>
      </left>
      <right/>
      <top style="thin">
        <color indexed="64"/>
      </top>
      <bottom/>
      <diagonal/>
    </border>
    <border>
      <left/>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right style="thin">
        <color rgb="FF000000"/>
      </right>
      <top style="thin">
        <color indexed="64"/>
      </top>
      <bottom style="thin">
        <color indexed="64"/>
      </bottom>
      <diagonal/>
    </border>
    <border>
      <left/>
      <right style="thin">
        <color rgb="FF000000"/>
      </right>
      <top/>
      <bottom style="thin">
        <color indexed="64"/>
      </bottom>
      <diagonal/>
    </border>
  </borders>
  <cellStyleXfs count="84">
    <xf numFmtId="0" fontId="0" fillId="0" borderId="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7" fillId="0" borderId="0" applyNumberFormat="0" applyFill="0" applyBorder="0" applyAlignment="0" applyProtection="0"/>
    <xf numFmtId="164" fontId="8"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1"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8" fillId="0" borderId="0"/>
    <xf numFmtId="9" fontId="8"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1"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1"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1"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cellStyleXfs>
  <cellXfs count="324">
    <xf numFmtId="0" fontId="0" fillId="0" borderId="0" xfId="0"/>
    <xf numFmtId="0" fontId="2" fillId="0" borderId="0" xfId="0" applyFont="1"/>
    <xf numFmtId="0" fontId="2" fillId="0" borderId="0" xfId="0" applyFont="1" applyAlignment="1">
      <alignment wrapText="1"/>
    </xf>
    <xf numFmtId="0" fontId="9" fillId="2"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9" fillId="4" borderId="1" xfId="0" applyFont="1" applyFill="1" applyBorder="1" applyAlignment="1">
      <alignment vertical="center" wrapText="1"/>
    </xf>
    <xf numFmtId="0" fontId="2" fillId="0" borderId="0" xfId="0" applyFont="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vertical="center" wrapText="1"/>
    </xf>
    <xf numFmtId="0" fontId="2" fillId="0" borderId="0" xfId="0" applyFont="1" applyAlignment="1">
      <alignment horizontal="center" vertical="center"/>
    </xf>
    <xf numFmtId="0" fontId="2" fillId="0" borderId="0" xfId="0" applyFont="1" applyAlignment="1">
      <alignment horizontal="left" vertical="top" wrapText="1"/>
    </xf>
    <xf numFmtId="0" fontId="2" fillId="0" borderId="1" xfId="0" applyFont="1" applyBorder="1" applyAlignment="1">
      <alignment horizontal="center" vertical="center"/>
    </xf>
    <xf numFmtId="167" fontId="9" fillId="5" borderId="1" xfId="82" applyNumberFormat="1" applyFont="1" applyFill="1" applyBorder="1" applyAlignment="1">
      <alignment horizontal="center" vertical="center" wrapText="1"/>
    </xf>
    <xf numFmtId="167" fontId="6" fillId="0" borderId="1" xfId="82" applyNumberFormat="1" applyFont="1" applyFill="1" applyBorder="1" applyAlignment="1">
      <alignment vertical="center" wrapText="1"/>
    </xf>
    <xf numFmtId="167" fontId="6" fillId="0" borderId="1" xfId="82" applyNumberFormat="1" applyFont="1" applyFill="1" applyBorder="1" applyAlignment="1">
      <alignment vertical="center"/>
    </xf>
    <xf numFmtId="168" fontId="9" fillId="2" borderId="1" xfId="83" applyNumberFormat="1" applyFont="1" applyFill="1" applyBorder="1" applyAlignment="1">
      <alignment horizontal="center" vertical="center" wrapText="1"/>
    </xf>
    <xf numFmtId="44" fontId="6" fillId="0" borderId="1" xfId="83" applyFont="1" applyFill="1" applyBorder="1" applyAlignment="1">
      <alignment horizontal="center" vertical="center" wrapText="1"/>
    </xf>
    <xf numFmtId="168" fontId="6" fillId="0" borderId="1" xfId="83" applyNumberFormat="1" applyFont="1" applyFill="1" applyBorder="1" applyAlignment="1">
      <alignment vertical="center" wrapText="1"/>
    </xf>
    <xf numFmtId="5" fontId="4" fillId="9" borderId="1" xfId="0" applyNumberFormat="1" applyFont="1" applyFill="1" applyBorder="1" applyAlignment="1">
      <alignment horizontal="center" vertical="center" wrapText="1" readingOrder="1"/>
    </xf>
    <xf numFmtId="5" fontId="9" fillId="9" borderId="1" xfId="0" applyNumberFormat="1" applyFont="1" applyFill="1" applyBorder="1" applyAlignment="1">
      <alignment horizontal="center" vertical="center" wrapText="1"/>
    </xf>
    <xf numFmtId="0" fontId="2" fillId="0" borderId="1" xfId="0" applyFont="1" applyBorder="1" applyAlignment="1">
      <alignment wrapText="1"/>
    </xf>
    <xf numFmtId="167" fontId="3" fillId="0" borderId="1" xfId="82" applyNumberFormat="1" applyFont="1" applyFill="1" applyBorder="1" applyAlignment="1">
      <alignment vertical="center" wrapText="1"/>
    </xf>
    <xf numFmtId="0" fontId="9" fillId="5" borderId="1" xfId="0" applyFont="1" applyFill="1" applyBorder="1" applyAlignment="1">
      <alignment horizontal="center" vertical="center" wrapText="1"/>
    </xf>
    <xf numFmtId="171" fontId="4" fillId="30" borderId="1" xfId="0" applyNumberFormat="1" applyFont="1" applyFill="1" applyBorder="1" applyAlignment="1">
      <alignment horizontal="center" vertical="center" wrapText="1"/>
    </xf>
    <xf numFmtId="0" fontId="4" fillId="32" borderId="0" xfId="0" applyFont="1" applyFill="1" applyAlignment="1">
      <alignment horizontal="center" vertical="center" wrapText="1"/>
    </xf>
    <xf numFmtId="0" fontId="4" fillId="33" borderId="0" xfId="0" applyFont="1" applyFill="1" applyAlignment="1">
      <alignment horizontal="center" vertical="center" wrapText="1"/>
    </xf>
    <xf numFmtId="0" fontId="4" fillId="24" borderId="0" xfId="0" applyFont="1" applyFill="1" applyAlignment="1">
      <alignment horizontal="center" vertical="center" wrapText="1"/>
    </xf>
    <xf numFmtId="0" fontId="2" fillId="0" borderId="1" xfId="0" applyFont="1" applyBorder="1"/>
    <xf numFmtId="167" fontId="6" fillId="0" borderId="2" xfId="82" applyNumberFormat="1" applyFont="1" applyFill="1" applyBorder="1" applyAlignment="1">
      <alignment vertical="center" wrapText="1"/>
    </xf>
    <xf numFmtId="171" fontId="4" fillId="34" borderId="1" xfId="0" applyNumberFormat="1" applyFont="1" applyFill="1" applyBorder="1" applyAlignment="1">
      <alignment horizontal="center" vertical="center" wrapText="1"/>
    </xf>
    <xf numFmtId="44" fontId="2" fillId="0" borderId="0" xfId="83" applyFont="1" applyAlignment="1">
      <alignment wrapText="1"/>
    </xf>
    <xf numFmtId="5" fontId="4" fillId="8" borderId="1" xfId="0" applyNumberFormat="1" applyFont="1" applyFill="1" applyBorder="1" applyAlignment="1">
      <alignment horizontal="center" vertical="center" wrapText="1" readingOrder="1"/>
    </xf>
    <xf numFmtId="44" fontId="6" fillId="0" borderId="2" xfId="83" applyFont="1" applyFill="1" applyBorder="1" applyAlignment="1">
      <alignment vertical="center" wrapText="1"/>
    </xf>
    <xf numFmtId="44" fontId="6" fillId="0" borderId="2" xfId="83" applyFont="1" applyFill="1" applyBorder="1" applyAlignment="1">
      <alignment vertical="center"/>
    </xf>
    <xf numFmtId="44" fontId="6" fillId="0" borderId="1" xfId="83" applyFont="1" applyFill="1" applyBorder="1" applyAlignment="1">
      <alignment vertical="center" wrapText="1"/>
    </xf>
    <xf numFmtId="44" fontId="6" fillId="0" borderId="1" xfId="83" applyFont="1" applyFill="1" applyBorder="1" applyAlignment="1">
      <alignment vertical="center"/>
    </xf>
    <xf numFmtId="5" fontId="4" fillId="10" borderId="1" xfId="0" applyNumberFormat="1" applyFont="1" applyFill="1" applyBorder="1" applyAlignment="1">
      <alignment horizontal="center" vertical="center" wrapText="1"/>
    </xf>
    <xf numFmtId="171" fontId="4" fillId="36" borderId="1" xfId="0" applyNumberFormat="1" applyFont="1" applyFill="1" applyBorder="1" applyAlignment="1">
      <alignment horizontal="center" vertical="center" wrapText="1"/>
    </xf>
    <xf numFmtId="44" fontId="2" fillId="0" borderId="1" xfId="83" applyFont="1" applyFill="1" applyBorder="1" applyAlignment="1">
      <alignment horizontal="center" vertical="center" wrapText="1"/>
    </xf>
    <xf numFmtId="165" fontId="4" fillId="14" borderId="1" xfId="0" applyNumberFormat="1" applyFont="1" applyFill="1" applyBorder="1" applyAlignment="1">
      <alignment horizontal="center" vertical="center" wrapText="1"/>
    </xf>
    <xf numFmtId="166" fontId="4" fillId="10" borderId="1" xfId="0" applyNumberFormat="1" applyFont="1" applyFill="1" applyBorder="1" applyAlignment="1">
      <alignment horizontal="center" vertical="center" wrapText="1"/>
    </xf>
    <xf numFmtId="165" fontId="4" fillId="9" borderId="1" xfId="0" applyNumberFormat="1" applyFont="1" applyFill="1" applyBorder="1" applyAlignment="1">
      <alignment horizontal="center" vertical="center" wrapText="1"/>
    </xf>
    <xf numFmtId="165" fontId="2" fillId="0" borderId="0" xfId="0" applyNumberFormat="1" applyFont="1" applyAlignment="1">
      <alignment horizontal="center" vertical="center"/>
    </xf>
    <xf numFmtId="5" fontId="2" fillId="0" borderId="0" xfId="0" applyNumberFormat="1" applyFont="1" applyAlignment="1">
      <alignment horizontal="center" vertical="center"/>
    </xf>
    <xf numFmtId="0" fontId="9" fillId="2" borderId="1" xfId="0" applyFont="1" applyFill="1" applyBorder="1" applyAlignment="1">
      <alignment horizontal="left" vertical="center" wrapText="1"/>
    </xf>
    <xf numFmtId="44" fontId="2" fillId="0" borderId="1" xfId="83" applyFont="1" applyFill="1" applyBorder="1"/>
    <xf numFmtId="44" fontId="2" fillId="0" borderId="2" xfId="83" applyFont="1" applyFill="1" applyBorder="1"/>
    <xf numFmtId="0" fontId="2" fillId="0" borderId="0" xfId="0" applyFont="1" applyAlignment="1">
      <alignment horizontal="center"/>
    </xf>
    <xf numFmtId="0" fontId="4" fillId="0" borderId="0" xfId="0" applyFont="1"/>
    <xf numFmtId="5" fontId="4" fillId="8" borderId="10" xfId="0" applyNumberFormat="1" applyFont="1" applyFill="1" applyBorder="1" applyAlignment="1">
      <alignment horizontal="center" vertical="center" wrapText="1" readingOrder="1"/>
    </xf>
    <xf numFmtId="165" fontId="6" fillId="0" borderId="1" xfId="82" applyNumberFormat="1" applyFont="1" applyFill="1" applyBorder="1" applyAlignment="1">
      <alignment horizontal="center" vertical="center" wrapText="1"/>
    </xf>
    <xf numFmtId="165" fontId="6" fillId="0" borderId="1" xfId="82" applyNumberFormat="1" applyFont="1" applyFill="1" applyBorder="1" applyAlignment="1">
      <alignment horizontal="center" vertical="center"/>
    </xf>
    <xf numFmtId="0" fontId="9" fillId="4" borderId="1" xfId="0" applyFont="1" applyFill="1" applyBorder="1" applyAlignment="1">
      <alignment horizontal="left" vertical="center" wrapText="1"/>
    </xf>
    <xf numFmtId="171" fontId="9" fillId="9" borderId="1" xfId="0" applyNumberFormat="1" applyFont="1" applyFill="1" applyBorder="1" applyAlignment="1">
      <alignment horizontal="center" vertical="center" wrapText="1"/>
    </xf>
    <xf numFmtId="44" fontId="2" fillId="0" borderId="1" xfId="83" applyFont="1" applyFill="1" applyBorder="1" applyAlignment="1">
      <alignment horizontal="center" vertical="center"/>
    </xf>
    <xf numFmtId="168" fontId="2" fillId="0" borderId="0" xfId="0" applyNumberFormat="1" applyFont="1"/>
    <xf numFmtId="167" fontId="2" fillId="0" borderId="0" xfId="0" applyNumberFormat="1" applyFont="1" applyAlignment="1">
      <alignment vertical="center" wrapText="1"/>
    </xf>
    <xf numFmtId="5" fontId="2" fillId="0" borderId="0" xfId="0" applyNumberFormat="1" applyFont="1" applyAlignment="1">
      <alignment vertical="center" wrapText="1"/>
    </xf>
    <xf numFmtId="165" fontId="9" fillId="9" borderId="1" xfId="0" applyNumberFormat="1" applyFont="1" applyFill="1" applyBorder="1" applyAlignment="1">
      <alignment horizontal="center" vertical="center" wrapText="1"/>
    </xf>
    <xf numFmtId="44" fontId="4" fillId="0" borderId="0" xfId="83" applyFont="1" applyAlignment="1">
      <alignment wrapText="1"/>
    </xf>
    <xf numFmtId="44" fontId="16" fillId="0" borderId="0" xfId="0" applyNumberFormat="1" applyFont="1"/>
    <xf numFmtId="44" fontId="16" fillId="0" borderId="0" xfId="0" applyNumberFormat="1" applyFont="1" applyAlignment="1">
      <alignment wrapText="1"/>
    </xf>
    <xf numFmtId="0" fontId="4" fillId="0" borderId="1" xfId="0" applyFont="1" applyBorder="1" applyAlignment="1">
      <alignment horizontal="left" vertical="center" wrapText="1"/>
    </xf>
    <xf numFmtId="0" fontId="2" fillId="0" borderId="1" xfId="0" applyFont="1" applyBorder="1" applyAlignment="1">
      <alignment horizontal="center" vertical="center" wrapText="1"/>
    </xf>
    <xf numFmtId="5" fontId="2" fillId="0" borderId="1" xfId="0" applyNumberFormat="1" applyFont="1" applyBorder="1" applyAlignment="1">
      <alignment horizontal="center" vertical="center" wrapText="1"/>
    </xf>
    <xf numFmtId="9" fontId="2" fillId="0" borderId="1" xfId="0" applyNumberFormat="1" applyFont="1" applyBorder="1" applyAlignment="1">
      <alignment horizontal="center" vertical="center" wrapText="1"/>
    </xf>
    <xf numFmtId="165" fontId="2" fillId="0" borderId="1" xfId="0" applyNumberFormat="1" applyFont="1" applyBorder="1" applyAlignment="1">
      <alignment vertical="center" wrapText="1"/>
    </xf>
    <xf numFmtId="0" fontId="2" fillId="0" borderId="1" xfId="0" applyFont="1" applyBorder="1" applyAlignment="1">
      <alignment horizontal="left" vertical="center" wrapText="1"/>
    </xf>
    <xf numFmtId="0" fontId="2" fillId="0" borderId="0" xfId="0" applyFont="1" applyAlignment="1">
      <alignment horizontal="left" vertical="center"/>
    </xf>
    <xf numFmtId="168" fontId="2" fillId="0" borderId="1" xfId="83" applyNumberFormat="1" applyFont="1" applyFill="1" applyBorder="1"/>
    <xf numFmtId="44" fontId="5" fillId="0" borderId="1" xfId="83" applyFont="1" applyFill="1" applyBorder="1" applyAlignment="1">
      <alignment horizontal="center" vertical="center" readingOrder="1"/>
    </xf>
    <xf numFmtId="168" fontId="5" fillId="0" borderId="1" xfId="83" applyNumberFormat="1" applyFont="1" applyFill="1" applyBorder="1" applyAlignment="1">
      <alignment horizontal="center" vertical="center" readingOrder="1"/>
    </xf>
    <xf numFmtId="168" fontId="5" fillId="0" borderId="1" xfId="83" applyNumberFormat="1" applyFont="1" applyFill="1" applyBorder="1" applyAlignment="1">
      <alignment horizontal="center" vertical="center" wrapText="1"/>
    </xf>
    <xf numFmtId="168" fontId="2" fillId="0" borderId="1" xfId="83" applyNumberFormat="1" applyFont="1" applyFill="1" applyBorder="1" applyAlignment="1">
      <alignment vertical="center"/>
    </xf>
    <xf numFmtId="167" fontId="5" fillId="0" borderId="1" xfId="82" applyNumberFormat="1" applyFont="1" applyFill="1" applyBorder="1" applyAlignment="1">
      <alignment horizontal="center" vertical="center" wrapText="1"/>
    </xf>
    <xf numFmtId="44" fontId="4" fillId="0" borderId="0" xfId="83" applyFont="1" applyFill="1"/>
    <xf numFmtId="44" fontId="2" fillId="0" borderId="1" xfId="83" applyFont="1" applyFill="1" applyBorder="1" applyAlignment="1">
      <alignment vertical="center"/>
    </xf>
    <xf numFmtId="44" fontId="5" fillId="0" borderId="2" xfId="83" applyFont="1" applyFill="1" applyBorder="1" applyAlignment="1">
      <alignment horizontal="center" vertical="center"/>
    </xf>
    <xf numFmtId="44" fontId="2" fillId="0" borderId="1" xfId="0" applyNumberFormat="1" applyFont="1" applyBorder="1" applyAlignment="1">
      <alignment horizontal="center" vertical="center" wrapText="1"/>
    </xf>
    <xf numFmtId="165" fontId="4" fillId="0" borderId="1" xfId="0" applyNumberFormat="1" applyFont="1" applyBorder="1" applyAlignment="1">
      <alignment horizontal="center" vertical="center"/>
    </xf>
    <xf numFmtId="44" fontId="2" fillId="0" borderId="0" xfId="0" applyNumberFormat="1" applyFont="1" applyAlignment="1">
      <alignment horizontal="center" vertical="center" wrapText="1"/>
    </xf>
    <xf numFmtId="5" fontId="2" fillId="0" borderId="0" xfId="0" applyNumberFormat="1" applyFont="1" applyAlignment="1">
      <alignment horizontal="center" vertical="center" wrapText="1"/>
    </xf>
    <xf numFmtId="9" fontId="2" fillId="0" borderId="0" xfId="0" applyNumberFormat="1" applyFont="1" applyAlignment="1">
      <alignment horizontal="center" vertical="center" wrapText="1"/>
    </xf>
    <xf numFmtId="165" fontId="2" fillId="0" borderId="0" xfId="0" applyNumberFormat="1" applyFont="1" applyAlignment="1">
      <alignment vertical="center" wrapText="1"/>
    </xf>
    <xf numFmtId="165" fontId="16" fillId="0" borderId="0" xfId="0" applyNumberFormat="1" applyFont="1" applyAlignment="1">
      <alignment horizontal="center" vertical="center"/>
    </xf>
    <xf numFmtId="165" fontId="4" fillId="0" borderId="0" xfId="0" applyNumberFormat="1" applyFont="1" applyAlignment="1">
      <alignment horizontal="center" vertical="center"/>
    </xf>
    <xf numFmtId="168" fontId="2" fillId="0" borderId="1" xfId="83" applyNumberFormat="1" applyFont="1" applyFill="1" applyBorder="1" applyAlignment="1">
      <alignment horizontal="center" vertical="center"/>
    </xf>
    <xf numFmtId="44" fontId="2" fillId="0" borderId="0" xfId="83" applyFont="1" applyFill="1" applyAlignment="1">
      <alignment horizontal="center" vertical="center" wrapText="1"/>
    </xf>
    <xf numFmtId="44" fontId="5" fillId="0" borderId="1" xfId="83" applyFont="1" applyFill="1" applyBorder="1" applyAlignment="1">
      <alignment horizontal="center" vertical="center" wrapText="1"/>
    </xf>
    <xf numFmtId="44" fontId="5" fillId="0" borderId="1" xfId="83" applyFont="1" applyFill="1" applyBorder="1" applyAlignment="1">
      <alignment horizontal="center" vertical="center"/>
    </xf>
    <xf numFmtId="44" fontId="2" fillId="0" borderId="1" xfId="83" applyFont="1" applyFill="1" applyBorder="1" applyAlignment="1">
      <alignment wrapText="1"/>
    </xf>
    <xf numFmtId="165" fontId="16" fillId="0" borderId="0" xfId="83" applyNumberFormat="1" applyFont="1"/>
    <xf numFmtId="0" fontId="2" fillId="0" borderId="0" xfId="0" applyFont="1" applyAlignment="1">
      <alignment vertical="center"/>
    </xf>
    <xf numFmtId="3" fontId="2" fillId="0" borderId="0" xfId="0" applyNumberFormat="1" applyFont="1"/>
    <xf numFmtId="165" fontId="16" fillId="0" borderId="0" xfId="0" applyNumberFormat="1" applyFont="1"/>
    <xf numFmtId="0" fontId="4" fillId="0" borderId="0" xfId="0" applyFont="1" applyAlignment="1">
      <alignment vertical="center"/>
    </xf>
    <xf numFmtId="0" fontId="4" fillId="0" borderId="0" xfId="0" applyFont="1" applyAlignment="1">
      <alignment vertical="center" wrapText="1"/>
    </xf>
    <xf numFmtId="44" fontId="4" fillId="0" borderId="1" xfId="83" applyFont="1" applyFill="1" applyBorder="1" applyAlignment="1">
      <alignment wrapText="1"/>
    </xf>
    <xf numFmtId="165" fontId="2" fillId="0" borderId="0" xfId="0" applyNumberFormat="1" applyFont="1"/>
    <xf numFmtId="165" fontId="9" fillId="5" borderId="1" xfId="82" applyNumberFormat="1" applyFont="1" applyFill="1" applyBorder="1" applyAlignment="1">
      <alignment horizontal="center" vertical="center" wrapText="1"/>
    </xf>
    <xf numFmtId="0" fontId="2" fillId="40" borderId="0" xfId="0" applyFont="1" applyFill="1"/>
    <xf numFmtId="165" fontId="2" fillId="0" borderId="1" xfId="83" applyNumberFormat="1" applyFont="1" applyFill="1" applyBorder="1"/>
    <xf numFmtId="165" fontId="2" fillId="0" borderId="1" xfId="83" applyNumberFormat="1" applyFont="1" applyFill="1" applyBorder="1" applyAlignment="1">
      <alignment horizontal="center" vertical="center"/>
    </xf>
    <xf numFmtId="165" fontId="6" fillId="0" borderId="1" xfId="82" applyNumberFormat="1" applyFont="1" applyFill="1" applyBorder="1" applyAlignment="1">
      <alignment vertical="center" wrapText="1"/>
    </xf>
    <xf numFmtId="44" fontId="2" fillId="0" borderId="0" xfId="83" applyFont="1" applyFill="1" applyBorder="1"/>
    <xf numFmtId="0" fontId="6" fillId="0" borderId="1" xfId="0" applyFont="1" applyBorder="1" applyAlignment="1">
      <alignment horizontal="center" vertical="center" wrapText="1"/>
    </xf>
    <xf numFmtId="0" fontId="5" fillId="0" borderId="1" xfId="0" applyFont="1" applyBorder="1" applyAlignment="1">
      <alignment vertical="center" wrapText="1"/>
    </xf>
    <xf numFmtId="167" fontId="2" fillId="0" borderId="1" xfId="0" applyNumberFormat="1" applyFont="1" applyBorder="1" applyAlignment="1">
      <alignment vertical="center" wrapText="1"/>
    </xf>
    <xf numFmtId="5" fontId="2" fillId="0" borderId="1" xfId="0" applyNumberFormat="1" applyFont="1" applyBorder="1" applyAlignment="1">
      <alignment vertical="center" wrapText="1"/>
    </xf>
    <xf numFmtId="165" fontId="2" fillId="0" borderId="1" xfId="0" applyNumberFormat="1" applyFont="1" applyBorder="1" applyAlignment="1">
      <alignment vertical="center"/>
    </xf>
    <xf numFmtId="0" fontId="2" fillId="0" borderId="1" xfId="0" applyFont="1" applyBorder="1" applyAlignment="1">
      <alignment vertical="center" wrapText="1"/>
    </xf>
    <xf numFmtId="0" fontId="5" fillId="0" borderId="1" xfId="0" applyFont="1" applyBorder="1" applyAlignment="1">
      <alignment horizontal="left" vertical="center" wrapText="1"/>
    </xf>
    <xf numFmtId="0" fontId="5" fillId="0" borderId="2" xfId="0" applyFont="1" applyBorder="1" applyAlignment="1">
      <alignment vertical="center" wrapText="1"/>
    </xf>
    <xf numFmtId="0" fontId="6" fillId="0" borderId="2" xfId="0" applyFont="1" applyBorder="1" applyAlignment="1">
      <alignment horizontal="center" vertical="center" wrapText="1"/>
    </xf>
    <xf numFmtId="0" fontId="2" fillId="0" borderId="2" xfId="0" applyFont="1" applyBorder="1"/>
    <xf numFmtId="0" fontId="6" fillId="0" borderId="1" xfId="77" applyFont="1" applyBorder="1" applyAlignment="1">
      <alignment horizontal="center" vertical="center" wrapText="1"/>
    </xf>
    <xf numFmtId="0" fontId="6" fillId="0" borderId="2" xfId="77" applyFont="1" applyBorder="1" applyAlignment="1">
      <alignment horizontal="center" vertical="center" wrapText="1"/>
    </xf>
    <xf numFmtId="0" fontId="6" fillId="0" borderId="1" xfId="77" applyFont="1" applyBorder="1" applyAlignment="1">
      <alignment vertical="center" wrapText="1"/>
    </xf>
    <xf numFmtId="0" fontId="9" fillId="0" borderId="1" xfId="0" applyFont="1" applyBorder="1" applyAlignment="1">
      <alignment horizontal="center" vertical="center" wrapText="1"/>
    </xf>
    <xf numFmtId="0" fontId="5" fillId="0" borderId="2" xfId="0" applyFont="1" applyBorder="1" applyAlignment="1">
      <alignment horizontal="left" vertical="center" wrapText="1"/>
    </xf>
    <xf numFmtId="0" fontId="6" fillId="0" borderId="2" xfId="77" applyFont="1" applyBorder="1" applyAlignment="1">
      <alignment vertical="center" wrapText="1"/>
    </xf>
    <xf numFmtId="0" fontId="9" fillId="0" borderId="2" xfId="0"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vertical="center" wrapText="1"/>
    </xf>
    <xf numFmtId="0" fontId="2" fillId="0" borderId="1" xfId="0" applyFont="1" applyBorder="1" applyAlignment="1">
      <alignment horizontal="center"/>
    </xf>
    <xf numFmtId="165" fontId="4" fillId="0" borderId="1" xfId="0" applyNumberFormat="1" applyFont="1" applyBorder="1"/>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165" fontId="2" fillId="0" borderId="1" xfId="0" applyNumberFormat="1"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vertical="center" wrapText="1"/>
    </xf>
    <xf numFmtId="5" fontId="5" fillId="0" borderId="1" xfId="0" applyNumberFormat="1" applyFont="1" applyBorder="1" applyAlignment="1">
      <alignment horizontal="center" vertical="center" wrapText="1" readingOrder="1"/>
    </xf>
    <xf numFmtId="5" fontId="5" fillId="0" borderId="1" xfId="0" applyNumberFormat="1" applyFont="1" applyBorder="1" applyAlignment="1">
      <alignment horizontal="center" vertical="center" readingOrder="1"/>
    </xf>
    <xf numFmtId="0" fontId="4" fillId="0" borderId="1" xfId="0" applyFont="1" applyBorder="1" applyAlignment="1">
      <alignment vertical="center" wrapText="1" readingOrder="1"/>
    </xf>
    <xf numFmtId="5" fontId="2" fillId="0" borderId="1" xfId="0" applyNumberFormat="1" applyFont="1" applyBorder="1" applyAlignment="1">
      <alignment horizontal="center" vertical="center"/>
    </xf>
    <xf numFmtId="0" fontId="2" fillId="0" borderId="1" xfId="0" applyFont="1" applyBorder="1" applyAlignment="1">
      <alignment horizontal="left" vertical="center"/>
    </xf>
    <xf numFmtId="0" fontId="2" fillId="0" borderId="1" xfId="0" applyFont="1" applyBorder="1" applyAlignment="1">
      <alignment vertical="center"/>
    </xf>
    <xf numFmtId="42" fontId="2" fillId="0" borderId="1" xfId="81" applyNumberFormat="1" applyFont="1" applyBorder="1" applyAlignment="1">
      <alignment horizontal="center" vertical="center" wrapText="1"/>
    </xf>
    <xf numFmtId="169" fontId="2" fillId="0" borderId="1" xfId="81" applyNumberFormat="1" applyFont="1" applyBorder="1" applyAlignment="1">
      <alignment horizontal="center" vertical="center" wrapText="1"/>
    </xf>
    <xf numFmtId="168" fontId="2" fillId="0" borderId="1" xfId="0" applyNumberFormat="1" applyFont="1" applyBorder="1" applyAlignment="1">
      <alignment vertical="center"/>
    </xf>
    <xf numFmtId="0" fontId="2" fillId="0" borderId="1" xfId="20" applyFont="1" applyBorder="1" applyAlignment="1">
      <alignment horizontal="center" vertical="center" wrapText="1"/>
    </xf>
    <xf numFmtId="0" fontId="5" fillId="0" borderId="1" xfId="20" applyFont="1" applyBorder="1" applyAlignment="1">
      <alignment horizontal="center" vertical="center" wrapText="1"/>
    </xf>
    <xf numFmtId="42" fontId="5" fillId="0" borderId="1" xfId="81" applyNumberFormat="1" applyFont="1" applyBorder="1" applyAlignment="1">
      <alignment horizontal="center" vertical="center"/>
    </xf>
    <xf numFmtId="0" fontId="4" fillId="0" borderId="1" xfId="0" applyFont="1" applyBorder="1" applyAlignment="1">
      <alignment horizontal="left" vertical="center" wrapText="1" readingOrder="1"/>
    </xf>
    <xf numFmtId="0" fontId="2" fillId="0" borderId="1" xfId="20" applyFont="1" applyBorder="1" applyAlignment="1">
      <alignment horizontal="center" vertical="center"/>
    </xf>
    <xf numFmtId="165" fontId="9" fillId="0" borderId="1" xfId="81" applyNumberFormat="1" applyFont="1" applyBorder="1" applyAlignment="1">
      <alignment horizontal="left" vertical="center" wrapText="1"/>
    </xf>
    <xf numFmtId="42" fontId="2" fillId="0" borderId="1" xfId="81" applyNumberFormat="1" applyFont="1" applyBorder="1" applyAlignment="1">
      <alignment horizontal="center" vertical="center"/>
    </xf>
    <xf numFmtId="169" fontId="2" fillId="0" borderId="1" xfId="81" applyNumberFormat="1" applyFont="1" applyBorder="1" applyAlignment="1">
      <alignment horizontal="center" vertical="center"/>
    </xf>
    <xf numFmtId="0" fontId="9" fillId="0" borderId="1" xfId="0" applyFont="1" applyBorder="1" applyAlignment="1">
      <alignment horizontal="left" vertical="center" wrapText="1"/>
    </xf>
    <xf numFmtId="0" fontId="9" fillId="0" borderId="1" xfId="0" applyFont="1" applyBorder="1" applyAlignment="1">
      <alignment vertical="center" wrapText="1"/>
    </xf>
    <xf numFmtId="0" fontId="3" fillId="0" borderId="1" xfId="0" applyFont="1" applyBorder="1" applyAlignment="1">
      <alignment horizontal="left" vertical="center" wrapText="1"/>
    </xf>
    <xf numFmtId="0" fontId="3" fillId="0" borderId="1" xfId="0" applyFont="1" applyBorder="1" applyAlignment="1">
      <alignment vertical="center" wrapText="1"/>
    </xf>
    <xf numFmtId="169" fontId="5" fillId="0" borderId="1" xfId="81" applyNumberFormat="1" applyFont="1" applyBorder="1" applyAlignment="1">
      <alignment horizontal="center" vertical="center"/>
    </xf>
    <xf numFmtId="0" fontId="3" fillId="0" borderId="1" xfId="0" applyFont="1" applyBorder="1" applyAlignment="1">
      <alignment horizontal="center" vertical="center" wrapText="1"/>
    </xf>
    <xf numFmtId="165" fontId="2" fillId="0" borderId="1" xfId="0" applyNumberFormat="1" applyFont="1" applyBorder="1" applyAlignment="1">
      <alignment horizontal="center" vertical="center" wrapText="1"/>
    </xf>
    <xf numFmtId="165" fontId="4" fillId="0" borderId="1" xfId="0" applyNumberFormat="1" applyFont="1" applyBorder="1" applyAlignment="1">
      <alignment horizontal="center"/>
    </xf>
    <xf numFmtId="165" fontId="2" fillId="0" borderId="1" xfId="0" applyNumberFormat="1" applyFont="1" applyBorder="1"/>
    <xf numFmtId="0" fontId="2" fillId="0" borderId="1" xfId="0" applyFont="1" applyBorder="1" applyAlignment="1">
      <alignment horizontal="left" vertical="top" wrapText="1"/>
    </xf>
    <xf numFmtId="0" fontId="5" fillId="0" borderId="1" xfId="0" applyFont="1" applyBorder="1" applyAlignment="1">
      <alignment horizontal="left" vertical="top" wrapText="1"/>
    </xf>
    <xf numFmtId="1" fontId="5" fillId="0" borderId="1" xfId="0" applyNumberFormat="1" applyFont="1" applyBorder="1" applyAlignment="1">
      <alignment horizontal="center" vertical="center" wrapText="1"/>
    </xf>
    <xf numFmtId="165" fontId="2" fillId="0" borderId="1" xfId="0" applyNumberFormat="1" applyFont="1" applyBorder="1" applyAlignment="1">
      <alignment horizontal="left" vertical="top" wrapText="1"/>
    </xf>
    <xf numFmtId="165" fontId="4" fillId="0" borderId="1" xfId="0" applyNumberFormat="1" applyFont="1" applyBorder="1" applyAlignment="1">
      <alignment wrapText="1"/>
    </xf>
    <xf numFmtId="167" fontId="3" fillId="43" borderId="12" xfId="82" applyNumberFormat="1" applyFont="1" applyFill="1" applyBorder="1" applyAlignment="1">
      <alignment horizontal="center" vertical="center" wrapText="1"/>
    </xf>
    <xf numFmtId="167" fontId="3" fillId="43" borderId="11" xfId="82" applyNumberFormat="1" applyFont="1" applyFill="1" applyBorder="1" applyAlignment="1">
      <alignment horizontal="center" vertical="center" wrapText="1"/>
    </xf>
    <xf numFmtId="167" fontId="3" fillId="43" borderId="21" xfId="82" applyNumberFormat="1" applyFont="1" applyFill="1" applyBorder="1" applyAlignment="1">
      <alignment horizontal="center" vertical="center" wrapText="1"/>
    </xf>
    <xf numFmtId="167" fontId="3" fillId="43" borderId="8" xfId="82" applyNumberFormat="1" applyFont="1" applyFill="1" applyBorder="1" applyAlignment="1">
      <alignment horizontal="center" vertical="center" wrapText="1"/>
    </xf>
    <xf numFmtId="167" fontId="12" fillId="12" borderId="1" xfId="82" applyNumberFormat="1" applyFont="1" applyFill="1" applyBorder="1" applyAlignment="1">
      <alignment horizontal="center" vertical="center" wrapText="1"/>
    </xf>
    <xf numFmtId="167" fontId="3" fillId="11" borderId="1" xfId="82" applyNumberFormat="1" applyFont="1" applyFill="1" applyBorder="1" applyAlignment="1">
      <alignment horizontal="center" vertical="center" wrapText="1"/>
    </xf>
    <xf numFmtId="170" fontId="9" fillId="13" borderId="1" xfId="81" applyNumberFormat="1" applyFont="1" applyFill="1" applyBorder="1" applyAlignment="1">
      <alignment horizontal="center" vertical="center" wrapText="1"/>
    </xf>
    <xf numFmtId="0" fontId="4" fillId="0" borderId="6" xfId="0" applyFont="1" applyBorder="1" applyAlignment="1">
      <alignment horizontal="center"/>
    </xf>
    <xf numFmtId="0" fontId="4" fillId="0" borderId="7" xfId="0" applyFont="1" applyBorder="1" applyAlignment="1">
      <alignment horizontal="center"/>
    </xf>
    <xf numFmtId="0" fontId="4" fillId="0" borderId="25" xfId="0" applyFont="1" applyBorder="1" applyAlignment="1">
      <alignment horizontal="center"/>
    </xf>
    <xf numFmtId="0" fontId="3" fillId="3" borderId="4"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0" borderId="2" xfId="0" applyFont="1" applyBorder="1" applyAlignment="1">
      <alignment horizontal="center" vertical="center" wrapText="1"/>
    </xf>
    <xf numFmtId="0" fontId="4" fillId="0" borderId="1" xfId="0" applyFont="1" applyBorder="1" applyAlignment="1">
      <alignment horizontal="left" vertical="center" wrapText="1"/>
    </xf>
    <xf numFmtId="0" fontId="4" fillId="10" borderId="13" xfId="0" applyFont="1" applyFill="1" applyBorder="1" applyAlignment="1">
      <alignment horizontal="center" vertical="center" wrapText="1"/>
    </xf>
    <xf numFmtId="0" fontId="4" fillId="10" borderId="12" xfId="0" applyFont="1" applyFill="1" applyBorder="1" applyAlignment="1">
      <alignment horizontal="center" vertical="center" wrapText="1"/>
    </xf>
    <xf numFmtId="0" fontId="4" fillId="10" borderId="11" xfId="0" applyFont="1" applyFill="1" applyBorder="1" applyAlignment="1">
      <alignment horizontal="center" vertical="center" wrapText="1"/>
    </xf>
    <xf numFmtId="0" fontId="4" fillId="10" borderId="19" xfId="0" applyFont="1" applyFill="1" applyBorder="1" applyAlignment="1">
      <alignment horizontal="center" vertical="center" wrapText="1"/>
    </xf>
    <xf numFmtId="0" fontId="4" fillId="10" borderId="21" xfId="0" applyFont="1" applyFill="1" applyBorder="1" applyAlignment="1">
      <alignment horizontal="center" vertical="center" wrapText="1"/>
    </xf>
    <xf numFmtId="0" fontId="4" fillId="10" borderId="8" xfId="0" applyFont="1" applyFill="1" applyBorder="1" applyAlignment="1">
      <alignment horizontal="center" vertical="center" wrapText="1"/>
    </xf>
    <xf numFmtId="167" fontId="12" fillId="12" borderId="13" xfId="82" applyNumberFormat="1" applyFont="1" applyFill="1" applyBorder="1" applyAlignment="1">
      <alignment horizontal="center" vertical="center" wrapText="1"/>
    </xf>
    <xf numFmtId="167" fontId="12" fillId="12" borderId="11" xfId="82" applyNumberFormat="1" applyFont="1" applyFill="1" applyBorder="1" applyAlignment="1">
      <alignment horizontal="center" vertical="center" wrapText="1"/>
    </xf>
    <xf numFmtId="167" fontId="12" fillId="12" borderId="19" xfId="82" applyNumberFormat="1" applyFont="1" applyFill="1" applyBorder="1" applyAlignment="1">
      <alignment horizontal="center" vertical="center" wrapText="1"/>
    </xf>
    <xf numFmtId="167" fontId="12" fillId="12" borderId="8" xfId="82" applyNumberFormat="1" applyFont="1" applyFill="1" applyBorder="1" applyAlignment="1">
      <alignment horizontal="center" vertical="center" wrapText="1"/>
    </xf>
    <xf numFmtId="170" fontId="9" fillId="13" borderId="13" xfId="81" applyNumberFormat="1" applyFont="1" applyFill="1" applyBorder="1" applyAlignment="1">
      <alignment horizontal="center" vertical="center" wrapText="1"/>
    </xf>
    <xf numFmtId="170" fontId="9" fillId="13" borderId="11" xfId="81" applyNumberFormat="1" applyFont="1" applyFill="1" applyBorder="1" applyAlignment="1">
      <alignment horizontal="center" vertical="center" wrapText="1"/>
    </xf>
    <xf numFmtId="170" fontId="9" fillId="13" borderId="19" xfId="81" applyNumberFormat="1" applyFont="1" applyFill="1" applyBorder="1" applyAlignment="1">
      <alignment horizontal="center" vertical="center" wrapText="1"/>
    </xf>
    <xf numFmtId="170" fontId="9" fillId="13" borderId="8" xfId="81" applyNumberFormat="1" applyFont="1" applyFill="1" applyBorder="1" applyAlignment="1">
      <alignment horizontal="center" vertical="center" wrapText="1"/>
    </xf>
    <xf numFmtId="167" fontId="3" fillId="19" borderId="13" xfId="82" applyNumberFormat="1" applyFont="1" applyFill="1" applyBorder="1" applyAlignment="1">
      <alignment horizontal="center" vertical="center" wrapText="1"/>
    </xf>
    <xf numFmtId="167" fontId="3" fillId="19" borderId="12" xfId="82" applyNumberFormat="1" applyFont="1" applyFill="1" applyBorder="1" applyAlignment="1">
      <alignment horizontal="center" vertical="center" wrapText="1"/>
    </xf>
    <xf numFmtId="167" fontId="3" fillId="19" borderId="19" xfId="82" applyNumberFormat="1" applyFont="1" applyFill="1" applyBorder="1" applyAlignment="1">
      <alignment horizontal="center" vertical="center" wrapText="1"/>
    </xf>
    <xf numFmtId="167" fontId="3" fillId="19" borderId="21" xfId="82" applyNumberFormat="1"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4" fillId="10" borderId="1" xfId="0" applyFont="1" applyFill="1" applyBorder="1" applyAlignment="1">
      <alignment horizontal="center" vertical="center"/>
    </xf>
    <xf numFmtId="0" fontId="6" fillId="0" borderId="1" xfId="0" applyFont="1" applyBorder="1"/>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25" xfId="0" applyFont="1" applyBorder="1" applyAlignment="1">
      <alignment horizontal="center" vertical="center" wrapText="1"/>
    </xf>
    <xf numFmtId="5" fontId="3" fillId="37" borderId="16" xfId="0" applyNumberFormat="1" applyFont="1" applyFill="1" applyBorder="1" applyAlignment="1">
      <alignment horizontal="center" vertical="center" wrapText="1" readingOrder="1"/>
    </xf>
    <xf numFmtId="0" fontId="6" fillId="24" borderId="18" xfId="0" applyFont="1" applyFill="1" applyBorder="1"/>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4" fillId="0" borderId="29" xfId="0" applyFont="1" applyBorder="1" applyAlignment="1">
      <alignment horizontal="center" vertical="center" wrapText="1"/>
    </xf>
    <xf numFmtId="5" fontId="4" fillId="8" borderId="16" xfId="0" applyNumberFormat="1" applyFont="1" applyFill="1" applyBorder="1" applyAlignment="1">
      <alignment horizontal="center" vertical="center" wrapText="1" readingOrder="1"/>
    </xf>
    <xf numFmtId="0" fontId="6" fillId="0" borderId="18" xfId="0" applyFont="1" applyBorder="1"/>
    <xf numFmtId="5" fontId="13" fillId="15" borderId="16" xfId="0" applyNumberFormat="1" applyFont="1" applyFill="1" applyBorder="1" applyAlignment="1">
      <alignment horizontal="center" vertical="center" wrapText="1" readingOrder="1"/>
    </xf>
    <xf numFmtId="0" fontId="6" fillId="0" borderId="18" xfId="0" applyFont="1" applyBorder="1" applyAlignment="1">
      <alignment horizontal="center" vertical="center"/>
    </xf>
    <xf numFmtId="5" fontId="4" fillId="8" borderId="17" xfId="0" applyNumberFormat="1" applyFont="1" applyFill="1" applyBorder="1" applyAlignment="1">
      <alignment horizontal="center" vertical="center" wrapText="1" readingOrder="1"/>
    </xf>
    <xf numFmtId="5" fontId="3" fillId="38" borderId="16" xfId="0" applyNumberFormat="1" applyFont="1" applyFill="1" applyBorder="1" applyAlignment="1">
      <alignment horizontal="center" vertical="center" wrapText="1" readingOrder="1"/>
    </xf>
    <xf numFmtId="0" fontId="6" fillId="19" borderId="18" xfId="0" applyFont="1" applyFill="1" applyBorder="1"/>
    <xf numFmtId="5" fontId="13" fillId="41" borderId="26" xfId="0" applyNumberFormat="1" applyFont="1" applyFill="1" applyBorder="1" applyAlignment="1">
      <alignment horizontal="center" vertical="center" wrapText="1" readingOrder="1"/>
    </xf>
    <xf numFmtId="5" fontId="13" fillId="41" borderId="27" xfId="0" applyNumberFormat="1" applyFont="1" applyFill="1" applyBorder="1" applyAlignment="1">
      <alignment horizontal="center" vertical="center" wrapText="1" readingOrder="1"/>
    </xf>
    <xf numFmtId="5" fontId="13" fillId="41" borderId="28" xfId="0" applyNumberFormat="1" applyFont="1" applyFill="1" applyBorder="1" applyAlignment="1">
      <alignment horizontal="center" vertical="center" wrapText="1" readingOrder="1"/>
    </xf>
    <xf numFmtId="170" fontId="9" fillId="13" borderId="16" xfId="81" applyNumberFormat="1" applyFont="1" applyFill="1" applyBorder="1" applyAlignment="1">
      <alignment horizontal="center" vertical="center" wrapText="1"/>
    </xf>
    <xf numFmtId="170" fontId="9" fillId="13" borderId="18" xfId="81" applyNumberFormat="1" applyFont="1" applyFill="1" applyBorder="1" applyAlignment="1">
      <alignment horizontal="center" vertical="center" wrapText="1"/>
    </xf>
    <xf numFmtId="170" fontId="9" fillId="16" borderId="16" xfId="81" applyNumberFormat="1" applyFont="1" applyFill="1" applyBorder="1" applyAlignment="1">
      <alignment horizontal="center" vertical="center" wrapText="1"/>
    </xf>
    <xf numFmtId="170" fontId="9" fillId="16" borderId="18" xfId="81" applyNumberFormat="1" applyFont="1" applyFill="1" applyBorder="1" applyAlignment="1">
      <alignment horizontal="center" vertical="center" wrapText="1"/>
    </xf>
    <xf numFmtId="170" fontId="9" fillId="17" borderId="16" xfId="81" applyNumberFormat="1" applyFont="1" applyFill="1" applyBorder="1" applyAlignment="1">
      <alignment horizontal="center" vertical="center" wrapText="1"/>
    </xf>
    <xf numFmtId="170" fontId="9" fillId="17" borderId="18" xfId="81" applyNumberFormat="1" applyFont="1" applyFill="1" applyBorder="1" applyAlignment="1">
      <alignment horizontal="center" vertical="center" wrapText="1"/>
    </xf>
    <xf numFmtId="170" fontId="9" fillId="18" borderId="16" xfId="81" applyNumberFormat="1" applyFont="1" applyFill="1" applyBorder="1" applyAlignment="1">
      <alignment horizontal="center" vertical="center" wrapText="1"/>
    </xf>
    <xf numFmtId="170" fontId="9" fillId="18" borderId="18" xfId="81" applyNumberFormat="1" applyFont="1" applyFill="1" applyBorder="1" applyAlignment="1">
      <alignment horizontal="center" vertical="center" wrapText="1"/>
    </xf>
    <xf numFmtId="5" fontId="4" fillId="8" borderId="18" xfId="0" applyNumberFormat="1" applyFont="1" applyFill="1" applyBorder="1" applyAlignment="1">
      <alignment horizontal="center" vertical="center" wrapText="1" readingOrder="1"/>
    </xf>
    <xf numFmtId="5" fontId="13" fillId="15" borderId="17" xfId="0" applyNumberFormat="1" applyFont="1" applyFill="1" applyBorder="1" applyAlignment="1">
      <alignment horizontal="center" vertical="center" wrapText="1" readingOrder="1"/>
    </xf>
    <xf numFmtId="0" fontId="4" fillId="32" borderId="21" xfId="0" applyFont="1" applyFill="1" applyBorder="1" applyAlignment="1">
      <alignment horizontal="center" vertical="center" wrapText="1"/>
    </xf>
    <xf numFmtId="0" fontId="4" fillId="32" borderId="30" xfId="0" applyFont="1" applyFill="1" applyBorder="1" applyAlignment="1">
      <alignment horizontal="center" vertical="center" wrapText="1"/>
    </xf>
    <xf numFmtId="0" fontId="4" fillId="10" borderId="16" xfId="0" applyFont="1" applyFill="1" applyBorder="1" applyAlignment="1">
      <alignment horizontal="center" vertical="center" wrapText="1"/>
    </xf>
    <xf numFmtId="0" fontId="6" fillId="0" borderId="17" xfId="0" applyFont="1" applyBorder="1"/>
    <xf numFmtId="0" fontId="4" fillId="0" borderId="6" xfId="0" applyFont="1" applyBorder="1" applyAlignment="1">
      <alignment horizontal="center" wrapText="1"/>
    </xf>
    <xf numFmtId="0" fontId="4" fillId="0" borderId="7" xfId="0" applyFont="1" applyBorder="1" applyAlignment="1">
      <alignment horizontal="center" wrapText="1"/>
    </xf>
    <xf numFmtId="0" fontId="4" fillId="0" borderId="25" xfId="0" applyFont="1" applyBorder="1" applyAlignment="1">
      <alignment horizontal="center" wrapText="1"/>
    </xf>
    <xf numFmtId="167" fontId="3" fillId="20" borderId="13" xfId="82" applyNumberFormat="1" applyFont="1" applyFill="1" applyBorder="1" applyAlignment="1">
      <alignment horizontal="center" vertical="center" wrapText="1"/>
    </xf>
    <xf numFmtId="167" fontId="3" fillId="20" borderId="11" xfId="82" applyNumberFormat="1" applyFont="1" applyFill="1" applyBorder="1" applyAlignment="1">
      <alignment horizontal="center" vertical="center" wrapText="1"/>
    </xf>
    <xf numFmtId="167" fontId="3" fillId="19" borderId="11" xfId="82" applyNumberFormat="1" applyFont="1" applyFill="1" applyBorder="1" applyAlignment="1">
      <alignment horizontal="center" vertical="center" wrapText="1"/>
    </xf>
    <xf numFmtId="0" fontId="4" fillId="7" borderId="13" xfId="0" applyFont="1" applyFill="1" applyBorder="1" applyAlignment="1">
      <alignment horizontal="center" vertical="center" wrapText="1"/>
    </xf>
    <xf numFmtId="0" fontId="4" fillId="7" borderId="11" xfId="0" applyFont="1" applyFill="1" applyBorder="1" applyAlignment="1">
      <alignment horizontal="center" vertical="center" wrapText="1"/>
    </xf>
    <xf numFmtId="0" fontId="4" fillId="20" borderId="13" xfId="0" applyFont="1" applyFill="1" applyBorder="1" applyAlignment="1">
      <alignment horizontal="center" vertical="center" wrapText="1"/>
    </xf>
    <xf numFmtId="0" fontId="4" fillId="20" borderId="11" xfId="0" applyFont="1" applyFill="1" applyBorder="1" applyAlignment="1">
      <alignment horizontal="center" vertical="center" wrapText="1"/>
    </xf>
    <xf numFmtId="0" fontId="4" fillId="19" borderId="21" xfId="0" applyFont="1" applyFill="1" applyBorder="1" applyAlignment="1">
      <alignment horizontal="center" vertical="center" wrapText="1"/>
    </xf>
    <xf numFmtId="0" fontId="4" fillId="42" borderId="21" xfId="0" applyFont="1" applyFill="1" applyBorder="1" applyAlignment="1">
      <alignment horizontal="center" vertical="center" wrapText="1"/>
    </xf>
    <xf numFmtId="167" fontId="4" fillId="19" borderId="20" xfId="82" applyNumberFormat="1" applyFont="1" applyFill="1" applyBorder="1" applyAlignment="1">
      <alignment horizontal="center" vertical="center" wrapText="1"/>
    </xf>
    <xf numFmtId="167" fontId="4" fillId="19" borderId="11" xfId="82" applyNumberFormat="1" applyFont="1" applyFill="1" applyBorder="1" applyAlignment="1">
      <alignment horizontal="center" vertical="center" wrapText="1"/>
    </xf>
    <xf numFmtId="168" fontId="3" fillId="21" borderId="13" xfId="83" applyNumberFormat="1" applyFont="1" applyFill="1" applyBorder="1" applyAlignment="1">
      <alignment horizontal="center" vertical="center" wrapText="1"/>
    </xf>
    <xf numFmtId="168" fontId="3" fillId="21" borderId="11" xfId="83" applyNumberFormat="1" applyFont="1" applyFill="1" applyBorder="1" applyAlignment="1">
      <alignment horizontal="center" vertical="center" wrapText="1"/>
    </xf>
    <xf numFmtId="168" fontId="3" fillId="21" borderId="19" xfId="83" applyNumberFormat="1" applyFont="1" applyFill="1" applyBorder="1" applyAlignment="1">
      <alignment horizontal="center" vertical="center" wrapText="1"/>
    </xf>
    <xf numFmtId="168" fontId="3" fillId="21" borderId="8" xfId="83" applyNumberFormat="1" applyFont="1" applyFill="1" applyBorder="1" applyAlignment="1">
      <alignment horizontal="center" vertical="center" wrapText="1"/>
    </xf>
    <xf numFmtId="167" fontId="3" fillId="11" borderId="13" xfId="82" applyNumberFormat="1" applyFont="1" applyFill="1" applyBorder="1" applyAlignment="1">
      <alignment horizontal="center" vertical="center" wrapText="1"/>
    </xf>
    <xf numFmtId="167" fontId="3" fillId="11" borderId="11" xfId="82" applyNumberFormat="1" applyFont="1" applyFill="1" applyBorder="1" applyAlignment="1">
      <alignment horizontal="center" vertical="center" wrapText="1"/>
    </xf>
    <xf numFmtId="167" fontId="3" fillId="11" borderId="19" xfId="82" applyNumberFormat="1" applyFont="1" applyFill="1" applyBorder="1" applyAlignment="1">
      <alignment horizontal="center" vertical="center" wrapText="1"/>
    </xf>
    <xf numFmtId="167" fontId="3" fillId="11" borderId="8" xfId="82" applyNumberFormat="1" applyFont="1" applyFill="1" applyBorder="1" applyAlignment="1">
      <alignment horizontal="center" vertical="center" wrapText="1"/>
    </xf>
    <xf numFmtId="5" fontId="13" fillId="15" borderId="14" xfId="0" applyNumberFormat="1" applyFont="1" applyFill="1" applyBorder="1" applyAlignment="1">
      <alignment horizontal="center" vertical="center" wrapText="1" readingOrder="1"/>
    </xf>
    <xf numFmtId="5" fontId="13" fillId="15" borderId="0" xfId="0" applyNumberFormat="1" applyFont="1" applyFill="1" applyAlignment="1">
      <alignment horizontal="center" vertical="center" wrapText="1" readingOrder="1"/>
    </xf>
    <xf numFmtId="5" fontId="13" fillId="15" borderId="19" xfId="0" applyNumberFormat="1" applyFont="1" applyFill="1" applyBorder="1" applyAlignment="1">
      <alignment horizontal="center" vertical="center" wrapText="1" readingOrder="1"/>
    </xf>
    <xf numFmtId="5" fontId="13" fillId="15" borderId="21" xfId="0" applyNumberFormat="1" applyFont="1" applyFill="1" applyBorder="1" applyAlignment="1">
      <alignment horizontal="center" vertical="center" wrapText="1" readingOrder="1"/>
    </xf>
    <xf numFmtId="168" fontId="3" fillId="22" borderId="13" xfId="83" applyNumberFormat="1" applyFont="1" applyFill="1" applyBorder="1" applyAlignment="1">
      <alignment horizontal="center" vertical="center" wrapText="1"/>
    </xf>
    <xf numFmtId="168" fontId="3" fillId="22" borderId="11" xfId="83" applyNumberFormat="1" applyFont="1" applyFill="1" applyBorder="1" applyAlignment="1">
      <alignment horizontal="center" vertical="center" wrapText="1"/>
    </xf>
    <xf numFmtId="168" fontId="3" fillId="22" borderId="19" xfId="83" applyNumberFormat="1" applyFont="1" applyFill="1" applyBorder="1" applyAlignment="1">
      <alignment horizontal="center" vertical="center" wrapText="1"/>
    </xf>
    <xf numFmtId="168" fontId="3" fillId="22" borderId="8" xfId="83" applyNumberFormat="1" applyFont="1" applyFill="1" applyBorder="1" applyAlignment="1">
      <alignment horizontal="center" vertical="center" wrapText="1"/>
    </xf>
    <xf numFmtId="168" fontId="3" fillId="6" borderId="9" xfId="83" applyNumberFormat="1" applyFont="1" applyFill="1" applyBorder="1" applyAlignment="1">
      <alignment horizontal="center" vertical="center" wrapText="1"/>
    </xf>
    <xf numFmtId="168" fontId="3" fillId="6" borderId="1" xfId="83" applyNumberFormat="1" applyFont="1" applyFill="1" applyBorder="1" applyAlignment="1">
      <alignment horizontal="center" vertical="center" wrapText="1"/>
    </xf>
    <xf numFmtId="5" fontId="4" fillId="8" borderId="14" xfId="0" applyNumberFormat="1" applyFont="1" applyFill="1" applyBorder="1" applyAlignment="1">
      <alignment horizontal="center" vertical="center" wrapText="1" readingOrder="1"/>
    </xf>
    <xf numFmtId="5" fontId="4" fillId="8" borderId="0" xfId="0" applyNumberFormat="1" applyFont="1" applyFill="1" applyAlignment="1">
      <alignment horizontal="center" vertical="center" wrapText="1" readingOrder="1"/>
    </xf>
    <xf numFmtId="5" fontId="4" fillId="8" borderId="19" xfId="0" applyNumberFormat="1" applyFont="1" applyFill="1" applyBorder="1" applyAlignment="1">
      <alignment horizontal="center" vertical="center" wrapText="1" readingOrder="1"/>
    </xf>
    <xf numFmtId="5" fontId="4" fillId="8" borderId="21" xfId="0" applyNumberFormat="1" applyFont="1" applyFill="1" applyBorder="1" applyAlignment="1">
      <alignment horizontal="center" vertical="center" wrapText="1" readingOrder="1"/>
    </xf>
    <xf numFmtId="167" fontId="3" fillId="7" borderId="9" xfId="82" applyNumberFormat="1" applyFont="1" applyFill="1" applyBorder="1" applyAlignment="1">
      <alignment horizontal="center" vertical="center" wrapText="1"/>
    </xf>
    <xf numFmtId="167" fontId="3" fillId="7" borderId="1" xfId="82" applyNumberFormat="1" applyFont="1" applyFill="1" applyBorder="1" applyAlignment="1">
      <alignment horizontal="center" vertical="center" wrapText="1"/>
    </xf>
    <xf numFmtId="168" fontId="3" fillId="23" borderId="9" xfId="83" applyNumberFormat="1" applyFont="1" applyFill="1" applyBorder="1" applyAlignment="1">
      <alignment horizontal="center" vertical="center" wrapText="1"/>
    </xf>
    <xf numFmtId="168" fontId="3" fillId="23" borderId="1" xfId="83" applyNumberFormat="1" applyFont="1" applyFill="1" applyBorder="1" applyAlignment="1">
      <alignment horizontal="center" vertical="center" wrapText="1"/>
    </xf>
    <xf numFmtId="168" fontId="3" fillId="24" borderId="13" xfId="83" applyNumberFormat="1" applyFont="1" applyFill="1" applyBorder="1" applyAlignment="1">
      <alignment horizontal="center" vertical="center" wrapText="1"/>
    </xf>
    <xf numFmtId="168" fontId="3" fillId="24" borderId="11" xfId="83" applyNumberFormat="1" applyFont="1" applyFill="1" applyBorder="1" applyAlignment="1">
      <alignment horizontal="center" vertical="center" wrapText="1"/>
    </xf>
    <xf numFmtId="168" fontId="3" fillId="24" borderId="19" xfId="83" applyNumberFormat="1" applyFont="1" applyFill="1" applyBorder="1" applyAlignment="1">
      <alignment horizontal="center" vertical="center" wrapText="1"/>
    </xf>
    <xf numFmtId="168" fontId="3" fillId="24" borderId="8" xfId="83" applyNumberFormat="1" applyFont="1" applyFill="1" applyBorder="1" applyAlignment="1">
      <alignment horizontal="center" vertical="center" wrapText="1"/>
    </xf>
    <xf numFmtId="168" fontId="3" fillId="25" borderId="9" xfId="83" applyNumberFormat="1" applyFont="1" applyFill="1" applyBorder="1" applyAlignment="1">
      <alignment horizontal="center" vertical="center" wrapText="1"/>
    </xf>
    <xf numFmtId="168" fontId="3" fillId="25" borderId="1" xfId="83" applyNumberFormat="1" applyFont="1" applyFill="1" applyBorder="1" applyAlignment="1">
      <alignment horizontal="center" vertical="center" wrapText="1"/>
    </xf>
    <xf numFmtId="168" fontId="3" fillId="7" borderId="9" xfId="83" applyNumberFormat="1" applyFont="1" applyFill="1" applyBorder="1" applyAlignment="1">
      <alignment horizontal="center" vertical="center" wrapText="1"/>
    </xf>
    <xf numFmtId="168" fontId="3" fillId="7" borderId="1" xfId="83" applyNumberFormat="1" applyFont="1" applyFill="1" applyBorder="1" applyAlignment="1">
      <alignment horizontal="center" vertical="center" wrapText="1"/>
    </xf>
    <xf numFmtId="170" fontId="9" fillId="13" borderId="14" xfId="81" applyNumberFormat="1" applyFont="1" applyFill="1" applyBorder="1" applyAlignment="1">
      <alignment horizontal="center" vertical="center" wrapText="1"/>
    </xf>
    <xf numFmtId="168" fontId="3" fillId="22" borderId="9" xfId="83" applyNumberFormat="1" applyFont="1" applyFill="1" applyBorder="1" applyAlignment="1">
      <alignment horizontal="center" vertical="center" wrapText="1"/>
    </xf>
    <xf numFmtId="168" fontId="3" fillId="22" borderId="1" xfId="83" applyNumberFormat="1" applyFont="1" applyFill="1" applyBorder="1" applyAlignment="1">
      <alignment horizontal="center" vertical="center" wrapText="1"/>
    </xf>
    <xf numFmtId="170" fontId="9" fillId="13" borderId="0" xfId="81" applyNumberFormat="1" applyFont="1" applyFill="1" applyAlignment="1">
      <alignment horizontal="center" vertical="center" wrapText="1"/>
    </xf>
    <xf numFmtId="167" fontId="12" fillId="12" borderId="2" xfId="82" applyNumberFormat="1" applyFont="1" applyFill="1" applyBorder="1" applyAlignment="1">
      <alignment horizontal="center" vertical="center" wrapText="1"/>
    </xf>
    <xf numFmtId="170" fontId="9" fillId="31" borderId="15" xfId="81" applyNumberFormat="1" applyFont="1" applyFill="1" applyBorder="1" applyAlignment="1">
      <alignment horizontal="center" vertical="center" wrapText="1"/>
    </xf>
    <xf numFmtId="170" fontId="9" fillId="31" borderId="8" xfId="81" applyNumberFormat="1" applyFont="1" applyFill="1" applyBorder="1" applyAlignment="1">
      <alignment horizontal="center" vertical="center" wrapText="1"/>
    </xf>
    <xf numFmtId="170" fontId="9" fillId="39" borderId="14" xfId="81" applyNumberFormat="1" applyFont="1" applyFill="1" applyBorder="1" applyAlignment="1">
      <alignment horizontal="center" vertical="center" wrapText="1"/>
    </xf>
    <xf numFmtId="170" fontId="9" fillId="39" borderId="19" xfId="81" applyNumberFormat="1" applyFont="1" applyFill="1" applyBorder="1" applyAlignment="1">
      <alignment horizontal="center" vertical="center" wrapText="1"/>
    </xf>
    <xf numFmtId="171" fontId="4" fillId="30" borderId="24" xfId="0" applyNumberFormat="1" applyFont="1" applyFill="1" applyBorder="1" applyAlignment="1">
      <alignment horizontal="center" vertical="center" wrapText="1"/>
    </xf>
    <xf numFmtId="171" fontId="4" fillId="30" borderId="9" xfId="0" applyNumberFormat="1" applyFont="1" applyFill="1" applyBorder="1" applyAlignment="1">
      <alignment horizontal="center" vertical="center" wrapText="1"/>
    </xf>
    <xf numFmtId="170" fontId="9" fillId="31" borderId="14" xfId="81" applyNumberFormat="1" applyFont="1" applyFill="1" applyBorder="1" applyAlignment="1">
      <alignment horizontal="center" vertical="center"/>
    </xf>
    <xf numFmtId="170" fontId="9" fillId="31" borderId="0" xfId="81" applyNumberFormat="1" applyFont="1" applyFill="1" applyAlignment="1">
      <alignment horizontal="center" vertical="center"/>
    </xf>
    <xf numFmtId="170" fontId="9" fillId="31" borderId="15" xfId="81" applyNumberFormat="1" applyFont="1" applyFill="1" applyBorder="1" applyAlignment="1">
      <alignment horizontal="center" vertical="center"/>
    </xf>
    <xf numFmtId="170" fontId="9" fillId="31" borderId="19" xfId="81" applyNumberFormat="1" applyFont="1" applyFill="1" applyBorder="1" applyAlignment="1">
      <alignment horizontal="center" vertical="center"/>
    </xf>
    <xf numFmtId="170" fontId="9" fillId="31" borderId="21" xfId="81" applyNumberFormat="1" applyFont="1" applyFill="1" applyBorder="1" applyAlignment="1">
      <alignment horizontal="center" vertical="center"/>
    </xf>
    <xf numFmtId="170" fontId="9" fillId="31" borderId="8" xfId="81" applyNumberFormat="1" applyFont="1" applyFill="1" applyBorder="1" applyAlignment="1">
      <alignment horizontal="center" vertical="center"/>
    </xf>
    <xf numFmtId="0" fontId="4" fillId="10" borderId="14" xfId="0" applyFont="1" applyFill="1" applyBorder="1" applyAlignment="1">
      <alignment horizontal="center" vertical="center" wrapText="1"/>
    </xf>
    <xf numFmtId="0" fontId="4" fillId="10" borderId="0" xfId="0" applyFont="1" applyFill="1" applyAlignment="1">
      <alignment horizontal="center" vertical="center" wrapText="1"/>
    </xf>
    <xf numFmtId="170" fontId="9" fillId="31" borderId="14" xfId="81" applyNumberFormat="1" applyFont="1" applyFill="1" applyBorder="1" applyAlignment="1">
      <alignment horizontal="center" vertical="center" wrapText="1"/>
    </xf>
    <xf numFmtId="170" fontId="9" fillId="31" borderId="0" xfId="81" applyNumberFormat="1" applyFont="1" applyFill="1" applyAlignment="1">
      <alignment horizontal="center" vertical="center" wrapText="1"/>
    </xf>
    <xf numFmtId="170" fontId="9" fillId="31" borderId="19" xfId="81" applyNumberFormat="1" applyFont="1" applyFill="1" applyBorder="1" applyAlignment="1">
      <alignment horizontal="center" vertical="center" wrapText="1"/>
    </xf>
    <xf numFmtId="170" fontId="9" fillId="31" borderId="21" xfId="81" applyNumberFormat="1" applyFont="1" applyFill="1" applyBorder="1" applyAlignment="1">
      <alignment horizontal="center" vertical="center" wrapText="1"/>
    </xf>
    <xf numFmtId="0" fontId="3" fillId="2" borderId="22" xfId="0" applyFont="1" applyFill="1" applyBorder="1" applyAlignment="1">
      <alignment horizontal="center" vertical="center" wrapText="1"/>
    </xf>
    <xf numFmtId="0" fontId="3" fillId="2" borderId="23" xfId="0" applyFont="1" applyFill="1" applyBorder="1" applyAlignment="1">
      <alignment horizontal="center" vertical="center" wrapText="1"/>
    </xf>
    <xf numFmtId="0" fontId="3" fillId="2" borderId="1" xfId="0" applyFont="1" applyFill="1" applyBorder="1" applyAlignment="1">
      <alignment horizontal="center" vertical="center" wrapText="1"/>
    </xf>
    <xf numFmtId="5" fontId="4" fillId="8" borderId="1" xfId="0" applyNumberFormat="1" applyFont="1" applyFill="1" applyBorder="1" applyAlignment="1">
      <alignment horizontal="center" vertical="center" wrapText="1" readingOrder="1"/>
    </xf>
    <xf numFmtId="5" fontId="12" fillId="15" borderId="1" xfId="0" applyNumberFormat="1" applyFont="1" applyFill="1" applyBorder="1" applyAlignment="1">
      <alignment horizontal="center" vertical="center" wrapText="1" readingOrder="1"/>
    </xf>
    <xf numFmtId="171" fontId="12" fillId="29" borderId="1" xfId="0" applyNumberFormat="1" applyFont="1" applyFill="1" applyBorder="1" applyAlignment="1">
      <alignment horizontal="center" vertical="center" wrapText="1"/>
    </xf>
    <xf numFmtId="171" fontId="4" fillId="30" borderId="1" xfId="0" applyNumberFormat="1" applyFont="1" applyFill="1" applyBorder="1" applyAlignment="1">
      <alignment horizontal="center" vertical="center" wrapText="1"/>
    </xf>
    <xf numFmtId="5" fontId="13" fillId="15" borderId="1" xfId="0" applyNumberFormat="1" applyFont="1" applyFill="1" applyBorder="1" applyAlignment="1">
      <alignment horizontal="center" vertical="center" wrapText="1" readingOrder="1"/>
    </xf>
    <xf numFmtId="171" fontId="4" fillId="26" borderId="1" xfId="0" applyNumberFormat="1" applyFont="1" applyFill="1" applyBorder="1" applyAlignment="1">
      <alignment horizontal="center" vertical="center" wrapText="1"/>
    </xf>
    <xf numFmtId="165" fontId="4" fillId="27" borderId="1" xfId="0" applyNumberFormat="1" applyFont="1" applyFill="1" applyBorder="1" applyAlignment="1">
      <alignment horizontal="center" vertical="center" wrapText="1"/>
    </xf>
    <xf numFmtId="165" fontId="12" fillId="28" borderId="1" xfId="0" applyNumberFormat="1" applyFont="1" applyFill="1" applyBorder="1" applyAlignment="1">
      <alignment horizontal="center" vertical="center" wrapText="1"/>
    </xf>
    <xf numFmtId="0" fontId="4" fillId="0" borderId="6" xfId="0" applyFont="1" applyBorder="1" applyAlignment="1">
      <alignment horizontal="center" vertical="top" wrapText="1"/>
    </xf>
    <xf numFmtId="0" fontId="4" fillId="0" borderId="7" xfId="0" applyFont="1" applyBorder="1" applyAlignment="1">
      <alignment horizontal="center" vertical="top" wrapText="1"/>
    </xf>
    <xf numFmtId="0" fontId="4" fillId="0" borderId="25" xfId="0" applyFont="1" applyBorder="1" applyAlignment="1">
      <alignment horizontal="center" vertical="top" wrapText="1"/>
    </xf>
    <xf numFmtId="171" fontId="4" fillId="30" borderId="6" xfId="0" applyNumberFormat="1" applyFont="1" applyFill="1" applyBorder="1" applyAlignment="1">
      <alignment horizontal="center" vertical="center" wrapText="1"/>
    </xf>
    <xf numFmtId="171" fontId="4" fillId="30" borderId="7" xfId="0" applyNumberFormat="1" applyFont="1" applyFill="1" applyBorder="1" applyAlignment="1">
      <alignment horizontal="center" vertical="center" wrapText="1"/>
    </xf>
    <xf numFmtId="171" fontId="4" fillId="30" borderId="25" xfId="0" applyNumberFormat="1" applyFont="1" applyFill="1" applyBorder="1" applyAlignment="1">
      <alignment horizontal="center" vertical="center" wrapText="1"/>
    </xf>
    <xf numFmtId="171" fontId="4" fillId="35" borderId="6" xfId="0" applyNumberFormat="1" applyFont="1" applyFill="1" applyBorder="1" applyAlignment="1">
      <alignment horizontal="center" vertical="center" wrapText="1"/>
    </xf>
    <xf numFmtId="171" fontId="4" fillId="35" borderId="7" xfId="0" applyNumberFormat="1" applyFont="1" applyFill="1" applyBorder="1" applyAlignment="1">
      <alignment horizontal="center" vertical="center" wrapText="1"/>
    </xf>
    <xf numFmtId="171" fontId="4" fillId="35" borderId="25" xfId="0" applyNumberFormat="1" applyFont="1" applyFill="1" applyBorder="1" applyAlignment="1">
      <alignment horizontal="center" vertical="center" wrapText="1"/>
    </xf>
    <xf numFmtId="5" fontId="4" fillId="10" borderId="1" xfId="0" applyNumberFormat="1" applyFont="1" applyFill="1" applyBorder="1" applyAlignment="1">
      <alignment horizontal="center" vertical="center" wrapText="1"/>
    </xf>
    <xf numFmtId="0" fontId="2" fillId="0" borderId="1" xfId="0" applyFont="1" applyBorder="1" applyAlignment="1">
      <alignment horizontal="center" wrapText="1"/>
    </xf>
  </cellXfs>
  <cellStyles count="84">
    <cellStyle name="Comma 2" xfId="76" xr:uid="{654C1DE6-C9D2-43B2-A6A1-70ADB8E8F200}"/>
    <cellStyle name="Currency 2" xfId="40" xr:uid="{5298A518-9A9D-431A-A939-8DDA79413727}"/>
    <cellStyle name="Hyperlink" xfId="6" xr:uid="{E2D51C63-ECBD-4178-A49C-4B8A66C86CFA}"/>
    <cellStyle name="Millares" xfId="82" builtinId="3"/>
    <cellStyle name="Millares 2" xfId="2" xr:uid="{4DF6EEB5-91E0-4CB9-A9CF-13F0A40CEF87}"/>
    <cellStyle name="Millares 2 2" xfId="42" xr:uid="{74B136EF-B776-435F-8190-AF15584F5601}"/>
    <cellStyle name="Moneda" xfId="83" builtinId="4"/>
    <cellStyle name="Moneda [0] 2" xfId="7" xr:uid="{945D1569-C067-4D98-B0B9-CA2B57602DD1}"/>
    <cellStyle name="Moneda 10" xfId="8" xr:uid="{77701EAA-F240-4816-81BD-8247B2FFF82D}"/>
    <cellStyle name="Moneda 10 2" xfId="24" xr:uid="{84FAAC82-8878-4AA5-B68C-81AB5DECE396}"/>
    <cellStyle name="Moneda 10 2 2" xfId="59" xr:uid="{0A2F3F83-63E0-496C-8CBC-1AE2C6BB6526}"/>
    <cellStyle name="Moneda 10 3" xfId="46" xr:uid="{8F6B25F1-443F-4709-9D33-1C0EDE4042CB}"/>
    <cellStyle name="Moneda 11" xfId="9" xr:uid="{949A689B-84A7-4EE0-886D-A40E182B2902}"/>
    <cellStyle name="Moneda 11 2" xfId="25" xr:uid="{F4F17084-866E-4ADE-ADAF-6E21BC94899F}"/>
    <cellStyle name="Moneda 11 2 2" xfId="60" xr:uid="{D5B034F0-08D1-4C6E-AA47-B8B5ECFAE70B}"/>
    <cellStyle name="Moneda 11 3" xfId="47" xr:uid="{8D5F9BD9-5753-414F-AD14-3026967AD257}"/>
    <cellStyle name="Moneda 12" xfId="23" xr:uid="{604449B2-30C4-446D-9E4A-DB7BC9E62A87}"/>
    <cellStyle name="Moneda 12 2" xfId="58" xr:uid="{A34F44A5-A166-4223-BB14-A9814DFD1210}"/>
    <cellStyle name="Moneda 13" xfId="5" xr:uid="{9A094CCB-574F-499B-A0D5-18F8F5E86484}"/>
    <cellStyle name="Moneda 13 2" xfId="45" xr:uid="{7540D6D5-936A-4119-8929-2CCC99AB4B81}"/>
    <cellStyle name="Moneda 14" xfId="36" xr:uid="{4B367B8B-0309-45E9-84E2-462B54E0A91D}"/>
    <cellStyle name="Moneda 14 2" xfId="71" xr:uid="{597CD90F-C6E2-44CD-884D-1B760210A35C}"/>
    <cellStyle name="Moneda 15" xfId="37" xr:uid="{FD84BC34-8BB4-4CA7-9419-17F4801A77B5}"/>
    <cellStyle name="Moneda 15 2" xfId="72" xr:uid="{FB78E0D1-C1C1-43E1-BE93-B5F53D1A3493}"/>
    <cellStyle name="Moneda 16" xfId="38" xr:uid="{760F2B17-374F-4E49-A506-E2F7096A7157}"/>
    <cellStyle name="Moneda 16 2" xfId="73" xr:uid="{467BE069-A0BA-4455-BF13-6ED248A255E8}"/>
    <cellStyle name="Moneda 17" xfId="39" xr:uid="{CB8B3302-1657-46C1-9313-573830F0D4E0}"/>
    <cellStyle name="Moneda 17 2" xfId="74" xr:uid="{7A771479-6D79-4820-B4DB-6A2913148729}"/>
    <cellStyle name="Moneda 18" xfId="78" xr:uid="{8F3D6541-9F56-4F98-BA6E-1C924DEEF9B5}"/>
    <cellStyle name="Moneda 19" xfId="80" xr:uid="{29ED7C2D-3DB6-48DD-A49E-F139EBA4DC40}"/>
    <cellStyle name="Moneda 2" xfId="3" xr:uid="{C647DDEB-F414-4C06-B028-D2355E85E2AB}"/>
    <cellStyle name="Moneda 2 2" xfId="11" xr:uid="{773D0B58-FB45-4416-9B66-C49D9E2BDF04}"/>
    <cellStyle name="Moneda 2 2 2" xfId="27" xr:uid="{2B13F050-46BF-4D00-8E11-3443D275E12A}"/>
    <cellStyle name="Moneda 2 2 2 2" xfId="62" xr:uid="{285E17F7-3C7C-4D04-88E1-79264C522DEE}"/>
    <cellStyle name="Moneda 2 2 3" xfId="49" xr:uid="{434B4FD5-85AE-48C0-B217-1646D02B1394}"/>
    <cellStyle name="Moneda 2 3" xfId="26" xr:uid="{550E9D66-0C9D-43BA-8281-8C76B7D4B8FE}"/>
    <cellStyle name="Moneda 2 3 2" xfId="61" xr:uid="{D8BA1A15-4DB7-4738-B57D-035B1EBF1A0C}"/>
    <cellStyle name="Moneda 2 4" xfId="10" xr:uid="{CAE033A8-524B-42D8-8D71-3738928C9939}"/>
    <cellStyle name="Moneda 2 4 2" xfId="48" xr:uid="{3B2515A0-41CA-4377-92C5-DA243CE06F1B}"/>
    <cellStyle name="Moneda 2 5" xfId="43" xr:uid="{04A27C04-344E-44E1-97DA-86C7166E4198}"/>
    <cellStyle name="Moneda 3" xfId="1" xr:uid="{00000000-0005-0000-0000-000001000000}"/>
    <cellStyle name="Moneda 3 2" xfId="4" xr:uid="{E26EF2A0-0209-4739-89E1-B8C9A1753E50}"/>
    <cellStyle name="Moneda 3 2 2" xfId="29" xr:uid="{61D723D1-FC51-48EC-A179-6C0A752CBDF4}"/>
    <cellStyle name="Moneda 3 2 2 2" xfId="64" xr:uid="{86511E01-48E4-4368-B0F1-77C951D3B92C}"/>
    <cellStyle name="Moneda 3 2 3" xfId="13" xr:uid="{F8A3861C-877B-43F4-BE34-BEDF08C7C6D6}"/>
    <cellStyle name="Moneda 3 2 3 2" xfId="51" xr:uid="{BDFD179A-DC67-4FF2-840A-F5127A9F07E4}"/>
    <cellStyle name="Moneda 3 2 4" xfId="44" xr:uid="{B0D6B4F0-01F3-49A8-955A-EF11BFBAFE47}"/>
    <cellStyle name="Moneda 3 3" xfId="28" xr:uid="{E43775B8-2EA6-4CBD-86C0-CE4469C39C6E}"/>
    <cellStyle name="Moneda 3 3 2" xfId="63" xr:uid="{D5676194-B7BA-434B-86F6-B39358797E20}"/>
    <cellStyle name="Moneda 3 4" xfId="12" xr:uid="{93B600EF-C04E-4E0C-8B47-DDCD1C88862A}"/>
    <cellStyle name="Moneda 3 4 2" xfId="50" xr:uid="{24680EDE-E107-4EBA-9543-36C952B3C38F}"/>
    <cellStyle name="Moneda 3 5" xfId="79" xr:uid="{ABF90D11-15A6-4517-B97D-D0662B71C6B0}"/>
    <cellStyle name="Moneda 3 6" xfId="41" xr:uid="{5DB97D48-F44C-4044-BACB-7158AA2D115A}"/>
    <cellStyle name="Moneda 4" xfId="14" xr:uid="{E6C9C127-46A7-4E15-B619-02BE62FBB7A5}"/>
    <cellStyle name="Moneda 4 2" xfId="30" xr:uid="{AB9F0BE5-F964-4238-A8BE-4158BAFB4119}"/>
    <cellStyle name="Moneda 4 2 2" xfId="65" xr:uid="{66A0FA94-FDBB-4D92-9A88-A2DF430EA7CF}"/>
    <cellStyle name="Moneda 4 3" xfId="52" xr:uid="{84B43BD2-D0B4-4955-8BA7-24C49619BD9C}"/>
    <cellStyle name="Moneda 5" xfId="15" xr:uid="{3AF6E389-C7FF-4DBE-B277-01EDEDAC39A3}"/>
    <cellStyle name="Moneda 5 2" xfId="31" xr:uid="{B464E793-BB6C-4ABC-A339-89B549CF66FD}"/>
    <cellStyle name="Moneda 5 2 2" xfId="66" xr:uid="{E83C7809-5B96-4FFD-BE20-6E1EF93154FD}"/>
    <cellStyle name="Moneda 5 3" xfId="53" xr:uid="{1F1DC994-DFC7-413A-B53E-D32AC266175D}"/>
    <cellStyle name="Moneda 6" xfId="16" xr:uid="{CE66FD5A-F4F1-4B90-A3D6-5E49F271EDFA}"/>
    <cellStyle name="Moneda 6 2" xfId="32" xr:uid="{11679015-21CD-42B0-94A7-39687F75010C}"/>
    <cellStyle name="Moneda 6 2 2" xfId="67" xr:uid="{0027EB79-0797-439A-94A6-52F0EF805BC5}"/>
    <cellStyle name="Moneda 6 3" xfId="54" xr:uid="{D1F362E2-2FC5-461F-A620-2AA54A666D0A}"/>
    <cellStyle name="Moneda 7" xfId="17" xr:uid="{FA654057-05D3-41A4-BDB8-C467F1CB8793}"/>
    <cellStyle name="Moneda 7 2" xfId="33" xr:uid="{482D7E7D-02C7-4A10-8A37-D620EB5A4D82}"/>
    <cellStyle name="Moneda 7 2 2" xfId="68" xr:uid="{6E27394B-A8D8-4F9D-A55D-34451C7E408C}"/>
    <cellStyle name="Moneda 7 3" xfId="55" xr:uid="{B4996DC1-CDE7-4112-A1F3-B50FCC831D46}"/>
    <cellStyle name="Moneda 8" xfId="18" xr:uid="{A086E3B7-0592-4DBB-BA09-FA1175C9F251}"/>
    <cellStyle name="Moneda 8 2" xfId="34" xr:uid="{417727E4-BD01-41E1-8871-248453914C88}"/>
    <cellStyle name="Moneda 8 2 2" xfId="69" xr:uid="{4449E0A4-B485-4AE3-A13A-BF3EF8E82A67}"/>
    <cellStyle name="Moneda 8 3" xfId="56" xr:uid="{F3FF6112-6562-4662-8FAF-286A507309D5}"/>
    <cellStyle name="Moneda 9" xfId="19" xr:uid="{6372F7D7-D178-454D-B321-7B4B3F655C2A}"/>
    <cellStyle name="Moneda 9 2" xfId="35" xr:uid="{0780FBCB-F8FD-4F91-9DBA-473623E24C20}"/>
    <cellStyle name="Moneda 9 2 2" xfId="70" xr:uid="{627595A9-E79E-4CFB-8258-C495B7515BF5}"/>
    <cellStyle name="Moneda 9 3" xfId="57" xr:uid="{115239DA-2141-49FA-8C19-23ECFC2A899A}"/>
    <cellStyle name="Normal" xfId="0" builtinId="0"/>
    <cellStyle name="Normal 2" xfId="20" xr:uid="{BFD28B6E-C8C5-4FAE-8B1A-C1D3969D6F3E}"/>
    <cellStyle name="Normal 2 2" xfId="21" xr:uid="{F1B212E6-8433-4551-AAB7-444D2A340C93}"/>
    <cellStyle name="Normal 3" xfId="75" xr:uid="{E3951576-1173-45D1-A5FC-4188BD6307CC}"/>
    <cellStyle name="Normal 3 2" xfId="77" xr:uid="{7E042A47-EF31-4C69-BD5C-250F75716A77}"/>
    <cellStyle name="Normal 4" xfId="81" xr:uid="{2A073DEA-630A-41C5-96ED-18FA9DA55C16}"/>
    <cellStyle name="Porcentaje 2" xfId="22" xr:uid="{8A30F5B4-AC00-4A5D-8D4B-19AAF0C706B9}"/>
  </cellStyles>
  <dxfs count="0"/>
  <tableStyles count="0" defaultTableStyle="TableStyleMedium2" defaultPivotStyle="PivotStyleLight16"/>
  <colors>
    <mruColors>
      <color rgb="FF89F3F3"/>
      <color rgb="FFFD7FFD"/>
      <color rgb="FFC6E0B4"/>
      <color rgb="FFFDD07F"/>
      <color rgb="FFD0FD7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person displayName="LIDIA YULIETH VALDEZ ARIAS" id="{9EB06280-2383-4CDC-B47B-95A8408E893E}" userId="1ef20c2fdfc459f4" providerId="Windows Live"/>
  <person displayName="Jheny Cecilia Bolanos Claros" id="{02880066-C4D1-4507-9178-0D6658E63AAE}" userId="S::Jheny.Bolanos@gobiernobogota.gov.co::bdc06258-fe23-452b-bd52-acfee0a09114" providerId="AD"/>
</personList>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77" dT="2026-04-16T01:51:52.47" personId="{02880066-C4D1-4507-9178-0D6658E63AAE}" id="{824F5919-FA54-4179-9E9C-9243A402770A}">
    <text>TIENE MARCA HONDA</text>
  </threadedComment>
</ThreadedComments>
</file>

<file path=xl/threadedComments/threadedComment2.xml><?xml version="1.0" encoding="utf-8"?>
<ThreadedComments xmlns="http://schemas.microsoft.com/office/spreadsheetml/2018/threadedcomments" xmlns:x="http://schemas.openxmlformats.org/spreadsheetml/2006/main">
  <threadedComment ref="B53" dT="2026-03-31T19:33:39.18" personId="{9EB06280-2383-4CDC-B47B-95A8408E893E}" id="{356EDD2D-8E70-4140-81BB-A6A09E1E39D6}">
    <text>Varia es en la palabra “caja”, son el mismo elemento</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microsoft.com/office/2017/10/relationships/threadedComment" Target="../threadedComments/threadedComment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CA6F81-D33A-48FF-9208-E4CEE590C5F1}">
  <dimension ref="A1:T989"/>
  <sheetViews>
    <sheetView topLeftCell="A3" zoomScale="59" zoomScaleNormal="59" workbookViewId="0">
      <pane xSplit="4" ySplit="2" topLeftCell="J20" activePane="bottomRight" state="frozen"/>
      <selection activeCell="A3" sqref="A3"/>
      <selection pane="topRight" activeCell="E3" sqref="E3"/>
      <selection pane="bottomLeft" activeCell="A5" sqref="A5"/>
      <selection pane="bottomRight" activeCell="D20" sqref="D20"/>
    </sheetView>
  </sheetViews>
  <sheetFormatPr baseColWidth="10" defaultColWidth="11.5" defaultRowHeight="16" x14ac:dyDescent="0.2"/>
  <cols>
    <col min="1" max="1" width="7.5" style="1" customWidth="1"/>
    <col min="2" max="2" width="17.5" style="7" customWidth="1"/>
    <col min="3" max="3" width="81.5" style="7" customWidth="1"/>
    <col min="4" max="4" width="20.5" style="6" customWidth="1"/>
    <col min="5" max="5" width="13.6640625" style="9" customWidth="1"/>
    <col min="6" max="6" width="26.6640625" style="1" customWidth="1"/>
    <col min="7" max="10" width="23.5" style="1" customWidth="1"/>
    <col min="11" max="11" width="17.6640625" style="1" customWidth="1"/>
    <col min="12" max="12" width="15.6640625" style="1" bestFit="1" customWidth="1"/>
    <col min="13" max="14" width="14.5" style="1" customWidth="1"/>
    <col min="15" max="15" width="17.33203125" style="1" customWidth="1"/>
    <col min="16" max="16" width="14.6640625" style="1" customWidth="1"/>
    <col min="17" max="18" width="21.5" style="1" customWidth="1"/>
    <col min="19" max="19" width="24.6640625" style="1" customWidth="1"/>
    <col min="20" max="20" width="31.33203125" style="9" customWidth="1"/>
    <col min="21" max="16384" width="11.5" style="1"/>
  </cols>
  <sheetData>
    <row r="1" spans="1:20" ht="15.5" customHeight="1" x14ac:dyDescent="0.2">
      <c r="A1" s="195" t="s">
        <v>0</v>
      </c>
      <c r="B1" s="196"/>
      <c r="C1" s="196"/>
      <c r="D1" s="196"/>
      <c r="E1" s="196"/>
    </row>
    <row r="2" spans="1:20" ht="15.5" customHeight="1" x14ac:dyDescent="0.2">
      <c r="A2" s="174" t="s">
        <v>1162</v>
      </c>
      <c r="B2" s="175"/>
      <c r="C2" s="175"/>
      <c r="D2" s="175"/>
      <c r="E2" s="175"/>
    </row>
    <row r="3" spans="1:20" s="27" customFormat="1" ht="60" customHeight="1" x14ac:dyDescent="0.2">
      <c r="A3" s="199" t="s">
        <v>1160</v>
      </c>
      <c r="B3" s="200"/>
      <c r="C3" s="200"/>
      <c r="D3" s="200"/>
      <c r="E3" s="201"/>
      <c r="F3" s="31" t="s">
        <v>890</v>
      </c>
      <c r="G3" s="31" t="s">
        <v>892</v>
      </c>
      <c r="H3" s="31" t="s">
        <v>991</v>
      </c>
      <c r="I3" s="31" t="s">
        <v>1011</v>
      </c>
      <c r="J3" s="31" t="s">
        <v>1025</v>
      </c>
      <c r="K3" s="197" t="s">
        <v>893</v>
      </c>
      <c r="L3" s="198"/>
      <c r="M3" s="198"/>
      <c r="N3" s="198"/>
      <c r="O3" s="198"/>
      <c r="P3" s="198"/>
      <c r="Q3" s="198"/>
      <c r="R3" s="198"/>
      <c r="S3" s="198"/>
      <c r="T3" s="11"/>
    </row>
    <row r="4" spans="1:20" s="11" customFormat="1" ht="68" x14ac:dyDescent="0.2">
      <c r="A4" s="3" t="s">
        <v>1</v>
      </c>
      <c r="B4" s="3" t="s">
        <v>2</v>
      </c>
      <c r="C4" s="44" t="s">
        <v>3</v>
      </c>
      <c r="D4" s="4" t="s">
        <v>4</v>
      </c>
      <c r="E4" s="4" t="s">
        <v>889</v>
      </c>
      <c r="F4" s="18" t="s">
        <v>891</v>
      </c>
      <c r="G4" s="18" t="s">
        <v>891</v>
      </c>
      <c r="H4" s="18" t="s">
        <v>891</v>
      </c>
      <c r="I4" s="18" t="s">
        <v>891</v>
      </c>
      <c r="J4" s="18" t="s">
        <v>891</v>
      </c>
      <c r="K4" s="36" t="s">
        <v>894</v>
      </c>
      <c r="L4" s="36" t="s">
        <v>895</v>
      </c>
      <c r="M4" s="36" t="s">
        <v>896</v>
      </c>
      <c r="N4" s="40" t="s">
        <v>897</v>
      </c>
      <c r="O4" s="41" t="s">
        <v>899</v>
      </c>
      <c r="P4" s="41" t="s">
        <v>900</v>
      </c>
      <c r="Q4" s="39" t="s">
        <v>898</v>
      </c>
      <c r="R4" s="39" t="s">
        <v>1048</v>
      </c>
      <c r="S4" s="41" t="s">
        <v>901</v>
      </c>
    </row>
    <row r="5" spans="1:20" s="27" customFormat="1" ht="85" x14ac:dyDescent="0.2">
      <c r="A5" s="126">
        <v>1</v>
      </c>
      <c r="B5" s="126" t="s">
        <v>6</v>
      </c>
      <c r="C5" s="67" t="s">
        <v>1275</v>
      </c>
      <c r="D5" s="126" t="s">
        <v>7</v>
      </c>
      <c r="E5" s="127">
        <v>350</v>
      </c>
      <c r="F5" s="54">
        <f>ROUND(14000+(14000*19%),0)</f>
        <v>16660</v>
      </c>
      <c r="G5" s="54">
        <f>ROUND(17000+(17000*19%),0)</f>
        <v>20230</v>
      </c>
      <c r="H5" s="54"/>
      <c r="I5" s="54"/>
      <c r="J5" s="54"/>
      <c r="K5" s="78">
        <f>+MEDIAN(F5,G5,H5,I5,J5)</f>
        <v>18445</v>
      </c>
      <c r="L5" s="78">
        <f>+AVERAGE(F5,G5,H5,I5,J5)</f>
        <v>18445</v>
      </c>
      <c r="M5" s="64">
        <f>+STDEV(F5,G5,H5,I5,J5)</f>
        <v>2524.3712088359748</v>
      </c>
      <c r="N5" s="65">
        <f>M5/L5</f>
        <v>0.13685937700384793</v>
      </c>
      <c r="O5" s="66">
        <f>Q5/1.19</f>
        <v>15500</v>
      </c>
      <c r="P5" s="66">
        <f>O5*19%</f>
        <v>2945</v>
      </c>
      <c r="Q5" s="128">
        <f>ROUNDUP(IF(N5&lt;15%,L5,K5),0)</f>
        <v>18445</v>
      </c>
      <c r="R5" s="128">
        <f>Q5*E5</f>
        <v>6455750</v>
      </c>
      <c r="S5" s="110" t="s">
        <v>903</v>
      </c>
      <c r="T5" s="11"/>
    </row>
    <row r="6" spans="1:20" s="27" customFormat="1" ht="147" customHeight="1" x14ac:dyDescent="0.2">
      <c r="A6" s="126">
        <v>2</v>
      </c>
      <c r="B6" s="67" t="s">
        <v>8</v>
      </c>
      <c r="C6" s="67" t="s">
        <v>1276</v>
      </c>
      <c r="D6" s="126" t="s">
        <v>7</v>
      </c>
      <c r="E6" s="127">
        <v>2</v>
      </c>
      <c r="F6" s="11"/>
      <c r="G6" s="11"/>
      <c r="H6" s="54">
        <v>612000</v>
      </c>
      <c r="I6" s="54">
        <v>538118</v>
      </c>
      <c r="J6" s="54">
        <v>501228</v>
      </c>
      <c r="K6" s="78">
        <f t="shared" ref="K6:K22" si="0">+MEDIAN(F6,G6,H6,I6,J6)</f>
        <v>538118</v>
      </c>
      <c r="L6" s="78">
        <f t="shared" ref="L6:L22" si="1">+AVERAGE(F6,G6,H6,I6,J6)</f>
        <v>550448.66666666663</v>
      </c>
      <c r="M6" s="64">
        <f t="shared" ref="M6:M22" si="2">+STDEV(F6,G6,H6,I6,J6)</f>
        <v>56406.054651369952</v>
      </c>
      <c r="N6" s="65">
        <f t="shared" ref="N6:N22" si="3">M6/L6</f>
        <v>0.10247286998249298</v>
      </c>
      <c r="O6" s="66">
        <f t="shared" ref="O6:O22" si="4">Q6/1.19</f>
        <v>462562.18487394962</v>
      </c>
      <c r="P6" s="66">
        <f t="shared" ref="P6:P22" si="5">O6*19%</f>
        <v>87886.815126050424</v>
      </c>
      <c r="Q6" s="128">
        <f t="shared" ref="Q6:Q20" si="6">ROUNDUP(IF(N6&lt;15%,L6,K6),0)</f>
        <v>550449</v>
      </c>
      <c r="R6" s="128">
        <f t="shared" ref="R6:R22" si="7">Q6*E6</f>
        <v>1100898</v>
      </c>
      <c r="S6" s="110" t="s">
        <v>903</v>
      </c>
      <c r="T6" s="63"/>
    </row>
    <row r="7" spans="1:20" s="27" customFormat="1" ht="404" x14ac:dyDescent="0.2">
      <c r="A7" s="126">
        <v>3</v>
      </c>
      <c r="B7" s="67" t="s">
        <v>9</v>
      </c>
      <c r="C7" s="67" t="s">
        <v>1078</v>
      </c>
      <c r="D7" s="126" t="s">
        <v>1073</v>
      </c>
      <c r="E7" s="127">
        <v>3</v>
      </c>
      <c r="F7" s="11"/>
      <c r="G7" s="11"/>
      <c r="H7" s="54"/>
      <c r="I7" s="54">
        <v>205334.5</v>
      </c>
      <c r="J7" s="54">
        <v>173204.5</v>
      </c>
      <c r="K7" s="78">
        <f t="shared" si="0"/>
        <v>189269.5</v>
      </c>
      <c r="L7" s="78">
        <f t="shared" si="1"/>
        <v>189269.5</v>
      </c>
      <c r="M7" s="64">
        <f t="shared" si="2"/>
        <v>22719.340879523774</v>
      </c>
      <c r="N7" s="65">
        <f t="shared" si="3"/>
        <v>0.12003698894710332</v>
      </c>
      <c r="O7" s="66">
        <f t="shared" si="4"/>
        <v>159050.42016806724</v>
      </c>
      <c r="P7" s="66">
        <f t="shared" si="5"/>
        <v>30219.579831932777</v>
      </c>
      <c r="Q7" s="128">
        <f t="shared" si="6"/>
        <v>189270</v>
      </c>
      <c r="R7" s="128">
        <f t="shared" si="7"/>
        <v>567810</v>
      </c>
      <c r="S7" s="110" t="s">
        <v>903</v>
      </c>
      <c r="T7" s="11"/>
    </row>
    <row r="8" spans="1:20" s="27" customFormat="1" ht="272" x14ac:dyDescent="0.2">
      <c r="A8" s="126">
        <v>4</v>
      </c>
      <c r="B8" s="67" t="s">
        <v>10</v>
      </c>
      <c r="C8" s="67" t="s">
        <v>1079</v>
      </c>
      <c r="D8" s="126" t="s">
        <v>1073</v>
      </c>
      <c r="E8" s="127">
        <v>3</v>
      </c>
      <c r="F8" s="11"/>
      <c r="G8" s="11"/>
      <c r="H8" s="54"/>
      <c r="I8" s="54">
        <v>233656.5</v>
      </c>
      <c r="J8" s="54">
        <v>209856.5</v>
      </c>
      <c r="K8" s="78">
        <f t="shared" si="0"/>
        <v>221756.5</v>
      </c>
      <c r="L8" s="78">
        <f t="shared" si="1"/>
        <v>221756.5</v>
      </c>
      <c r="M8" s="64">
        <f t="shared" si="2"/>
        <v>16829.141392239831</v>
      </c>
      <c r="N8" s="65">
        <f t="shared" si="3"/>
        <v>7.5890183116345322E-2</v>
      </c>
      <c r="O8" s="66">
        <f t="shared" si="4"/>
        <v>186350.42016806724</v>
      </c>
      <c r="P8" s="66">
        <f t="shared" si="5"/>
        <v>35406.579831932773</v>
      </c>
      <c r="Q8" s="128">
        <f t="shared" si="6"/>
        <v>221757</v>
      </c>
      <c r="R8" s="128">
        <f t="shared" si="7"/>
        <v>665271</v>
      </c>
      <c r="S8" s="110" t="s">
        <v>903</v>
      </c>
      <c r="T8" s="63"/>
    </row>
    <row r="9" spans="1:20" s="27" customFormat="1" ht="340" x14ac:dyDescent="0.2">
      <c r="A9" s="126">
        <v>5</v>
      </c>
      <c r="B9" s="67" t="s">
        <v>1072</v>
      </c>
      <c r="C9" s="67" t="s">
        <v>1075</v>
      </c>
      <c r="D9" s="126" t="s">
        <v>1073</v>
      </c>
      <c r="E9" s="127">
        <v>3</v>
      </c>
      <c r="F9" s="11"/>
      <c r="G9" s="11"/>
      <c r="H9" s="54"/>
      <c r="I9" s="54">
        <v>247817.5</v>
      </c>
      <c r="J9" s="54">
        <v>226397.5</v>
      </c>
      <c r="K9" s="78">
        <f t="shared" si="0"/>
        <v>237107.5</v>
      </c>
      <c r="L9" s="78">
        <f t="shared" si="1"/>
        <v>237107.5</v>
      </c>
      <c r="M9" s="64">
        <f t="shared" si="2"/>
        <v>15146.227253015848</v>
      </c>
      <c r="N9" s="65">
        <f t="shared" si="3"/>
        <v>6.3879157146087107E-2</v>
      </c>
      <c r="O9" s="66">
        <f t="shared" si="4"/>
        <v>199250.42016806724</v>
      </c>
      <c r="P9" s="66">
        <f t="shared" si="5"/>
        <v>37857.579831932773</v>
      </c>
      <c r="Q9" s="128">
        <f t="shared" si="6"/>
        <v>237108</v>
      </c>
      <c r="R9" s="128">
        <f t="shared" si="7"/>
        <v>711324</v>
      </c>
      <c r="S9" s="110" t="s">
        <v>903</v>
      </c>
      <c r="T9" s="63"/>
    </row>
    <row r="10" spans="1:20" s="27" customFormat="1" ht="147" customHeight="1" x14ac:dyDescent="0.2">
      <c r="A10" s="126">
        <v>6</v>
      </c>
      <c r="B10" s="67" t="s">
        <v>11</v>
      </c>
      <c r="C10" s="67" t="s">
        <v>1277</v>
      </c>
      <c r="D10" s="126" t="s">
        <v>1073</v>
      </c>
      <c r="E10" s="127">
        <v>3</v>
      </c>
      <c r="F10" s="11"/>
      <c r="G10" s="11"/>
      <c r="H10" s="54"/>
      <c r="I10" s="54">
        <v>297381</v>
      </c>
      <c r="J10" s="54">
        <v>239071</v>
      </c>
      <c r="K10" s="78">
        <f t="shared" si="0"/>
        <v>268226</v>
      </c>
      <c r="L10" s="78">
        <f t="shared" si="1"/>
        <v>268226</v>
      </c>
      <c r="M10" s="64">
        <f t="shared" si="2"/>
        <v>41231.396410987589</v>
      </c>
      <c r="N10" s="65">
        <f t="shared" si="3"/>
        <v>0.15371886547533642</v>
      </c>
      <c r="O10" s="66">
        <f t="shared" si="4"/>
        <v>225400</v>
      </c>
      <c r="P10" s="66">
        <f t="shared" si="5"/>
        <v>42826</v>
      </c>
      <c r="Q10" s="128">
        <f t="shared" si="6"/>
        <v>268226</v>
      </c>
      <c r="R10" s="128">
        <f t="shared" si="7"/>
        <v>804678</v>
      </c>
      <c r="S10" s="110" t="s">
        <v>903</v>
      </c>
      <c r="T10" s="11"/>
    </row>
    <row r="11" spans="1:20" s="27" customFormat="1" ht="170" x14ac:dyDescent="0.2">
      <c r="A11" s="126">
        <v>7</v>
      </c>
      <c r="B11" s="67" t="s">
        <v>12</v>
      </c>
      <c r="C11" s="67" t="s">
        <v>1080</v>
      </c>
      <c r="D11" s="126" t="s">
        <v>7</v>
      </c>
      <c r="E11" s="127">
        <v>5</v>
      </c>
      <c r="F11" s="11"/>
      <c r="G11" s="11"/>
      <c r="H11" s="54">
        <v>178500</v>
      </c>
      <c r="I11" s="54">
        <v>177012.5</v>
      </c>
      <c r="J11" s="54">
        <v>149642.5</v>
      </c>
      <c r="K11" s="78">
        <f t="shared" si="0"/>
        <v>177012.5</v>
      </c>
      <c r="L11" s="78">
        <f t="shared" si="1"/>
        <v>168385</v>
      </c>
      <c r="M11" s="64">
        <f t="shared" si="2"/>
        <v>16248.512047261434</v>
      </c>
      <c r="N11" s="65">
        <f t="shared" si="3"/>
        <v>9.6496196497677544E-2</v>
      </c>
      <c r="O11" s="66">
        <f t="shared" si="4"/>
        <v>141500</v>
      </c>
      <c r="P11" s="66">
        <f t="shared" si="5"/>
        <v>26885</v>
      </c>
      <c r="Q11" s="128">
        <f t="shared" si="6"/>
        <v>168385</v>
      </c>
      <c r="R11" s="128">
        <f t="shared" si="7"/>
        <v>841925</v>
      </c>
      <c r="S11" s="110" t="s">
        <v>903</v>
      </c>
      <c r="T11" s="11"/>
    </row>
    <row r="12" spans="1:20" s="27" customFormat="1" ht="198.75" customHeight="1" x14ac:dyDescent="0.2">
      <c r="A12" s="126">
        <v>8</v>
      </c>
      <c r="B12" s="67" t="s">
        <v>13</v>
      </c>
      <c r="C12" s="67" t="s">
        <v>1081</v>
      </c>
      <c r="D12" s="126" t="s">
        <v>1073</v>
      </c>
      <c r="E12" s="127">
        <v>3</v>
      </c>
      <c r="F12" s="11"/>
      <c r="G12" s="11"/>
      <c r="H12" s="54">
        <v>499800</v>
      </c>
      <c r="I12" s="54">
        <v>594762</v>
      </c>
      <c r="J12" s="54">
        <v>476952</v>
      </c>
      <c r="K12" s="78">
        <f t="shared" si="0"/>
        <v>499800</v>
      </c>
      <c r="L12" s="78">
        <f t="shared" si="1"/>
        <v>523838</v>
      </c>
      <c r="M12" s="64">
        <f t="shared" si="2"/>
        <v>62475.339999074837</v>
      </c>
      <c r="N12" s="65">
        <f t="shared" si="3"/>
        <v>0.11926461997616598</v>
      </c>
      <c r="O12" s="66">
        <f t="shared" si="4"/>
        <v>440200</v>
      </c>
      <c r="P12" s="66">
        <f t="shared" si="5"/>
        <v>83638</v>
      </c>
      <c r="Q12" s="128">
        <f t="shared" si="6"/>
        <v>523838</v>
      </c>
      <c r="R12" s="128">
        <f t="shared" si="7"/>
        <v>1571514</v>
      </c>
      <c r="S12" s="110" t="s">
        <v>903</v>
      </c>
      <c r="T12" s="11"/>
    </row>
    <row r="13" spans="1:20" s="27" customFormat="1" ht="119" x14ac:dyDescent="0.2">
      <c r="A13" s="126">
        <v>9</v>
      </c>
      <c r="B13" s="67" t="s">
        <v>14</v>
      </c>
      <c r="C13" s="67" t="s">
        <v>1074</v>
      </c>
      <c r="D13" s="126" t="s">
        <v>1073</v>
      </c>
      <c r="E13" s="127">
        <v>4</v>
      </c>
      <c r="F13" s="11"/>
      <c r="G13" s="11"/>
      <c r="H13" s="54">
        <v>190400</v>
      </c>
      <c r="I13" s="54">
        <v>184093</v>
      </c>
      <c r="J13" s="54">
        <v>201943</v>
      </c>
      <c r="K13" s="78">
        <f t="shared" si="0"/>
        <v>190400</v>
      </c>
      <c r="L13" s="78">
        <f t="shared" si="1"/>
        <v>192145.33333333334</v>
      </c>
      <c r="M13" s="64">
        <f t="shared" si="2"/>
        <v>9052.0862972760788</v>
      </c>
      <c r="N13" s="65">
        <f t="shared" si="3"/>
        <v>4.7110622674205349E-2</v>
      </c>
      <c r="O13" s="66">
        <f t="shared" si="4"/>
        <v>161467.22689075631</v>
      </c>
      <c r="P13" s="66">
        <f t="shared" si="5"/>
        <v>30678.773109243699</v>
      </c>
      <c r="Q13" s="128">
        <f t="shared" si="6"/>
        <v>192146</v>
      </c>
      <c r="R13" s="128">
        <f t="shared" si="7"/>
        <v>768584</v>
      </c>
      <c r="S13" s="110" t="s">
        <v>903</v>
      </c>
      <c r="T13" s="11"/>
    </row>
    <row r="14" spans="1:20" s="27" customFormat="1" ht="221" x14ac:dyDescent="0.2">
      <c r="A14" s="126">
        <v>10</v>
      </c>
      <c r="B14" s="110" t="s">
        <v>15</v>
      </c>
      <c r="C14" s="67" t="s">
        <v>1082</v>
      </c>
      <c r="D14" s="63" t="s">
        <v>7</v>
      </c>
      <c r="E14" s="63">
        <v>3</v>
      </c>
      <c r="F14" s="11"/>
      <c r="G14" s="11"/>
      <c r="H14" s="54"/>
      <c r="I14" s="54">
        <v>495635</v>
      </c>
      <c r="J14" s="54">
        <v>529550</v>
      </c>
      <c r="K14" s="78">
        <f t="shared" si="0"/>
        <v>512592.5</v>
      </c>
      <c r="L14" s="78">
        <f t="shared" si="1"/>
        <v>512592.5</v>
      </c>
      <c r="M14" s="64">
        <f t="shared" si="2"/>
        <v>23981.526483941758</v>
      </c>
      <c r="N14" s="65">
        <f t="shared" si="3"/>
        <v>4.6784778325749517E-2</v>
      </c>
      <c r="O14" s="66">
        <f t="shared" si="4"/>
        <v>430750.42016806727</v>
      </c>
      <c r="P14" s="66">
        <f t="shared" si="5"/>
        <v>81842.579831932788</v>
      </c>
      <c r="Q14" s="128">
        <f t="shared" si="6"/>
        <v>512593</v>
      </c>
      <c r="R14" s="128">
        <f t="shared" si="7"/>
        <v>1537779</v>
      </c>
      <c r="S14" s="110" t="s">
        <v>903</v>
      </c>
      <c r="T14" s="11"/>
    </row>
    <row r="15" spans="1:20" s="27" customFormat="1" ht="409.6" x14ac:dyDescent="0.2">
      <c r="A15" s="126">
        <v>11</v>
      </c>
      <c r="B15" s="110" t="s">
        <v>1071</v>
      </c>
      <c r="C15" s="67" t="s">
        <v>1076</v>
      </c>
      <c r="D15" s="126" t="s">
        <v>1073</v>
      </c>
      <c r="E15" s="63">
        <v>10</v>
      </c>
      <c r="F15" s="11"/>
      <c r="G15" s="11"/>
      <c r="H15" s="54"/>
      <c r="I15" s="54">
        <v>134529.5</v>
      </c>
      <c r="J15" s="54">
        <v>119059.5</v>
      </c>
      <c r="K15" s="78">
        <f t="shared" si="0"/>
        <v>126794.5</v>
      </c>
      <c r="L15" s="78">
        <f t="shared" si="1"/>
        <v>126794.5</v>
      </c>
      <c r="M15" s="64">
        <f t="shared" si="2"/>
        <v>10938.941904955891</v>
      </c>
      <c r="N15" s="65">
        <f t="shared" si="3"/>
        <v>8.6273000050916177E-2</v>
      </c>
      <c r="O15" s="66">
        <f t="shared" si="4"/>
        <v>106550.42016806723</v>
      </c>
      <c r="P15" s="66">
        <f t="shared" si="5"/>
        <v>20244.579831932773</v>
      </c>
      <c r="Q15" s="128">
        <f t="shared" si="6"/>
        <v>126795</v>
      </c>
      <c r="R15" s="128">
        <f t="shared" si="7"/>
        <v>1267950</v>
      </c>
      <c r="S15" s="110" t="s">
        <v>903</v>
      </c>
      <c r="T15" s="63"/>
    </row>
    <row r="16" spans="1:20" s="27" customFormat="1" ht="278.25" customHeight="1" x14ac:dyDescent="0.2">
      <c r="A16" s="126">
        <v>12</v>
      </c>
      <c r="B16" s="110" t="s">
        <v>1062</v>
      </c>
      <c r="C16" s="67" t="s">
        <v>1083</v>
      </c>
      <c r="D16" s="63" t="s">
        <v>1073</v>
      </c>
      <c r="E16" s="63">
        <v>15</v>
      </c>
      <c r="F16" s="11"/>
      <c r="G16" s="11"/>
      <c r="H16" s="54"/>
      <c r="I16" s="54">
        <v>73637.2</v>
      </c>
      <c r="J16" s="54">
        <v>84609</v>
      </c>
      <c r="K16" s="78">
        <f t="shared" si="0"/>
        <v>79123.100000000006</v>
      </c>
      <c r="L16" s="78">
        <f t="shared" si="1"/>
        <v>79123.100000000006</v>
      </c>
      <c r="M16" s="64">
        <f t="shared" si="2"/>
        <v>7758.2341818225641</v>
      </c>
      <c r="N16" s="65">
        <f t="shared" si="3"/>
        <v>9.8052707513009013E-2</v>
      </c>
      <c r="O16" s="66">
        <f t="shared" si="4"/>
        <v>66490.756302521011</v>
      </c>
      <c r="P16" s="66">
        <f t="shared" si="5"/>
        <v>12633.243697478993</v>
      </c>
      <c r="Q16" s="128">
        <f t="shared" si="6"/>
        <v>79124</v>
      </c>
      <c r="R16" s="128">
        <f t="shared" si="7"/>
        <v>1186860</v>
      </c>
      <c r="S16" s="110" t="s">
        <v>903</v>
      </c>
      <c r="T16" s="11"/>
    </row>
    <row r="17" spans="1:20" s="27" customFormat="1" ht="289" x14ac:dyDescent="0.2">
      <c r="A17" s="126">
        <v>13</v>
      </c>
      <c r="B17" s="110" t="s">
        <v>16</v>
      </c>
      <c r="C17" s="67" t="s">
        <v>1278</v>
      </c>
      <c r="D17" s="63" t="s">
        <v>7</v>
      </c>
      <c r="E17" s="63">
        <v>340</v>
      </c>
      <c r="F17" s="11"/>
      <c r="G17" s="11"/>
      <c r="H17" s="54"/>
      <c r="I17" s="54">
        <v>17701.25</v>
      </c>
      <c r="J17" s="54">
        <v>19635</v>
      </c>
      <c r="K17" s="78">
        <f t="shared" si="0"/>
        <v>18668.125</v>
      </c>
      <c r="L17" s="78">
        <f t="shared" si="1"/>
        <v>18668.125</v>
      </c>
      <c r="M17" s="64">
        <f t="shared" si="2"/>
        <v>1367.3677381194864</v>
      </c>
      <c r="N17" s="65">
        <f t="shared" si="3"/>
        <v>7.3246120760359509E-2</v>
      </c>
      <c r="O17" s="66">
        <f t="shared" si="4"/>
        <v>15688.235294117649</v>
      </c>
      <c r="P17" s="66">
        <f t="shared" si="5"/>
        <v>2980.7647058823532</v>
      </c>
      <c r="Q17" s="128">
        <f t="shared" si="6"/>
        <v>18669</v>
      </c>
      <c r="R17" s="128">
        <f t="shared" si="7"/>
        <v>6347460</v>
      </c>
      <c r="S17" s="110" t="s">
        <v>903</v>
      </c>
      <c r="T17" s="11"/>
    </row>
    <row r="18" spans="1:20" s="27" customFormat="1" ht="170" x14ac:dyDescent="0.2">
      <c r="A18" s="126">
        <v>14</v>
      </c>
      <c r="B18" s="110" t="s">
        <v>17</v>
      </c>
      <c r="C18" s="67" t="s">
        <v>1084</v>
      </c>
      <c r="D18" s="63" t="s">
        <v>7</v>
      </c>
      <c r="E18" s="63">
        <v>1000</v>
      </c>
      <c r="F18" s="11"/>
      <c r="G18" s="11"/>
      <c r="H18" s="54"/>
      <c r="I18" s="54">
        <v>3965.08</v>
      </c>
      <c r="J18" s="54">
        <v>3570</v>
      </c>
      <c r="K18" s="78">
        <f t="shared" si="0"/>
        <v>3767.54</v>
      </c>
      <c r="L18" s="78">
        <f t="shared" si="1"/>
        <v>3767.54</v>
      </c>
      <c r="M18" s="64">
        <f t="shared" si="2"/>
        <v>279.36374711118111</v>
      </c>
      <c r="N18" s="65">
        <f t="shared" si="3"/>
        <v>7.4150174148431364E-2</v>
      </c>
      <c r="O18" s="66">
        <f t="shared" si="4"/>
        <v>3166.386554621849</v>
      </c>
      <c r="P18" s="66">
        <f t="shared" si="5"/>
        <v>601.61344537815137</v>
      </c>
      <c r="Q18" s="128">
        <f t="shared" si="6"/>
        <v>3768</v>
      </c>
      <c r="R18" s="128">
        <f t="shared" si="7"/>
        <v>3768000</v>
      </c>
      <c r="S18" s="110" t="s">
        <v>903</v>
      </c>
      <c r="T18" s="11"/>
    </row>
    <row r="19" spans="1:20" s="27" customFormat="1" ht="409.6" x14ac:dyDescent="0.2">
      <c r="A19" s="126">
        <v>15</v>
      </c>
      <c r="B19" s="110" t="s">
        <v>18</v>
      </c>
      <c r="C19" s="67" t="s">
        <v>825</v>
      </c>
      <c r="D19" s="63" t="s">
        <v>7</v>
      </c>
      <c r="E19" s="63">
        <v>10</v>
      </c>
      <c r="F19" s="11"/>
      <c r="G19" s="11"/>
      <c r="H19" s="54"/>
      <c r="I19" s="54">
        <v>261978.5</v>
      </c>
      <c r="J19" s="54">
        <v>238595</v>
      </c>
      <c r="K19" s="78">
        <f t="shared" si="0"/>
        <v>250286.75</v>
      </c>
      <c r="L19" s="78">
        <f t="shared" si="1"/>
        <v>250286.75</v>
      </c>
      <c r="M19" s="64">
        <f t="shared" si="2"/>
        <v>16534.631417875633</v>
      </c>
      <c r="N19" s="65">
        <f t="shared" si="3"/>
        <v>6.6062751695308009E-2</v>
      </c>
      <c r="O19" s="66">
        <f t="shared" si="4"/>
        <v>210325.21008403364</v>
      </c>
      <c r="P19" s="66">
        <f t="shared" si="5"/>
        <v>39961.789915966394</v>
      </c>
      <c r="Q19" s="128">
        <f t="shared" si="6"/>
        <v>250287</v>
      </c>
      <c r="R19" s="128">
        <f t="shared" si="7"/>
        <v>2502870</v>
      </c>
      <c r="S19" s="110" t="s">
        <v>903</v>
      </c>
      <c r="T19" s="11"/>
    </row>
    <row r="20" spans="1:20" s="27" customFormat="1" ht="125.25" customHeight="1" x14ac:dyDescent="0.2">
      <c r="A20" s="126">
        <v>16</v>
      </c>
      <c r="B20" s="110" t="s">
        <v>19</v>
      </c>
      <c r="C20" s="67" t="s">
        <v>1077</v>
      </c>
      <c r="D20" s="63" t="s">
        <v>7</v>
      </c>
      <c r="E20" s="63">
        <v>300</v>
      </c>
      <c r="F20" s="11"/>
      <c r="G20" s="11"/>
      <c r="H20" s="54"/>
      <c r="I20" s="54">
        <v>13452.95</v>
      </c>
      <c r="J20" s="54">
        <v>12852</v>
      </c>
      <c r="K20" s="78">
        <f t="shared" si="0"/>
        <v>13152.475</v>
      </c>
      <c r="L20" s="78">
        <f t="shared" si="1"/>
        <v>13152.475</v>
      </c>
      <c r="M20" s="64">
        <f t="shared" si="2"/>
        <v>424.93582015405627</v>
      </c>
      <c r="N20" s="65">
        <f t="shared" si="3"/>
        <v>3.2308430174096986E-2</v>
      </c>
      <c r="O20" s="66">
        <f t="shared" si="4"/>
        <v>11052.941176470589</v>
      </c>
      <c r="P20" s="66">
        <f t="shared" si="5"/>
        <v>2100.0588235294122</v>
      </c>
      <c r="Q20" s="128">
        <f t="shared" si="6"/>
        <v>13153</v>
      </c>
      <c r="R20" s="128">
        <f t="shared" si="7"/>
        <v>3945900</v>
      </c>
      <c r="S20" s="110" t="s">
        <v>903</v>
      </c>
      <c r="T20" s="11"/>
    </row>
    <row r="21" spans="1:20" s="27" customFormat="1" ht="189" customHeight="1" x14ac:dyDescent="0.2">
      <c r="A21" s="126">
        <v>17</v>
      </c>
      <c r="B21" s="110" t="s">
        <v>20</v>
      </c>
      <c r="C21" s="106" t="s">
        <v>1279</v>
      </c>
      <c r="D21" s="63" t="s">
        <v>21</v>
      </c>
      <c r="E21" s="63">
        <v>5</v>
      </c>
      <c r="F21" s="11"/>
      <c r="G21" s="11"/>
      <c r="H21" s="54">
        <v>74970</v>
      </c>
      <c r="I21" s="54">
        <v>134529.5</v>
      </c>
      <c r="J21" s="54">
        <v>122570</v>
      </c>
      <c r="K21" s="78">
        <f t="shared" ref="K21" si="8">+MEDIAN(F21,G21,H21,I21,J21)</f>
        <v>122570</v>
      </c>
      <c r="L21" s="78">
        <f t="shared" ref="L21" si="9">+AVERAGE(F21,G21,H21,I21,J21)</f>
        <v>110689.83333333333</v>
      </c>
      <c r="M21" s="64">
        <f t="shared" ref="M21" si="10">+STDEV(F21,G21,H21,I21,J21)</f>
        <v>31506.940189160421</v>
      </c>
      <c r="N21" s="65">
        <f t="shared" ref="N21" si="11">M21/L21</f>
        <v>0.28464168063456979</v>
      </c>
      <c r="O21" s="66">
        <f t="shared" si="4"/>
        <v>103000</v>
      </c>
      <c r="P21" s="66">
        <f t="shared" si="5"/>
        <v>19570</v>
      </c>
      <c r="Q21" s="128">
        <f>ROUNDUP(IF(N21&lt;15%,L21,K21),0)</f>
        <v>122570</v>
      </c>
      <c r="R21" s="128">
        <f t="shared" si="7"/>
        <v>612850</v>
      </c>
      <c r="S21" s="110" t="s">
        <v>902</v>
      </c>
      <c r="T21" s="11"/>
    </row>
    <row r="22" spans="1:20" s="27" customFormat="1" ht="170" x14ac:dyDescent="0.2">
      <c r="A22" s="126">
        <v>18</v>
      </c>
      <c r="B22" s="110" t="s">
        <v>1280</v>
      </c>
      <c r="C22" s="67" t="s">
        <v>1281</v>
      </c>
      <c r="D22" s="126" t="s">
        <v>1073</v>
      </c>
      <c r="E22" s="63">
        <v>5</v>
      </c>
      <c r="F22" s="11"/>
      <c r="G22" s="11"/>
      <c r="H22" s="11"/>
      <c r="I22" s="54">
        <v>3115420</v>
      </c>
      <c r="J22" s="54">
        <v>3022600</v>
      </c>
      <c r="K22" s="78">
        <f t="shared" si="0"/>
        <v>3069010</v>
      </c>
      <c r="L22" s="78">
        <f t="shared" si="1"/>
        <v>3069010</v>
      </c>
      <c r="M22" s="64">
        <f t="shared" si="2"/>
        <v>65633.651429735342</v>
      </c>
      <c r="N22" s="65">
        <f t="shared" si="3"/>
        <v>2.138593599556057E-2</v>
      </c>
      <c r="O22" s="66">
        <f t="shared" si="4"/>
        <v>2579000</v>
      </c>
      <c r="P22" s="66">
        <f t="shared" si="5"/>
        <v>490010</v>
      </c>
      <c r="Q22" s="128">
        <f>ROUNDUP(IF(N22&lt;15%,L22,K22),0)</f>
        <v>3069010</v>
      </c>
      <c r="R22" s="128">
        <f t="shared" si="7"/>
        <v>15345050</v>
      </c>
      <c r="S22" s="110" t="s">
        <v>903</v>
      </c>
      <c r="T22" s="63"/>
    </row>
    <row r="23" spans="1:20" ht="17" x14ac:dyDescent="0.2">
      <c r="A23" s="27"/>
      <c r="B23" s="67"/>
      <c r="C23" s="62" t="s">
        <v>1047</v>
      </c>
      <c r="D23" s="63"/>
      <c r="E23" s="11"/>
      <c r="F23" s="27"/>
      <c r="G23" s="27"/>
      <c r="H23" s="27"/>
      <c r="I23" s="27"/>
      <c r="J23" s="27"/>
      <c r="K23" s="78"/>
      <c r="L23" s="78"/>
      <c r="M23" s="64"/>
      <c r="N23" s="65"/>
      <c r="O23" s="66"/>
      <c r="P23" s="66"/>
      <c r="Q23" s="79">
        <f>SUM(Q5:Q22)</f>
        <v>6565593</v>
      </c>
      <c r="R23" s="79">
        <f>SUM(R5:R22)</f>
        <v>50002473</v>
      </c>
      <c r="S23" s="63"/>
    </row>
    <row r="24" spans="1:20" x14ac:dyDescent="0.2">
      <c r="K24" s="80"/>
      <c r="L24" s="80"/>
      <c r="M24" s="81"/>
      <c r="N24" s="82"/>
      <c r="O24" s="83"/>
      <c r="P24" s="83"/>
      <c r="Q24" s="42"/>
      <c r="R24" s="84"/>
      <c r="S24" s="6"/>
    </row>
    <row r="25" spans="1:20" x14ac:dyDescent="0.2">
      <c r="K25" s="43"/>
      <c r="L25" s="43"/>
      <c r="M25" s="43"/>
      <c r="N25" s="9"/>
      <c r="O25" s="6"/>
      <c r="P25" s="6"/>
      <c r="Q25" s="42"/>
      <c r="R25" s="85"/>
      <c r="S25" s="6"/>
    </row>
    <row r="26" spans="1:20" x14ac:dyDescent="0.2">
      <c r="K26" s="43"/>
      <c r="L26" s="43"/>
      <c r="M26" s="43"/>
      <c r="N26" s="9"/>
      <c r="O26" s="6"/>
      <c r="P26" s="6"/>
      <c r="Q26" s="42"/>
      <c r="R26" s="42"/>
      <c r="S26" s="6"/>
    </row>
    <row r="27" spans="1:20" x14ac:dyDescent="0.2">
      <c r="K27" s="43"/>
      <c r="L27" s="43"/>
      <c r="M27" s="43"/>
      <c r="N27" s="9"/>
      <c r="O27" s="6"/>
      <c r="P27" s="6"/>
      <c r="Q27" s="42"/>
      <c r="R27" s="42"/>
      <c r="S27" s="6"/>
    </row>
    <row r="28" spans="1:20" x14ac:dyDescent="0.2">
      <c r="K28" s="43"/>
      <c r="L28" s="43"/>
      <c r="M28" s="43"/>
      <c r="N28" s="9"/>
      <c r="O28" s="6"/>
      <c r="P28" s="6"/>
      <c r="Q28" s="42"/>
      <c r="R28" s="42"/>
      <c r="S28" s="6"/>
    </row>
    <row r="29" spans="1:20" x14ac:dyDescent="0.2">
      <c r="K29" s="43"/>
      <c r="L29" s="43"/>
      <c r="M29" s="43"/>
      <c r="N29" s="9"/>
      <c r="O29" s="6"/>
      <c r="P29" s="6"/>
      <c r="Q29" s="42"/>
      <c r="R29" s="42"/>
      <c r="S29" s="6"/>
    </row>
    <row r="30" spans="1:20" x14ac:dyDescent="0.2">
      <c r="K30" s="43"/>
      <c r="L30" s="43"/>
      <c r="M30" s="43"/>
      <c r="N30" s="9"/>
      <c r="O30" s="6"/>
      <c r="P30" s="6"/>
      <c r="Q30" s="42"/>
      <c r="R30" s="42"/>
      <c r="S30" s="6"/>
    </row>
    <row r="31" spans="1:20" x14ac:dyDescent="0.2">
      <c r="K31" s="43"/>
      <c r="L31" s="43"/>
      <c r="M31" s="43"/>
      <c r="N31" s="9"/>
      <c r="O31" s="6"/>
      <c r="P31" s="6"/>
      <c r="Q31" s="42"/>
      <c r="R31" s="42"/>
      <c r="S31" s="6"/>
    </row>
    <row r="32" spans="1:20" x14ac:dyDescent="0.2">
      <c r="K32" s="43"/>
      <c r="L32" s="43"/>
      <c r="M32" s="43"/>
      <c r="N32" s="9"/>
      <c r="O32" s="6"/>
      <c r="P32" s="6"/>
      <c r="Q32" s="42"/>
      <c r="R32" s="42"/>
      <c r="S32" s="6"/>
    </row>
    <row r="33" spans="11:19" x14ac:dyDescent="0.2">
      <c r="K33" s="43"/>
      <c r="L33" s="43"/>
      <c r="M33" s="43"/>
      <c r="N33" s="9"/>
      <c r="O33" s="6"/>
      <c r="P33" s="6"/>
      <c r="Q33" s="42"/>
      <c r="R33" s="42"/>
      <c r="S33" s="6"/>
    </row>
    <row r="34" spans="11:19" x14ac:dyDescent="0.2">
      <c r="K34" s="43"/>
      <c r="L34" s="43"/>
      <c r="M34" s="43"/>
      <c r="N34" s="9"/>
      <c r="O34" s="6"/>
      <c r="P34" s="6"/>
      <c r="Q34" s="42"/>
      <c r="R34" s="42"/>
      <c r="S34" s="6"/>
    </row>
    <row r="35" spans="11:19" x14ac:dyDescent="0.2">
      <c r="K35" s="43"/>
      <c r="L35" s="43"/>
      <c r="M35" s="43"/>
      <c r="N35" s="9"/>
      <c r="O35" s="6"/>
      <c r="P35" s="6"/>
      <c r="Q35" s="42"/>
      <c r="R35" s="42"/>
      <c r="S35" s="6"/>
    </row>
    <row r="36" spans="11:19" x14ac:dyDescent="0.2">
      <c r="K36" s="43"/>
      <c r="L36" s="43"/>
      <c r="M36" s="43"/>
      <c r="N36" s="9"/>
      <c r="O36" s="6"/>
      <c r="P36" s="6"/>
      <c r="Q36" s="42"/>
      <c r="R36" s="42"/>
      <c r="S36" s="6"/>
    </row>
    <row r="37" spans="11:19" x14ac:dyDescent="0.2">
      <c r="K37" s="43"/>
      <c r="L37" s="43"/>
      <c r="M37" s="43"/>
      <c r="N37" s="9"/>
      <c r="O37" s="6"/>
      <c r="P37" s="6"/>
      <c r="Q37" s="42"/>
      <c r="R37" s="42"/>
      <c r="S37" s="6"/>
    </row>
    <row r="38" spans="11:19" x14ac:dyDescent="0.2">
      <c r="K38" s="43"/>
      <c r="L38" s="43"/>
      <c r="M38" s="43"/>
      <c r="N38" s="9"/>
      <c r="O38" s="6"/>
      <c r="P38" s="6"/>
      <c r="Q38" s="42"/>
      <c r="R38" s="42"/>
      <c r="S38" s="6"/>
    </row>
    <row r="39" spans="11:19" x14ac:dyDescent="0.2">
      <c r="K39" s="43"/>
      <c r="L39" s="43"/>
      <c r="M39" s="43"/>
      <c r="N39" s="9"/>
      <c r="O39" s="6"/>
      <c r="P39" s="6"/>
      <c r="Q39" s="42"/>
      <c r="R39" s="42"/>
      <c r="S39" s="6"/>
    </row>
    <row r="40" spans="11:19" x14ac:dyDescent="0.2">
      <c r="K40" s="43"/>
      <c r="L40" s="43"/>
      <c r="M40" s="43"/>
      <c r="N40" s="9"/>
      <c r="O40" s="6"/>
      <c r="P40" s="6"/>
      <c r="Q40" s="42"/>
      <c r="R40" s="42"/>
      <c r="S40" s="6"/>
    </row>
    <row r="41" spans="11:19" x14ac:dyDescent="0.2">
      <c r="K41" s="43"/>
      <c r="L41" s="43"/>
      <c r="M41" s="43"/>
      <c r="N41" s="9"/>
      <c r="O41" s="6"/>
      <c r="P41" s="6"/>
      <c r="Q41" s="42"/>
      <c r="R41" s="42"/>
      <c r="S41" s="6"/>
    </row>
    <row r="42" spans="11:19" x14ac:dyDescent="0.2">
      <c r="K42" s="43"/>
      <c r="L42" s="43"/>
      <c r="M42" s="43"/>
      <c r="N42" s="9"/>
      <c r="O42" s="6"/>
      <c r="P42" s="6"/>
      <c r="Q42" s="42"/>
      <c r="R42" s="42"/>
      <c r="S42" s="6"/>
    </row>
    <row r="43" spans="11:19" x14ac:dyDescent="0.2">
      <c r="K43" s="43"/>
      <c r="L43" s="43"/>
      <c r="M43" s="43"/>
      <c r="N43" s="9"/>
      <c r="O43" s="6"/>
      <c r="P43" s="6"/>
      <c r="Q43" s="42"/>
      <c r="R43" s="42"/>
      <c r="S43" s="6"/>
    </row>
    <row r="44" spans="11:19" x14ac:dyDescent="0.2">
      <c r="K44" s="43"/>
      <c r="L44" s="43"/>
      <c r="M44" s="43"/>
      <c r="N44" s="9"/>
      <c r="O44" s="6"/>
      <c r="P44" s="6"/>
      <c r="Q44" s="42"/>
      <c r="R44" s="42"/>
      <c r="S44" s="6"/>
    </row>
    <row r="45" spans="11:19" x14ac:dyDescent="0.2">
      <c r="K45" s="43"/>
      <c r="L45" s="43"/>
      <c r="M45" s="43"/>
      <c r="N45" s="9"/>
      <c r="O45" s="6"/>
      <c r="P45" s="6"/>
      <c r="Q45" s="42"/>
      <c r="R45" s="42"/>
      <c r="S45" s="6"/>
    </row>
    <row r="46" spans="11:19" x14ac:dyDescent="0.2">
      <c r="K46" s="43"/>
      <c r="L46" s="43"/>
      <c r="M46" s="43"/>
      <c r="N46" s="9"/>
      <c r="O46" s="6"/>
      <c r="P46" s="6"/>
      <c r="Q46" s="42"/>
      <c r="R46" s="42"/>
      <c r="S46" s="6"/>
    </row>
    <row r="47" spans="11:19" x14ac:dyDescent="0.2">
      <c r="K47" s="43"/>
      <c r="L47" s="43"/>
      <c r="M47" s="43"/>
      <c r="N47" s="9"/>
      <c r="O47" s="6"/>
      <c r="P47" s="6"/>
      <c r="Q47" s="42"/>
      <c r="R47" s="42"/>
      <c r="S47" s="6"/>
    </row>
    <row r="48" spans="11:19" x14ac:dyDescent="0.2">
      <c r="K48" s="43"/>
      <c r="L48" s="43"/>
      <c r="M48" s="43"/>
      <c r="N48" s="9"/>
      <c r="O48" s="6"/>
      <c r="P48" s="6"/>
      <c r="Q48" s="42"/>
      <c r="R48" s="42"/>
      <c r="S48" s="6"/>
    </row>
    <row r="49" spans="11:19" x14ac:dyDescent="0.2">
      <c r="K49" s="43"/>
      <c r="L49" s="43"/>
      <c r="M49" s="43"/>
      <c r="N49" s="9"/>
      <c r="O49" s="6"/>
      <c r="P49" s="6"/>
      <c r="Q49" s="42"/>
      <c r="R49" s="42"/>
      <c r="S49" s="6"/>
    </row>
    <row r="50" spans="11:19" x14ac:dyDescent="0.2">
      <c r="K50" s="43"/>
      <c r="L50" s="43"/>
      <c r="M50" s="43"/>
      <c r="N50" s="9"/>
      <c r="O50" s="6"/>
      <c r="P50" s="6"/>
      <c r="Q50" s="42"/>
      <c r="R50" s="42"/>
      <c r="S50" s="6"/>
    </row>
    <row r="51" spans="11:19" x14ac:dyDescent="0.2">
      <c r="K51" s="43"/>
      <c r="L51" s="43"/>
      <c r="M51" s="43"/>
      <c r="N51" s="9"/>
      <c r="O51" s="6"/>
      <c r="P51" s="6"/>
      <c r="Q51" s="42"/>
      <c r="R51" s="42"/>
      <c r="S51" s="6"/>
    </row>
    <row r="52" spans="11:19" x14ac:dyDescent="0.2">
      <c r="K52" s="43"/>
      <c r="L52" s="43"/>
      <c r="M52" s="43"/>
      <c r="N52" s="9"/>
      <c r="O52" s="6"/>
      <c r="P52" s="6"/>
      <c r="Q52" s="42"/>
      <c r="R52" s="42"/>
      <c r="S52" s="6"/>
    </row>
    <row r="53" spans="11:19" x14ac:dyDescent="0.2">
      <c r="K53" s="43"/>
      <c r="L53" s="43"/>
      <c r="M53" s="43"/>
      <c r="N53" s="9"/>
      <c r="O53" s="6"/>
      <c r="P53" s="6"/>
      <c r="Q53" s="42"/>
      <c r="R53" s="42"/>
      <c r="S53" s="6"/>
    </row>
    <row r="54" spans="11:19" x14ac:dyDescent="0.2">
      <c r="K54" s="43"/>
      <c r="L54" s="43"/>
      <c r="M54" s="43"/>
      <c r="N54" s="9"/>
      <c r="O54" s="6"/>
      <c r="P54" s="6"/>
      <c r="Q54" s="42"/>
      <c r="R54" s="42"/>
      <c r="S54" s="6"/>
    </row>
    <row r="55" spans="11:19" x14ac:dyDescent="0.2">
      <c r="K55" s="43"/>
      <c r="L55" s="43"/>
      <c r="M55" s="43"/>
      <c r="N55" s="9"/>
      <c r="O55" s="6"/>
      <c r="P55" s="6"/>
      <c r="Q55" s="42"/>
      <c r="R55" s="42"/>
      <c r="S55" s="6"/>
    </row>
    <row r="56" spans="11:19" x14ac:dyDescent="0.2">
      <c r="K56" s="43"/>
      <c r="L56" s="43"/>
      <c r="M56" s="43"/>
      <c r="N56" s="9"/>
      <c r="O56" s="6"/>
      <c r="P56" s="6"/>
      <c r="Q56" s="42"/>
      <c r="R56" s="42"/>
      <c r="S56" s="6"/>
    </row>
    <row r="57" spans="11:19" x14ac:dyDescent="0.2">
      <c r="K57" s="43"/>
      <c r="L57" s="43"/>
      <c r="M57" s="43"/>
      <c r="N57" s="9"/>
      <c r="O57" s="6"/>
      <c r="P57" s="6"/>
      <c r="Q57" s="42"/>
      <c r="R57" s="42"/>
      <c r="S57" s="6"/>
    </row>
    <row r="58" spans="11:19" x14ac:dyDescent="0.2">
      <c r="K58" s="43"/>
      <c r="L58" s="43"/>
      <c r="M58" s="43"/>
      <c r="N58" s="9"/>
      <c r="O58" s="6"/>
      <c r="P58" s="6"/>
      <c r="Q58" s="42"/>
      <c r="R58" s="42"/>
      <c r="S58" s="6"/>
    </row>
    <row r="59" spans="11:19" x14ac:dyDescent="0.2">
      <c r="K59" s="43"/>
      <c r="L59" s="43"/>
      <c r="M59" s="43"/>
      <c r="N59" s="9"/>
      <c r="O59" s="6"/>
      <c r="P59" s="6"/>
      <c r="Q59" s="42"/>
      <c r="R59" s="42"/>
      <c r="S59" s="6"/>
    </row>
    <row r="60" spans="11:19" x14ac:dyDescent="0.2">
      <c r="K60" s="43"/>
      <c r="L60" s="43"/>
      <c r="M60" s="43"/>
      <c r="N60" s="9"/>
      <c r="O60" s="6"/>
      <c r="P60" s="6"/>
      <c r="Q60" s="42"/>
      <c r="R60" s="42"/>
      <c r="S60" s="6"/>
    </row>
    <row r="61" spans="11:19" x14ac:dyDescent="0.2">
      <c r="K61" s="43"/>
      <c r="L61" s="43"/>
      <c r="M61" s="43"/>
      <c r="N61" s="9"/>
      <c r="O61" s="6"/>
      <c r="P61" s="6"/>
      <c r="Q61" s="42"/>
      <c r="R61" s="42"/>
      <c r="S61" s="6"/>
    </row>
    <row r="62" spans="11:19" x14ac:dyDescent="0.2">
      <c r="K62" s="43"/>
      <c r="L62" s="43"/>
      <c r="M62" s="43"/>
      <c r="N62" s="9"/>
      <c r="O62" s="6"/>
      <c r="P62" s="6"/>
      <c r="Q62" s="42"/>
      <c r="R62" s="42"/>
      <c r="S62" s="6"/>
    </row>
    <row r="63" spans="11:19" x14ac:dyDescent="0.2">
      <c r="K63" s="43"/>
      <c r="L63" s="43"/>
      <c r="M63" s="43"/>
      <c r="N63" s="9"/>
      <c r="O63" s="6"/>
      <c r="P63" s="6"/>
      <c r="Q63" s="42"/>
      <c r="R63" s="42"/>
      <c r="S63" s="6"/>
    </row>
    <row r="64" spans="11:19" x14ac:dyDescent="0.2">
      <c r="K64" s="43"/>
      <c r="L64" s="43"/>
      <c r="M64" s="43"/>
      <c r="N64" s="9"/>
      <c r="O64" s="6"/>
      <c r="P64" s="6"/>
      <c r="Q64" s="42"/>
      <c r="R64" s="42"/>
      <c r="S64" s="6"/>
    </row>
    <row r="65" spans="11:19" x14ac:dyDescent="0.2">
      <c r="K65" s="43"/>
      <c r="L65" s="43"/>
      <c r="M65" s="43"/>
      <c r="N65" s="9"/>
      <c r="O65" s="6"/>
      <c r="P65" s="6"/>
      <c r="Q65" s="42"/>
      <c r="R65" s="42"/>
      <c r="S65" s="6"/>
    </row>
    <row r="66" spans="11:19" x14ac:dyDescent="0.2">
      <c r="K66" s="43"/>
      <c r="L66" s="43"/>
      <c r="M66" s="43"/>
      <c r="N66" s="9"/>
      <c r="O66" s="6"/>
      <c r="P66" s="6"/>
      <c r="Q66" s="42"/>
      <c r="R66" s="42"/>
      <c r="S66" s="6"/>
    </row>
    <row r="67" spans="11:19" x14ac:dyDescent="0.2">
      <c r="K67" s="43"/>
      <c r="L67" s="43"/>
      <c r="M67" s="43"/>
      <c r="N67" s="9"/>
      <c r="O67" s="6"/>
      <c r="P67" s="6"/>
      <c r="Q67" s="42"/>
      <c r="R67" s="42"/>
      <c r="S67" s="6"/>
    </row>
    <row r="68" spans="11:19" x14ac:dyDescent="0.2">
      <c r="K68" s="43"/>
      <c r="L68" s="43"/>
      <c r="M68" s="43"/>
      <c r="N68" s="9"/>
      <c r="O68" s="6"/>
      <c r="P68" s="6"/>
      <c r="Q68" s="42"/>
      <c r="R68" s="42"/>
      <c r="S68" s="6"/>
    </row>
    <row r="69" spans="11:19" x14ac:dyDescent="0.2">
      <c r="K69" s="43"/>
      <c r="L69" s="43"/>
      <c r="M69" s="43"/>
      <c r="N69" s="9"/>
      <c r="O69" s="6"/>
      <c r="P69" s="6"/>
      <c r="Q69" s="42"/>
      <c r="R69" s="42"/>
      <c r="S69" s="6"/>
    </row>
    <row r="70" spans="11:19" x14ac:dyDescent="0.2">
      <c r="K70" s="43"/>
      <c r="L70" s="43"/>
      <c r="M70" s="43"/>
      <c r="N70" s="9"/>
      <c r="O70" s="6"/>
      <c r="P70" s="6"/>
      <c r="Q70" s="42"/>
      <c r="R70" s="42"/>
      <c r="S70" s="6"/>
    </row>
    <row r="71" spans="11:19" x14ac:dyDescent="0.2">
      <c r="K71" s="43"/>
      <c r="L71" s="43"/>
      <c r="M71" s="43"/>
      <c r="N71" s="9"/>
      <c r="O71" s="6"/>
      <c r="P71" s="6"/>
      <c r="Q71" s="42"/>
      <c r="R71" s="42"/>
      <c r="S71" s="6"/>
    </row>
    <row r="72" spans="11:19" x14ac:dyDescent="0.2">
      <c r="K72" s="43"/>
      <c r="L72" s="43"/>
      <c r="M72" s="43"/>
      <c r="N72" s="9"/>
      <c r="O72" s="6"/>
      <c r="P72" s="6"/>
      <c r="Q72" s="42"/>
      <c r="R72" s="42"/>
      <c r="S72" s="6"/>
    </row>
    <row r="73" spans="11:19" x14ac:dyDescent="0.2">
      <c r="K73" s="43"/>
      <c r="L73" s="43"/>
      <c r="M73" s="43"/>
      <c r="N73" s="9"/>
      <c r="O73" s="6"/>
      <c r="P73" s="6"/>
      <c r="Q73" s="42"/>
      <c r="R73" s="42"/>
      <c r="S73" s="6"/>
    </row>
    <row r="74" spans="11:19" x14ac:dyDescent="0.2">
      <c r="K74" s="43"/>
      <c r="L74" s="43"/>
      <c r="M74" s="43"/>
      <c r="N74" s="9"/>
      <c r="O74" s="6"/>
      <c r="P74" s="6"/>
      <c r="Q74" s="42"/>
      <c r="R74" s="42"/>
      <c r="S74" s="6"/>
    </row>
    <row r="75" spans="11:19" x14ac:dyDescent="0.2">
      <c r="K75" s="43"/>
      <c r="L75" s="43"/>
      <c r="M75" s="43"/>
      <c r="N75" s="9"/>
      <c r="O75" s="6"/>
      <c r="P75" s="6"/>
      <c r="Q75" s="42"/>
      <c r="R75" s="42"/>
      <c r="S75" s="6"/>
    </row>
    <row r="76" spans="11:19" x14ac:dyDescent="0.2">
      <c r="K76" s="43"/>
      <c r="L76" s="43"/>
      <c r="M76" s="43"/>
      <c r="N76" s="9"/>
      <c r="O76" s="6"/>
      <c r="P76" s="6"/>
      <c r="Q76" s="42"/>
      <c r="R76" s="42"/>
      <c r="S76" s="6"/>
    </row>
    <row r="77" spans="11:19" x14ac:dyDescent="0.2">
      <c r="K77" s="43"/>
      <c r="L77" s="43"/>
      <c r="M77" s="43"/>
      <c r="N77" s="9"/>
      <c r="O77" s="6"/>
      <c r="P77" s="6"/>
      <c r="Q77" s="42"/>
      <c r="R77" s="42"/>
      <c r="S77" s="6"/>
    </row>
    <row r="78" spans="11:19" x14ac:dyDescent="0.2">
      <c r="K78" s="43"/>
      <c r="L78" s="43"/>
      <c r="M78" s="43"/>
      <c r="N78" s="9"/>
      <c r="O78" s="6"/>
      <c r="P78" s="6"/>
      <c r="Q78" s="42"/>
      <c r="R78" s="42"/>
      <c r="S78" s="6"/>
    </row>
    <row r="79" spans="11:19" x14ac:dyDescent="0.2">
      <c r="K79" s="43"/>
      <c r="L79" s="43"/>
      <c r="M79" s="43"/>
      <c r="N79" s="9"/>
      <c r="O79" s="6"/>
      <c r="P79" s="6"/>
      <c r="Q79" s="42"/>
      <c r="R79" s="42"/>
      <c r="S79" s="6"/>
    </row>
    <row r="80" spans="11:19" x14ac:dyDescent="0.2">
      <c r="K80" s="43"/>
      <c r="L80" s="43"/>
      <c r="M80" s="43"/>
      <c r="N80" s="9"/>
      <c r="O80" s="6"/>
      <c r="P80" s="6"/>
      <c r="Q80" s="42"/>
      <c r="R80" s="42"/>
      <c r="S80" s="6"/>
    </row>
    <row r="81" spans="11:19" x14ac:dyDescent="0.2">
      <c r="K81" s="43"/>
      <c r="L81" s="43"/>
      <c r="M81" s="43"/>
      <c r="N81" s="9"/>
      <c r="O81" s="6"/>
      <c r="P81" s="6"/>
      <c r="Q81" s="42"/>
      <c r="R81" s="42"/>
      <c r="S81" s="6"/>
    </row>
    <row r="82" spans="11:19" x14ac:dyDescent="0.2">
      <c r="K82" s="43"/>
      <c r="L82" s="43"/>
      <c r="M82" s="43"/>
      <c r="N82" s="9"/>
      <c r="O82" s="6"/>
      <c r="P82" s="6"/>
      <c r="Q82" s="42"/>
      <c r="R82" s="42"/>
      <c r="S82" s="6"/>
    </row>
    <row r="83" spans="11:19" x14ac:dyDescent="0.2">
      <c r="K83" s="43"/>
      <c r="L83" s="43"/>
      <c r="M83" s="43"/>
      <c r="N83" s="9"/>
      <c r="O83" s="6"/>
      <c r="P83" s="6"/>
      <c r="Q83" s="42"/>
      <c r="R83" s="42"/>
      <c r="S83" s="6"/>
    </row>
    <row r="84" spans="11:19" x14ac:dyDescent="0.2">
      <c r="K84" s="43"/>
      <c r="L84" s="43"/>
      <c r="M84" s="43"/>
      <c r="N84" s="9"/>
      <c r="O84" s="6"/>
      <c r="P84" s="6"/>
      <c r="Q84" s="42"/>
      <c r="R84" s="42"/>
      <c r="S84" s="6"/>
    </row>
    <row r="85" spans="11:19" x14ac:dyDescent="0.2">
      <c r="K85" s="43"/>
      <c r="L85" s="43"/>
      <c r="M85" s="43"/>
      <c r="N85" s="9"/>
      <c r="O85" s="6"/>
      <c r="P85" s="6"/>
      <c r="Q85" s="42"/>
      <c r="R85" s="42"/>
      <c r="S85" s="6"/>
    </row>
    <row r="86" spans="11:19" x14ac:dyDescent="0.2">
      <c r="K86" s="43"/>
      <c r="L86" s="43"/>
      <c r="M86" s="43"/>
      <c r="N86" s="9"/>
      <c r="O86" s="6"/>
      <c r="P86" s="6"/>
      <c r="Q86" s="42"/>
      <c r="R86" s="42"/>
      <c r="S86" s="6"/>
    </row>
    <row r="87" spans="11:19" x14ac:dyDescent="0.2">
      <c r="K87" s="43"/>
      <c r="L87" s="43"/>
      <c r="M87" s="43"/>
      <c r="N87" s="9"/>
      <c r="O87" s="6"/>
      <c r="P87" s="6"/>
      <c r="Q87" s="42"/>
      <c r="R87" s="42"/>
      <c r="S87" s="6"/>
    </row>
    <row r="88" spans="11:19" x14ac:dyDescent="0.2">
      <c r="K88" s="43"/>
      <c r="L88" s="43"/>
      <c r="M88" s="43"/>
      <c r="N88" s="9"/>
      <c r="O88" s="6"/>
      <c r="P88" s="6"/>
      <c r="Q88" s="42"/>
      <c r="R88" s="42"/>
      <c r="S88" s="6"/>
    </row>
    <row r="89" spans="11:19" x14ac:dyDescent="0.2">
      <c r="K89" s="43"/>
      <c r="L89" s="43"/>
      <c r="M89" s="43"/>
      <c r="N89" s="9"/>
      <c r="O89" s="6"/>
      <c r="P89" s="6"/>
      <c r="Q89" s="42"/>
      <c r="R89" s="42"/>
      <c r="S89" s="6"/>
    </row>
    <row r="90" spans="11:19" x14ac:dyDescent="0.2">
      <c r="K90" s="43"/>
      <c r="L90" s="43"/>
      <c r="M90" s="43"/>
      <c r="N90" s="9"/>
      <c r="O90" s="6"/>
      <c r="P90" s="6"/>
      <c r="Q90" s="42"/>
      <c r="R90" s="42"/>
      <c r="S90" s="6"/>
    </row>
    <row r="91" spans="11:19" x14ac:dyDescent="0.2">
      <c r="K91" s="43"/>
      <c r="L91" s="43"/>
      <c r="M91" s="43"/>
      <c r="N91" s="9"/>
      <c r="O91" s="6"/>
      <c r="P91" s="6"/>
      <c r="Q91" s="42"/>
      <c r="R91" s="42"/>
      <c r="S91" s="6"/>
    </row>
    <row r="92" spans="11:19" x14ac:dyDescent="0.2">
      <c r="K92" s="43"/>
      <c r="L92" s="43"/>
      <c r="M92" s="43"/>
      <c r="N92" s="9"/>
      <c r="O92" s="6"/>
      <c r="P92" s="6"/>
      <c r="Q92" s="42"/>
      <c r="R92" s="42"/>
      <c r="S92" s="6"/>
    </row>
    <row r="93" spans="11:19" x14ac:dyDescent="0.2">
      <c r="K93" s="43"/>
      <c r="L93" s="43"/>
      <c r="M93" s="43"/>
      <c r="N93" s="9"/>
      <c r="O93" s="6"/>
      <c r="P93" s="6"/>
      <c r="Q93" s="42"/>
      <c r="R93" s="42"/>
      <c r="S93" s="6"/>
    </row>
    <row r="94" spans="11:19" x14ac:dyDescent="0.2">
      <c r="K94" s="43"/>
      <c r="L94" s="43"/>
      <c r="M94" s="43"/>
      <c r="N94" s="9"/>
      <c r="O94" s="6"/>
      <c r="P94" s="6"/>
      <c r="Q94" s="42"/>
      <c r="R94" s="42"/>
      <c r="S94" s="6"/>
    </row>
    <row r="95" spans="11:19" x14ac:dyDescent="0.2">
      <c r="K95" s="43"/>
      <c r="L95" s="43"/>
      <c r="M95" s="43"/>
      <c r="N95" s="9"/>
      <c r="O95" s="6"/>
      <c r="P95" s="6"/>
      <c r="Q95" s="42"/>
      <c r="R95" s="42"/>
      <c r="S95" s="6"/>
    </row>
    <row r="96" spans="11:19" x14ac:dyDescent="0.2">
      <c r="K96" s="43"/>
      <c r="L96" s="43"/>
      <c r="M96" s="43"/>
      <c r="N96" s="9"/>
      <c r="O96" s="6"/>
      <c r="P96" s="6"/>
      <c r="Q96" s="42"/>
      <c r="R96" s="42"/>
      <c r="S96" s="6"/>
    </row>
    <row r="97" spans="11:19" x14ac:dyDescent="0.2">
      <c r="K97" s="43"/>
      <c r="L97" s="43"/>
      <c r="M97" s="43"/>
      <c r="N97" s="9"/>
      <c r="O97" s="6"/>
      <c r="P97" s="6"/>
      <c r="Q97" s="42"/>
      <c r="R97" s="42"/>
      <c r="S97" s="6"/>
    </row>
    <row r="98" spans="11:19" x14ac:dyDescent="0.2">
      <c r="K98" s="43"/>
      <c r="L98" s="43"/>
      <c r="M98" s="43"/>
      <c r="N98" s="9"/>
      <c r="O98" s="6"/>
      <c r="P98" s="6"/>
      <c r="Q98" s="42"/>
      <c r="R98" s="42"/>
      <c r="S98" s="6"/>
    </row>
    <row r="99" spans="11:19" x14ac:dyDescent="0.2">
      <c r="K99" s="43"/>
      <c r="L99" s="43"/>
      <c r="M99" s="43"/>
      <c r="N99" s="9"/>
      <c r="O99" s="6"/>
      <c r="P99" s="6"/>
      <c r="Q99" s="42"/>
      <c r="R99" s="42"/>
      <c r="S99" s="6"/>
    </row>
    <row r="100" spans="11:19" x14ac:dyDescent="0.2">
      <c r="K100" s="43"/>
      <c r="L100" s="43"/>
      <c r="M100" s="43"/>
      <c r="N100" s="9"/>
      <c r="O100" s="6"/>
      <c r="P100" s="6"/>
      <c r="Q100" s="42"/>
      <c r="R100" s="42"/>
      <c r="S100" s="6"/>
    </row>
    <row r="101" spans="11:19" x14ac:dyDescent="0.2">
      <c r="K101" s="43"/>
      <c r="L101" s="43"/>
      <c r="M101" s="43"/>
      <c r="N101" s="9"/>
      <c r="O101" s="6"/>
      <c r="P101" s="6"/>
      <c r="Q101" s="42"/>
      <c r="R101" s="42"/>
      <c r="S101" s="6"/>
    </row>
    <row r="102" spans="11:19" x14ac:dyDescent="0.2">
      <c r="K102" s="43"/>
      <c r="L102" s="43"/>
      <c r="M102" s="43"/>
      <c r="N102" s="9"/>
      <c r="O102" s="6"/>
      <c r="P102" s="6"/>
      <c r="Q102" s="42"/>
      <c r="R102" s="42"/>
      <c r="S102" s="6"/>
    </row>
    <row r="103" spans="11:19" x14ac:dyDescent="0.2">
      <c r="K103" s="43"/>
      <c r="L103" s="43"/>
      <c r="M103" s="43"/>
      <c r="N103" s="9"/>
      <c r="O103" s="6"/>
      <c r="P103" s="6"/>
      <c r="Q103" s="42"/>
      <c r="R103" s="42"/>
      <c r="S103" s="6"/>
    </row>
    <row r="104" spans="11:19" x14ac:dyDescent="0.2">
      <c r="K104" s="43"/>
      <c r="L104" s="43"/>
      <c r="M104" s="43"/>
      <c r="N104" s="9"/>
      <c r="O104" s="6"/>
      <c r="P104" s="6"/>
      <c r="Q104" s="42"/>
      <c r="R104" s="42"/>
      <c r="S104" s="6"/>
    </row>
    <row r="105" spans="11:19" x14ac:dyDescent="0.2">
      <c r="K105" s="43"/>
      <c r="L105" s="43"/>
      <c r="M105" s="43"/>
      <c r="N105" s="9"/>
      <c r="O105" s="6"/>
      <c r="P105" s="6"/>
      <c r="Q105" s="42"/>
      <c r="R105" s="42"/>
      <c r="S105" s="6"/>
    </row>
    <row r="106" spans="11:19" x14ac:dyDescent="0.2">
      <c r="K106" s="43"/>
      <c r="L106" s="43"/>
      <c r="M106" s="43"/>
      <c r="N106" s="9"/>
      <c r="O106" s="6"/>
      <c r="P106" s="6"/>
      <c r="Q106" s="42"/>
      <c r="R106" s="42"/>
      <c r="S106" s="6"/>
    </row>
    <row r="107" spans="11:19" x14ac:dyDescent="0.2">
      <c r="K107" s="43"/>
      <c r="L107" s="43"/>
      <c r="M107" s="43"/>
      <c r="N107" s="9"/>
      <c r="O107" s="6"/>
      <c r="P107" s="6"/>
      <c r="Q107" s="42"/>
      <c r="R107" s="42"/>
      <c r="S107" s="6"/>
    </row>
    <row r="108" spans="11:19" x14ac:dyDescent="0.2">
      <c r="K108" s="43"/>
      <c r="L108" s="43"/>
      <c r="M108" s="43"/>
      <c r="N108" s="9"/>
      <c r="O108" s="6"/>
      <c r="P108" s="6"/>
      <c r="Q108" s="42"/>
      <c r="R108" s="42"/>
      <c r="S108" s="6"/>
    </row>
    <row r="109" spans="11:19" x14ac:dyDescent="0.2">
      <c r="K109" s="43"/>
      <c r="L109" s="43"/>
      <c r="M109" s="43"/>
      <c r="N109" s="9"/>
      <c r="O109" s="6"/>
      <c r="P109" s="6"/>
      <c r="Q109" s="42"/>
      <c r="R109" s="42"/>
      <c r="S109" s="6"/>
    </row>
    <row r="110" spans="11:19" x14ac:dyDescent="0.2">
      <c r="K110" s="43"/>
      <c r="L110" s="43"/>
      <c r="M110" s="43"/>
      <c r="N110" s="9"/>
      <c r="O110" s="6"/>
      <c r="P110" s="6"/>
      <c r="Q110" s="42"/>
      <c r="R110" s="42"/>
      <c r="S110" s="6"/>
    </row>
    <row r="111" spans="11:19" x14ac:dyDescent="0.2">
      <c r="K111" s="43"/>
      <c r="L111" s="43"/>
      <c r="M111" s="43"/>
      <c r="N111" s="9"/>
      <c r="O111" s="6"/>
      <c r="P111" s="6"/>
      <c r="Q111" s="42"/>
      <c r="R111" s="42"/>
      <c r="S111" s="6"/>
    </row>
    <row r="112" spans="11:19" x14ac:dyDescent="0.2">
      <c r="K112" s="43"/>
      <c r="L112" s="43"/>
      <c r="M112" s="43"/>
      <c r="N112" s="9"/>
      <c r="O112" s="6"/>
      <c r="P112" s="6"/>
      <c r="Q112" s="42"/>
      <c r="R112" s="42"/>
      <c r="S112" s="6"/>
    </row>
    <row r="113" spans="11:19" x14ac:dyDescent="0.2">
      <c r="K113" s="43"/>
      <c r="L113" s="43"/>
      <c r="M113" s="43"/>
      <c r="N113" s="9"/>
      <c r="O113" s="6"/>
      <c r="P113" s="6"/>
      <c r="Q113" s="42"/>
      <c r="R113" s="42"/>
      <c r="S113" s="6"/>
    </row>
    <row r="114" spans="11:19" x14ac:dyDescent="0.2">
      <c r="K114" s="43"/>
      <c r="L114" s="43"/>
      <c r="M114" s="43"/>
      <c r="N114" s="9"/>
      <c r="O114" s="6"/>
      <c r="P114" s="6"/>
      <c r="Q114" s="42"/>
      <c r="R114" s="42"/>
      <c r="S114" s="6"/>
    </row>
    <row r="115" spans="11:19" x14ac:dyDescent="0.2">
      <c r="K115" s="43"/>
      <c r="L115" s="43"/>
      <c r="M115" s="43"/>
      <c r="N115" s="9"/>
      <c r="O115" s="6"/>
      <c r="P115" s="6"/>
      <c r="Q115" s="42"/>
      <c r="R115" s="42"/>
      <c r="S115" s="6"/>
    </row>
    <row r="116" spans="11:19" x14ac:dyDescent="0.2">
      <c r="K116" s="43"/>
      <c r="L116" s="43"/>
      <c r="M116" s="43"/>
      <c r="N116" s="9"/>
      <c r="O116" s="6"/>
      <c r="P116" s="6"/>
      <c r="Q116" s="42"/>
      <c r="R116" s="42"/>
      <c r="S116" s="6"/>
    </row>
    <row r="117" spans="11:19" x14ac:dyDescent="0.2">
      <c r="K117" s="43"/>
      <c r="L117" s="43"/>
      <c r="M117" s="43"/>
      <c r="N117" s="9"/>
      <c r="O117" s="6"/>
      <c r="P117" s="6"/>
      <c r="Q117" s="42"/>
      <c r="R117" s="42"/>
      <c r="S117" s="6"/>
    </row>
    <row r="118" spans="11:19" x14ac:dyDescent="0.2">
      <c r="K118" s="43"/>
      <c r="L118" s="43"/>
      <c r="M118" s="43"/>
      <c r="N118" s="9"/>
      <c r="O118" s="6"/>
      <c r="P118" s="6"/>
      <c r="Q118" s="42"/>
      <c r="R118" s="42"/>
      <c r="S118" s="6"/>
    </row>
    <row r="119" spans="11:19" x14ac:dyDescent="0.2">
      <c r="K119" s="43"/>
      <c r="L119" s="43"/>
      <c r="M119" s="43"/>
      <c r="N119" s="9"/>
      <c r="O119" s="6"/>
      <c r="P119" s="6"/>
      <c r="Q119" s="42"/>
      <c r="R119" s="42"/>
      <c r="S119" s="6"/>
    </row>
    <row r="120" spans="11:19" x14ac:dyDescent="0.2">
      <c r="K120" s="43"/>
      <c r="L120" s="43"/>
      <c r="M120" s="43"/>
      <c r="N120" s="9"/>
      <c r="O120" s="6"/>
      <c r="P120" s="6"/>
      <c r="Q120" s="42"/>
      <c r="R120" s="42"/>
      <c r="S120" s="6"/>
    </row>
    <row r="121" spans="11:19" x14ac:dyDescent="0.2">
      <c r="K121" s="43"/>
      <c r="L121" s="43"/>
      <c r="M121" s="43"/>
      <c r="N121" s="9"/>
      <c r="O121" s="6"/>
      <c r="P121" s="6"/>
      <c r="Q121" s="42"/>
      <c r="R121" s="42"/>
      <c r="S121" s="6"/>
    </row>
    <row r="122" spans="11:19" x14ac:dyDescent="0.2">
      <c r="K122" s="43"/>
      <c r="L122" s="43"/>
      <c r="M122" s="43"/>
      <c r="N122" s="9"/>
      <c r="O122" s="6"/>
      <c r="P122" s="6"/>
      <c r="Q122" s="42"/>
      <c r="R122" s="42"/>
      <c r="S122" s="6"/>
    </row>
    <row r="123" spans="11:19" x14ac:dyDescent="0.2">
      <c r="K123" s="43"/>
      <c r="L123" s="43"/>
      <c r="M123" s="43"/>
      <c r="N123" s="9"/>
      <c r="O123" s="6"/>
      <c r="P123" s="6"/>
      <c r="Q123" s="42"/>
      <c r="R123" s="42"/>
      <c r="S123" s="6"/>
    </row>
    <row r="124" spans="11:19" x14ac:dyDescent="0.2">
      <c r="K124" s="43"/>
      <c r="L124" s="43"/>
      <c r="M124" s="43"/>
      <c r="N124" s="9"/>
      <c r="O124" s="6"/>
      <c r="P124" s="6"/>
      <c r="Q124" s="42"/>
      <c r="R124" s="42"/>
      <c r="S124" s="6"/>
    </row>
    <row r="125" spans="11:19" x14ac:dyDescent="0.2">
      <c r="K125" s="43"/>
      <c r="L125" s="43"/>
      <c r="M125" s="43"/>
      <c r="N125" s="9"/>
      <c r="O125" s="6"/>
      <c r="P125" s="6"/>
      <c r="Q125" s="42"/>
      <c r="R125" s="42"/>
      <c r="S125" s="6"/>
    </row>
    <row r="126" spans="11:19" x14ac:dyDescent="0.2">
      <c r="K126" s="43"/>
      <c r="L126" s="43"/>
      <c r="M126" s="43"/>
      <c r="N126" s="9"/>
      <c r="O126" s="6"/>
      <c r="P126" s="6"/>
      <c r="Q126" s="42"/>
      <c r="R126" s="42"/>
      <c r="S126" s="6"/>
    </row>
    <row r="127" spans="11:19" x14ac:dyDescent="0.2">
      <c r="K127" s="43"/>
      <c r="L127" s="43"/>
      <c r="M127" s="43"/>
      <c r="N127" s="9"/>
      <c r="O127" s="6"/>
      <c r="P127" s="6"/>
      <c r="Q127" s="42"/>
      <c r="R127" s="42"/>
      <c r="S127" s="6"/>
    </row>
    <row r="128" spans="11:19" x14ac:dyDescent="0.2">
      <c r="K128" s="43"/>
      <c r="L128" s="43"/>
      <c r="M128" s="43"/>
      <c r="N128" s="9"/>
      <c r="O128" s="6"/>
      <c r="P128" s="6"/>
      <c r="Q128" s="42"/>
      <c r="R128" s="42"/>
      <c r="S128" s="6"/>
    </row>
    <row r="129" spans="11:19" x14ac:dyDescent="0.2">
      <c r="K129" s="43"/>
      <c r="L129" s="43"/>
      <c r="M129" s="43"/>
      <c r="N129" s="9"/>
      <c r="O129" s="6"/>
      <c r="P129" s="6"/>
      <c r="Q129" s="42"/>
      <c r="R129" s="42"/>
      <c r="S129" s="6"/>
    </row>
    <row r="130" spans="11:19" x14ac:dyDescent="0.2">
      <c r="K130" s="43"/>
      <c r="L130" s="43"/>
      <c r="M130" s="43"/>
      <c r="N130" s="9"/>
      <c r="O130" s="6"/>
      <c r="P130" s="6"/>
      <c r="Q130" s="42"/>
      <c r="R130" s="42"/>
      <c r="S130" s="6"/>
    </row>
    <row r="131" spans="11:19" x14ac:dyDescent="0.2">
      <c r="K131" s="43"/>
      <c r="L131" s="43"/>
      <c r="M131" s="43"/>
      <c r="N131" s="9"/>
      <c r="O131" s="6"/>
      <c r="P131" s="6"/>
      <c r="Q131" s="42"/>
      <c r="R131" s="42"/>
      <c r="S131" s="6"/>
    </row>
    <row r="132" spans="11:19" x14ac:dyDescent="0.2">
      <c r="K132" s="43"/>
      <c r="L132" s="43"/>
      <c r="M132" s="43"/>
      <c r="N132" s="9"/>
      <c r="O132" s="6"/>
      <c r="P132" s="6"/>
      <c r="Q132" s="42"/>
      <c r="R132" s="42"/>
      <c r="S132" s="6"/>
    </row>
    <row r="133" spans="11:19" x14ac:dyDescent="0.2">
      <c r="K133" s="43"/>
      <c r="L133" s="43"/>
      <c r="M133" s="43"/>
      <c r="N133" s="9"/>
      <c r="O133" s="6"/>
      <c r="P133" s="6"/>
      <c r="Q133" s="42"/>
      <c r="R133" s="42"/>
      <c r="S133" s="6"/>
    </row>
    <row r="134" spans="11:19" x14ac:dyDescent="0.2">
      <c r="K134" s="43"/>
      <c r="L134" s="43"/>
      <c r="M134" s="43"/>
      <c r="N134" s="9"/>
      <c r="O134" s="6"/>
      <c r="P134" s="6"/>
      <c r="Q134" s="42"/>
      <c r="R134" s="42"/>
      <c r="S134" s="6"/>
    </row>
    <row r="135" spans="11:19" x14ac:dyDescent="0.2">
      <c r="K135" s="43"/>
      <c r="L135" s="43"/>
      <c r="M135" s="43"/>
      <c r="N135" s="9"/>
      <c r="O135" s="6"/>
      <c r="P135" s="6"/>
      <c r="Q135" s="42"/>
      <c r="R135" s="42"/>
      <c r="S135" s="6"/>
    </row>
    <row r="136" spans="11:19" x14ac:dyDescent="0.2">
      <c r="K136" s="43"/>
      <c r="L136" s="43"/>
      <c r="M136" s="43"/>
      <c r="N136" s="9"/>
      <c r="O136" s="6"/>
      <c r="P136" s="6"/>
      <c r="Q136" s="42"/>
      <c r="R136" s="42"/>
      <c r="S136" s="6"/>
    </row>
    <row r="137" spans="11:19" x14ac:dyDescent="0.2">
      <c r="K137" s="43"/>
      <c r="L137" s="43"/>
      <c r="M137" s="43"/>
      <c r="N137" s="9"/>
      <c r="O137" s="6"/>
      <c r="P137" s="6"/>
      <c r="Q137" s="42"/>
      <c r="R137" s="42"/>
      <c r="S137" s="6"/>
    </row>
    <row r="138" spans="11:19" x14ac:dyDescent="0.2">
      <c r="K138" s="43"/>
      <c r="L138" s="43"/>
      <c r="M138" s="43"/>
      <c r="N138" s="9"/>
      <c r="O138" s="6"/>
      <c r="P138" s="6"/>
      <c r="Q138" s="42"/>
      <c r="R138" s="42"/>
      <c r="S138" s="6"/>
    </row>
    <row r="139" spans="11:19" x14ac:dyDescent="0.2">
      <c r="K139" s="43"/>
      <c r="L139" s="43"/>
      <c r="M139" s="43"/>
      <c r="N139" s="9"/>
      <c r="O139" s="6"/>
      <c r="P139" s="6"/>
      <c r="Q139" s="42"/>
      <c r="R139" s="42"/>
      <c r="S139" s="6"/>
    </row>
    <row r="140" spans="11:19" x14ac:dyDescent="0.2">
      <c r="K140" s="43"/>
      <c r="L140" s="43"/>
      <c r="M140" s="43"/>
      <c r="N140" s="9"/>
      <c r="O140" s="6"/>
      <c r="P140" s="6"/>
      <c r="Q140" s="42"/>
      <c r="R140" s="42"/>
      <c r="S140" s="6"/>
    </row>
    <row r="141" spans="11:19" x14ac:dyDescent="0.2">
      <c r="K141" s="43"/>
      <c r="L141" s="43"/>
      <c r="M141" s="43"/>
      <c r="N141" s="9"/>
      <c r="O141" s="6"/>
      <c r="P141" s="6"/>
      <c r="Q141" s="42"/>
      <c r="R141" s="42"/>
      <c r="S141" s="6"/>
    </row>
    <row r="142" spans="11:19" x14ac:dyDescent="0.2">
      <c r="K142" s="43"/>
      <c r="L142" s="43"/>
      <c r="M142" s="43"/>
      <c r="N142" s="9"/>
      <c r="O142" s="6"/>
      <c r="P142" s="6"/>
      <c r="Q142" s="42"/>
      <c r="R142" s="42"/>
      <c r="S142" s="6"/>
    </row>
    <row r="143" spans="11:19" x14ac:dyDescent="0.2">
      <c r="K143" s="43"/>
      <c r="L143" s="43"/>
      <c r="M143" s="43"/>
      <c r="N143" s="9"/>
      <c r="O143" s="6"/>
      <c r="P143" s="6"/>
      <c r="Q143" s="42"/>
      <c r="R143" s="42"/>
      <c r="S143" s="6"/>
    </row>
    <row r="144" spans="11:19" x14ac:dyDescent="0.2">
      <c r="K144" s="43"/>
      <c r="L144" s="43"/>
      <c r="M144" s="43"/>
      <c r="N144" s="9"/>
      <c r="O144" s="6"/>
      <c r="P144" s="6"/>
      <c r="Q144" s="42"/>
      <c r="R144" s="42"/>
      <c r="S144" s="6"/>
    </row>
    <row r="145" spans="11:19" x14ac:dyDescent="0.2">
      <c r="K145" s="43"/>
      <c r="L145" s="43"/>
      <c r="M145" s="43"/>
      <c r="N145" s="9"/>
      <c r="O145" s="6"/>
      <c r="P145" s="6"/>
      <c r="Q145" s="42"/>
      <c r="R145" s="42"/>
      <c r="S145" s="6"/>
    </row>
    <row r="146" spans="11:19" x14ac:dyDescent="0.2">
      <c r="K146" s="43"/>
      <c r="L146" s="43"/>
      <c r="M146" s="43"/>
      <c r="N146" s="9"/>
      <c r="O146" s="6"/>
      <c r="P146" s="6"/>
      <c r="Q146" s="42"/>
      <c r="R146" s="42"/>
      <c r="S146" s="6"/>
    </row>
    <row r="147" spans="11:19" x14ac:dyDescent="0.2">
      <c r="K147" s="43"/>
      <c r="L147" s="43"/>
      <c r="M147" s="43"/>
      <c r="N147" s="9"/>
      <c r="O147" s="6"/>
      <c r="P147" s="6"/>
      <c r="Q147" s="42"/>
      <c r="R147" s="42"/>
      <c r="S147" s="6"/>
    </row>
    <row r="148" spans="11:19" x14ac:dyDescent="0.2">
      <c r="K148" s="43"/>
      <c r="L148" s="43"/>
      <c r="M148" s="43"/>
      <c r="N148" s="9"/>
      <c r="O148" s="6"/>
      <c r="P148" s="6"/>
      <c r="Q148" s="42"/>
      <c r="R148" s="42"/>
      <c r="S148" s="6"/>
    </row>
    <row r="149" spans="11:19" x14ac:dyDescent="0.2">
      <c r="K149" s="43"/>
      <c r="L149" s="43"/>
      <c r="M149" s="43"/>
      <c r="N149" s="9"/>
      <c r="O149" s="6"/>
      <c r="P149" s="6"/>
      <c r="Q149" s="42"/>
      <c r="R149" s="42"/>
      <c r="S149" s="6"/>
    </row>
    <row r="150" spans="11:19" x14ac:dyDescent="0.2">
      <c r="K150" s="43"/>
      <c r="L150" s="43"/>
      <c r="M150" s="43"/>
      <c r="N150" s="9"/>
      <c r="O150" s="6"/>
      <c r="P150" s="6"/>
      <c r="Q150" s="42"/>
      <c r="R150" s="42"/>
      <c r="S150" s="6"/>
    </row>
    <row r="151" spans="11:19" x14ac:dyDescent="0.2">
      <c r="K151" s="43"/>
      <c r="L151" s="43"/>
      <c r="M151" s="43"/>
      <c r="N151" s="9"/>
      <c r="O151" s="6"/>
      <c r="P151" s="6"/>
      <c r="Q151" s="42"/>
      <c r="R151" s="42"/>
      <c r="S151" s="6"/>
    </row>
    <row r="152" spans="11:19" x14ac:dyDescent="0.2">
      <c r="K152" s="43"/>
      <c r="L152" s="43"/>
      <c r="M152" s="43"/>
      <c r="N152" s="9"/>
      <c r="O152" s="6"/>
      <c r="P152" s="6"/>
      <c r="Q152" s="42"/>
      <c r="R152" s="42"/>
      <c r="S152" s="6"/>
    </row>
    <row r="153" spans="11:19" x14ac:dyDescent="0.2">
      <c r="K153" s="43"/>
      <c r="L153" s="43"/>
      <c r="M153" s="43"/>
      <c r="N153" s="9"/>
      <c r="O153" s="6"/>
      <c r="P153" s="6"/>
      <c r="Q153" s="42"/>
      <c r="R153" s="42"/>
      <c r="S153" s="6"/>
    </row>
    <row r="154" spans="11:19" x14ac:dyDescent="0.2">
      <c r="K154" s="43"/>
      <c r="L154" s="43"/>
      <c r="M154" s="43"/>
      <c r="N154" s="9"/>
      <c r="O154" s="6"/>
      <c r="P154" s="6"/>
      <c r="Q154" s="42"/>
      <c r="R154" s="42"/>
      <c r="S154" s="6"/>
    </row>
    <row r="155" spans="11:19" x14ac:dyDescent="0.2">
      <c r="K155" s="43"/>
      <c r="L155" s="43"/>
      <c r="M155" s="43"/>
      <c r="N155" s="9"/>
      <c r="O155" s="6"/>
      <c r="P155" s="6"/>
      <c r="Q155" s="42"/>
      <c r="R155" s="42"/>
      <c r="S155" s="6"/>
    </row>
    <row r="156" spans="11:19" x14ac:dyDescent="0.2">
      <c r="K156" s="43"/>
      <c r="L156" s="43"/>
      <c r="M156" s="43"/>
      <c r="N156" s="9"/>
      <c r="O156" s="6"/>
      <c r="P156" s="6"/>
      <c r="Q156" s="42"/>
      <c r="R156" s="42"/>
      <c r="S156" s="6"/>
    </row>
    <row r="157" spans="11:19" x14ac:dyDescent="0.2">
      <c r="K157" s="43"/>
      <c r="L157" s="43"/>
      <c r="M157" s="43"/>
      <c r="N157" s="9"/>
      <c r="O157" s="6"/>
      <c r="P157" s="6"/>
      <c r="Q157" s="42"/>
      <c r="R157" s="42"/>
      <c r="S157" s="6"/>
    </row>
    <row r="158" spans="11:19" x14ac:dyDescent="0.2">
      <c r="K158" s="43"/>
      <c r="L158" s="43"/>
      <c r="M158" s="43"/>
      <c r="N158" s="9"/>
      <c r="O158" s="6"/>
      <c r="P158" s="6"/>
      <c r="Q158" s="42"/>
      <c r="R158" s="42"/>
      <c r="S158" s="6"/>
    </row>
    <row r="159" spans="11:19" x14ac:dyDescent="0.2">
      <c r="K159" s="43"/>
      <c r="L159" s="43"/>
      <c r="M159" s="43"/>
      <c r="N159" s="9"/>
      <c r="O159" s="6"/>
      <c r="P159" s="6"/>
      <c r="Q159" s="42"/>
      <c r="R159" s="42"/>
      <c r="S159" s="6"/>
    </row>
    <row r="160" spans="11:19" x14ac:dyDescent="0.2">
      <c r="K160" s="43"/>
      <c r="L160" s="43"/>
      <c r="M160" s="43"/>
      <c r="N160" s="9"/>
      <c r="O160" s="6"/>
      <c r="P160" s="6"/>
      <c r="Q160" s="42"/>
      <c r="R160" s="42"/>
      <c r="S160" s="6"/>
    </row>
    <row r="161" spans="11:19" x14ac:dyDescent="0.2">
      <c r="K161" s="43"/>
      <c r="L161" s="43"/>
      <c r="M161" s="43"/>
      <c r="N161" s="9"/>
      <c r="O161" s="6"/>
      <c r="P161" s="6"/>
      <c r="Q161" s="42"/>
      <c r="R161" s="42"/>
      <c r="S161" s="6"/>
    </row>
    <row r="162" spans="11:19" x14ac:dyDescent="0.2">
      <c r="K162" s="43"/>
      <c r="L162" s="43"/>
      <c r="M162" s="43"/>
      <c r="N162" s="9"/>
      <c r="O162" s="6"/>
      <c r="P162" s="6"/>
      <c r="Q162" s="42"/>
      <c r="R162" s="42"/>
      <c r="S162" s="6"/>
    </row>
    <row r="163" spans="11:19" x14ac:dyDescent="0.2">
      <c r="K163" s="43"/>
      <c r="L163" s="43"/>
      <c r="M163" s="43"/>
      <c r="N163" s="9"/>
      <c r="O163" s="6"/>
      <c r="P163" s="6"/>
      <c r="Q163" s="42"/>
      <c r="R163" s="42"/>
      <c r="S163" s="6"/>
    </row>
    <row r="164" spans="11:19" x14ac:dyDescent="0.2">
      <c r="K164" s="43"/>
      <c r="L164" s="43"/>
      <c r="M164" s="43"/>
      <c r="N164" s="9"/>
      <c r="O164" s="6"/>
      <c r="P164" s="6"/>
      <c r="Q164" s="42"/>
      <c r="R164" s="42"/>
      <c r="S164" s="6"/>
    </row>
    <row r="165" spans="11:19" x14ac:dyDescent="0.2">
      <c r="K165" s="43"/>
      <c r="L165" s="43"/>
      <c r="M165" s="43"/>
      <c r="N165" s="9"/>
      <c r="O165" s="6"/>
      <c r="P165" s="6"/>
      <c r="Q165" s="42"/>
      <c r="R165" s="42"/>
      <c r="S165" s="6"/>
    </row>
    <row r="166" spans="11:19" x14ac:dyDescent="0.2">
      <c r="K166" s="43"/>
      <c r="L166" s="43"/>
      <c r="M166" s="43"/>
      <c r="N166" s="9"/>
      <c r="O166" s="6"/>
      <c r="P166" s="6"/>
      <c r="Q166" s="42"/>
      <c r="R166" s="42"/>
      <c r="S166" s="6"/>
    </row>
    <row r="167" spans="11:19" x14ac:dyDescent="0.2">
      <c r="K167" s="43"/>
      <c r="L167" s="43"/>
      <c r="M167" s="43"/>
      <c r="N167" s="9"/>
      <c r="O167" s="6"/>
      <c r="P167" s="6"/>
      <c r="Q167" s="42"/>
      <c r="R167" s="42"/>
      <c r="S167" s="6"/>
    </row>
    <row r="168" spans="11:19" x14ac:dyDescent="0.2">
      <c r="K168" s="43"/>
      <c r="L168" s="43"/>
      <c r="M168" s="43"/>
      <c r="N168" s="9"/>
      <c r="O168" s="6"/>
      <c r="P168" s="6"/>
      <c r="Q168" s="42"/>
      <c r="R168" s="42"/>
      <c r="S168" s="6"/>
    </row>
    <row r="169" spans="11:19" x14ac:dyDescent="0.2">
      <c r="K169" s="43"/>
      <c r="L169" s="43"/>
      <c r="M169" s="43"/>
      <c r="N169" s="9"/>
      <c r="O169" s="6"/>
      <c r="P169" s="6"/>
      <c r="Q169" s="42"/>
      <c r="R169" s="42"/>
      <c r="S169" s="6"/>
    </row>
    <row r="170" spans="11:19" x14ac:dyDescent="0.2">
      <c r="K170" s="43"/>
      <c r="L170" s="43"/>
      <c r="M170" s="43"/>
      <c r="N170" s="9"/>
      <c r="O170" s="6"/>
      <c r="P170" s="6"/>
      <c r="Q170" s="42"/>
      <c r="R170" s="42"/>
      <c r="S170" s="6"/>
    </row>
    <row r="171" spans="11:19" x14ac:dyDescent="0.2">
      <c r="K171" s="43"/>
      <c r="L171" s="43"/>
      <c r="M171" s="43"/>
      <c r="N171" s="9"/>
      <c r="O171" s="6"/>
      <c r="P171" s="6"/>
      <c r="Q171" s="42"/>
      <c r="R171" s="42"/>
      <c r="S171" s="6"/>
    </row>
    <row r="172" spans="11:19" x14ac:dyDescent="0.2">
      <c r="K172" s="43"/>
      <c r="L172" s="43"/>
      <c r="M172" s="43"/>
      <c r="N172" s="9"/>
      <c r="O172" s="6"/>
      <c r="P172" s="6"/>
      <c r="Q172" s="42"/>
      <c r="R172" s="42"/>
      <c r="S172" s="6"/>
    </row>
    <row r="173" spans="11:19" x14ac:dyDescent="0.2">
      <c r="K173" s="43"/>
      <c r="L173" s="43"/>
      <c r="M173" s="43"/>
      <c r="N173" s="9"/>
      <c r="O173" s="6"/>
      <c r="P173" s="6"/>
      <c r="Q173" s="42"/>
      <c r="R173" s="42"/>
      <c r="S173" s="6"/>
    </row>
    <row r="174" spans="11:19" x14ac:dyDescent="0.2">
      <c r="K174" s="43"/>
      <c r="L174" s="43"/>
      <c r="M174" s="43"/>
      <c r="N174" s="9"/>
      <c r="O174" s="6"/>
      <c r="P174" s="6"/>
      <c r="Q174" s="42"/>
      <c r="R174" s="42"/>
      <c r="S174" s="6"/>
    </row>
    <row r="175" spans="11:19" x14ac:dyDescent="0.2">
      <c r="K175" s="43"/>
      <c r="L175" s="43"/>
      <c r="M175" s="43"/>
      <c r="N175" s="9"/>
      <c r="O175" s="6"/>
      <c r="P175" s="6"/>
      <c r="Q175" s="42"/>
      <c r="R175" s="42"/>
      <c r="S175" s="6"/>
    </row>
    <row r="176" spans="11:19" x14ac:dyDescent="0.2">
      <c r="K176" s="43"/>
      <c r="L176" s="43"/>
      <c r="M176" s="43"/>
      <c r="N176" s="9"/>
      <c r="O176" s="6"/>
      <c r="P176" s="6"/>
      <c r="Q176" s="42"/>
      <c r="R176" s="42"/>
      <c r="S176" s="6"/>
    </row>
    <row r="177" spans="11:19" x14ac:dyDescent="0.2">
      <c r="K177" s="43"/>
      <c r="L177" s="43"/>
      <c r="M177" s="43"/>
      <c r="N177" s="9"/>
      <c r="O177" s="6"/>
      <c r="P177" s="6"/>
      <c r="Q177" s="42"/>
      <c r="R177" s="42"/>
      <c r="S177" s="6"/>
    </row>
    <row r="178" spans="11:19" x14ac:dyDescent="0.2">
      <c r="K178" s="43"/>
      <c r="L178" s="43"/>
      <c r="M178" s="43"/>
      <c r="N178" s="9"/>
      <c r="O178" s="6"/>
      <c r="P178" s="6"/>
      <c r="Q178" s="42"/>
      <c r="R178" s="42"/>
      <c r="S178" s="6"/>
    </row>
    <row r="179" spans="11:19" x14ac:dyDescent="0.2">
      <c r="K179" s="43"/>
      <c r="L179" s="43"/>
      <c r="M179" s="43"/>
      <c r="N179" s="9"/>
      <c r="O179" s="6"/>
      <c r="P179" s="6"/>
      <c r="Q179" s="42"/>
      <c r="R179" s="42"/>
      <c r="S179" s="6"/>
    </row>
    <row r="180" spans="11:19" x14ac:dyDescent="0.2">
      <c r="K180" s="43"/>
      <c r="L180" s="43"/>
      <c r="M180" s="43"/>
      <c r="N180" s="9"/>
      <c r="O180" s="6"/>
      <c r="P180" s="6"/>
      <c r="Q180" s="42"/>
      <c r="R180" s="42"/>
      <c r="S180" s="6"/>
    </row>
    <row r="181" spans="11:19" x14ac:dyDescent="0.2">
      <c r="K181" s="43"/>
      <c r="L181" s="43"/>
      <c r="M181" s="43"/>
      <c r="N181" s="9"/>
      <c r="O181" s="6"/>
      <c r="P181" s="6"/>
      <c r="Q181" s="42"/>
      <c r="R181" s="42"/>
      <c r="S181" s="6"/>
    </row>
    <row r="182" spans="11:19" x14ac:dyDescent="0.2">
      <c r="K182" s="43"/>
      <c r="L182" s="43"/>
      <c r="M182" s="43"/>
      <c r="N182" s="9"/>
      <c r="O182" s="6"/>
      <c r="P182" s="6"/>
      <c r="Q182" s="42"/>
      <c r="R182" s="42"/>
      <c r="S182" s="6"/>
    </row>
    <row r="183" spans="11:19" x14ac:dyDescent="0.2">
      <c r="K183" s="43"/>
      <c r="L183" s="43"/>
      <c r="M183" s="43"/>
      <c r="N183" s="9"/>
      <c r="O183" s="6"/>
      <c r="P183" s="6"/>
      <c r="Q183" s="42"/>
      <c r="R183" s="42"/>
      <c r="S183" s="6"/>
    </row>
    <row r="184" spans="11:19" x14ac:dyDescent="0.2">
      <c r="K184" s="43"/>
      <c r="L184" s="43"/>
      <c r="M184" s="43"/>
      <c r="N184" s="9"/>
      <c r="O184" s="6"/>
      <c r="P184" s="6"/>
      <c r="Q184" s="42"/>
      <c r="R184" s="42"/>
      <c r="S184" s="6"/>
    </row>
    <row r="185" spans="11:19" x14ac:dyDescent="0.2">
      <c r="K185" s="43"/>
      <c r="L185" s="43"/>
      <c r="M185" s="43"/>
      <c r="N185" s="9"/>
      <c r="O185" s="6"/>
      <c r="P185" s="6"/>
      <c r="Q185" s="42"/>
      <c r="R185" s="42"/>
      <c r="S185" s="6"/>
    </row>
    <row r="186" spans="11:19" x14ac:dyDescent="0.2">
      <c r="K186" s="43"/>
      <c r="L186" s="43"/>
      <c r="M186" s="43"/>
      <c r="N186" s="9"/>
      <c r="O186" s="6"/>
      <c r="P186" s="6"/>
      <c r="Q186" s="42"/>
      <c r="R186" s="42"/>
      <c r="S186" s="6"/>
    </row>
    <row r="187" spans="11:19" x14ac:dyDescent="0.2">
      <c r="K187" s="43"/>
      <c r="L187" s="43"/>
      <c r="M187" s="43"/>
      <c r="N187" s="9"/>
      <c r="O187" s="6"/>
      <c r="P187" s="6"/>
      <c r="Q187" s="42"/>
      <c r="R187" s="42"/>
      <c r="S187" s="6"/>
    </row>
    <row r="188" spans="11:19" x14ac:dyDescent="0.2">
      <c r="K188" s="43"/>
      <c r="L188" s="43"/>
      <c r="M188" s="43"/>
      <c r="N188" s="9"/>
      <c r="O188" s="6"/>
      <c r="P188" s="6"/>
      <c r="Q188" s="42"/>
      <c r="R188" s="42"/>
      <c r="S188" s="6"/>
    </row>
    <row r="189" spans="11:19" x14ac:dyDescent="0.2">
      <c r="K189" s="43"/>
      <c r="L189" s="43"/>
      <c r="M189" s="43"/>
      <c r="N189" s="9"/>
      <c r="O189" s="6"/>
      <c r="P189" s="6"/>
      <c r="Q189" s="42"/>
      <c r="R189" s="42"/>
      <c r="S189" s="6"/>
    </row>
    <row r="190" spans="11:19" x14ac:dyDescent="0.2">
      <c r="K190" s="43"/>
      <c r="L190" s="43"/>
      <c r="M190" s="43"/>
      <c r="N190" s="9"/>
      <c r="O190" s="6"/>
      <c r="P190" s="6"/>
      <c r="Q190" s="42"/>
      <c r="R190" s="42"/>
      <c r="S190" s="6"/>
    </row>
    <row r="191" spans="11:19" x14ac:dyDescent="0.2">
      <c r="K191" s="43"/>
      <c r="L191" s="43"/>
      <c r="M191" s="43"/>
      <c r="N191" s="9"/>
      <c r="O191" s="6"/>
      <c r="P191" s="6"/>
      <c r="Q191" s="42"/>
      <c r="R191" s="42"/>
      <c r="S191" s="6"/>
    </row>
    <row r="192" spans="11:19" x14ac:dyDescent="0.2">
      <c r="K192" s="43"/>
      <c r="L192" s="43"/>
      <c r="M192" s="43"/>
      <c r="N192" s="9"/>
      <c r="O192" s="6"/>
      <c r="P192" s="6"/>
      <c r="Q192" s="42"/>
      <c r="R192" s="42"/>
      <c r="S192" s="6"/>
    </row>
    <row r="193" spans="11:19" x14ac:dyDescent="0.2">
      <c r="K193" s="43"/>
      <c r="L193" s="43"/>
      <c r="M193" s="43"/>
      <c r="N193" s="9"/>
      <c r="O193" s="6"/>
      <c r="P193" s="6"/>
      <c r="Q193" s="42"/>
      <c r="R193" s="42"/>
      <c r="S193" s="6"/>
    </row>
    <row r="194" spans="11:19" x14ac:dyDescent="0.2">
      <c r="K194" s="43"/>
      <c r="L194" s="43"/>
      <c r="M194" s="43"/>
      <c r="N194" s="9"/>
      <c r="O194" s="6"/>
      <c r="P194" s="6"/>
      <c r="Q194" s="42"/>
      <c r="R194" s="42"/>
      <c r="S194" s="6"/>
    </row>
    <row r="195" spans="11:19" x14ac:dyDescent="0.2">
      <c r="K195" s="43"/>
      <c r="L195" s="43"/>
      <c r="M195" s="43"/>
      <c r="N195" s="9"/>
      <c r="O195" s="6"/>
      <c r="P195" s="6"/>
      <c r="Q195" s="42"/>
      <c r="R195" s="42"/>
      <c r="S195" s="6"/>
    </row>
    <row r="196" spans="11:19" x14ac:dyDescent="0.2">
      <c r="K196" s="43"/>
      <c r="L196" s="43"/>
      <c r="M196" s="43"/>
      <c r="N196" s="9"/>
      <c r="O196" s="6"/>
      <c r="P196" s="6"/>
      <c r="Q196" s="42"/>
      <c r="R196" s="42"/>
      <c r="S196" s="6"/>
    </row>
    <row r="197" spans="11:19" x14ac:dyDescent="0.2">
      <c r="K197" s="43"/>
      <c r="L197" s="43"/>
      <c r="M197" s="43"/>
      <c r="N197" s="9"/>
      <c r="O197" s="6"/>
      <c r="P197" s="6"/>
      <c r="Q197" s="42"/>
      <c r="R197" s="42"/>
      <c r="S197" s="6"/>
    </row>
    <row r="198" spans="11:19" x14ac:dyDescent="0.2">
      <c r="K198" s="43"/>
      <c r="L198" s="43"/>
      <c r="M198" s="43"/>
      <c r="N198" s="9"/>
      <c r="O198" s="6"/>
      <c r="P198" s="6"/>
      <c r="Q198" s="42"/>
      <c r="R198" s="42"/>
      <c r="S198" s="6"/>
    </row>
    <row r="199" spans="11:19" x14ac:dyDescent="0.2">
      <c r="K199" s="43"/>
      <c r="L199" s="43"/>
      <c r="M199" s="43"/>
      <c r="N199" s="9"/>
      <c r="O199" s="6"/>
      <c r="P199" s="6"/>
      <c r="Q199" s="42"/>
      <c r="R199" s="42"/>
      <c r="S199" s="6"/>
    </row>
    <row r="200" spans="11:19" x14ac:dyDescent="0.2">
      <c r="K200" s="43"/>
      <c r="L200" s="43"/>
      <c r="M200" s="43"/>
      <c r="N200" s="9"/>
      <c r="O200" s="6"/>
      <c r="P200" s="6"/>
      <c r="Q200" s="42"/>
      <c r="R200" s="42"/>
      <c r="S200" s="6"/>
    </row>
    <row r="201" spans="11:19" x14ac:dyDescent="0.2">
      <c r="K201" s="43"/>
      <c r="L201" s="43"/>
      <c r="M201" s="43"/>
      <c r="N201" s="9"/>
      <c r="O201" s="6"/>
      <c r="P201" s="6"/>
      <c r="Q201" s="42"/>
      <c r="R201" s="42"/>
      <c r="S201" s="6"/>
    </row>
    <row r="202" spans="11:19" x14ac:dyDescent="0.2">
      <c r="K202" s="43"/>
      <c r="L202" s="43"/>
      <c r="M202" s="43"/>
      <c r="N202" s="9"/>
      <c r="O202" s="6"/>
      <c r="P202" s="6"/>
      <c r="Q202" s="42"/>
      <c r="R202" s="42"/>
      <c r="S202" s="6"/>
    </row>
    <row r="203" spans="11:19" x14ac:dyDescent="0.2">
      <c r="K203" s="43"/>
      <c r="L203" s="43"/>
      <c r="M203" s="43"/>
      <c r="N203" s="9"/>
      <c r="O203" s="6"/>
      <c r="P203" s="6"/>
      <c r="Q203" s="42"/>
      <c r="R203" s="42"/>
      <c r="S203" s="6"/>
    </row>
    <row r="204" spans="11:19" x14ac:dyDescent="0.2">
      <c r="K204" s="43"/>
      <c r="L204" s="43"/>
      <c r="M204" s="43"/>
      <c r="N204" s="9"/>
      <c r="O204" s="6"/>
      <c r="P204" s="6"/>
      <c r="Q204" s="42"/>
      <c r="R204" s="42"/>
      <c r="S204" s="6"/>
    </row>
    <row r="205" spans="11:19" x14ac:dyDescent="0.2">
      <c r="K205" s="43"/>
      <c r="L205" s="43"/>
      <c r="M205" s="43"/>
      <c r="N205" s="9"/>
      <c r="O205" s="6"/>
      <c r="P205" s="6"/>
      <c r="Q205" s="42"/>
      <c r="R205" s="42"/>
      <c r="S205" s="6"/>
    </row>
    <row r="206" spans="11:19" x14ac:dyDescent="0.2">
      <c r="K206" s="43"/>
      <c r="L206" s="43"/>
      <c r="M206" s="43"/>
      <c r="N206" s="9"/>
      <c r="O206" s="6"/>
      <c r="P206" s="6"/>
      <c r="Q206" s="42"/>
      <c r="R206" s="42"/>
      <c r="S206" s="6"/>
    </row>
    <row r="207" spans="11:19" x14ac:dyDescent="0.2">
      <c r="K207" s="43"/>
      <c r="L207" s="43"/>
      <c r="M207" s="43"/>
      <c r="N207" s="9"/>
      <c r="O207" s="6"/>
      <c r="P207" s="6"/>
      <c r="Q207" s="42"/>
      <c r="R207" s="42"/>
      <c r="S207" s="6"/>
    </row>
    <row r="208" spans="11:19" x14ac:dyDescent="0.2">
      <c r="K208" s="43"/>
      <c r="L208" s="43"/>
      <c r="M208" s="43"/>
      <c r="N208" s="9"/>
      <c r="O208" s="6"/>
      <c r="P208" s="6"/>
      <c r="Q208" s="42"/>
      <c r="R208" s="42"/>
      <c r="S208" s="6"/>
    </row>
    <row r="209" spans="11:19" x14ac:dyDescent="0.2">
      <c r="K209" s="43"/>
      <c r="L209" s="43"/>
      <c r="M209" s="43"/>
      <c r="N209" s="9"/>
      <c r="O209" s="6"/>
      <c r="P209" s="6"/>
      <c r="Q209" s="42"/>
      <c r="R209" s="42"/>
      <c r="S209" s="6"/>
    </row>
    <row r="210" spans="11:19" x14ac:dyDescent="0.2">
      <c r="K210" s="43"/>
      <c r="L210" s="43"/>
      <c r="M210" s="43"/>
      <c r="N210" s="9"/>
      <c r="O210" s="6"/>
      <c r="P210" s="6"/>
      <c r="Q210" s="42"/>
      <c r="R210" s="42"/>
      <c r="S210" s="6"/>
    </row>
    <row r="211" spans="11:19" x14ac:dyDescent="0.2">
      <c r="K211" s="43"/>
      <c r="L211" s="43"/>
      <c r="M211" s="43"/>
      <c r="N211" s="9"/>
      <c r="O211" s="6"/>
      <c r="P211" s="6"/>
      <c r="Q211" s="42"/>
      <c r="R211" s="42"/>
      <c r="S211" s="6"/>
    </row>
    <row r="212" spans="11:19" x14ac:dyDescent="0.2">
      <c r="K212" s="43"/>
      <c r="L212" s="43"/>
      <c r="M212" s="43"/>
      <c r="N212" s="9"/>
      <c r="O212" s="6"/>
      <c r="P212" s="6"/>
      <c r="Q212" s="42"/>
      <c r="R212" s="42"/>
      <c r="S212" s="6"/>
    </row>
    <row r="213" spans="11:19" x14ac:dyDescent="0.2">
      <c r="K213" s="43"/>
      <c r="L213" s="43"/>
      <c r="M213" s="43"/>
      <c r="N213" s="9"/>
      <c r="O213" s="6"/>
      <c r="P213" s="6"/>
      <c r="Q213" s="42"/>
      <c r="R213" s="42"/>
      <c r="S213" s="6"/>
    </row>
    <row r="214" spans="11:19" x14ac:dyDescent="0.2">
      <c r="K214" s="43"/>
      <c r="L214" s="43"/>
      <c r="M214" s="43"/>
      <c r="N214" s="9"/>
      <c r="O214" s="6"/>
      <c r="P214" s="6"/>
      <c r="Q214" s="42"/>
      <c r="R214" s="42"/>
      <c r="S214" s="6"/>
    </row>
    <row r="215" spans="11:19" x14ac:dyDescent="0.2">
      <c r="K215" s="43"/>
      <c r="L215" s="43"/>
      <c r="M215" s="43"/>
      <c r="N215" s="9"/>
      <c r="O215" s="6"/>
      <c r="P215" s="6"/>
      <c r="Q215" s="42"/>
      <c r="R215" s="42"/>
      <c r="S215" s="6"/>
    </row>
    <row r="216" spans="11:19" x14ac:dyDescent="0.2">
      <c r="K216" s="43"/>
      <c r="L216" s="43"/>
      <c r="M216" s="43"/>
      <c r="N216" s="9"/>
      <c r="O216" s="6"/>
      <c r="P216" s="6"/>
      <c r="Q216" s="42"/>
      <c r="R216" s="42"/>
      <c r="S216" s="6"/>
    </row>
    <row r="217" spans="11:19" x14ac:dyDescent="0.2">
      <c r="K217" s="43"/>
      <c r="L217" s="43"/>
      <c r="M217" s="43"/>
      <c r="N217" s="9"/>
      <c r="O217" s="6"/>
      <c r="P217" s="6"/>
      <c r="Q217" s="42"/>
      <c r="R217" s="42"/>
      <c r="S217" s="6"/>
    </row>
    <row r="218" spans="11:19" x14ac:dyDescent="0.2">
      <c r="K218" s="43"/>
      <c r="L218" s="43"/>
      <c r="M218" s="43"/>
      <c r="N218" s="9"/>
      <c r="O218" s="6"/>
      <c r="P218" s="6"/>
      <c r="Q218" s="42"/>
      <c r="R218" s="42"/>
      <c r="S218" s="6"/>
    </row>
    <row r="219" spans="11:19" x14ac:dyDescent="0.2">
      <c r="K219" s="43"/>
      <c r="L219" s="43"/>
      <c r="M219" s="43"/>
      <c r="N219" s="9"/>
      <c r="O219" s="6"/>
      <c r="P219" s="6"/>
      <c r="Q219" s="42"/>
      <c r="R219" s="42"/>
      <c r="S219" s="6"/>
    </row>
    <row r="220" spans="11:19" x14ac:dyDescent="0.2">
      <c r="K220" s="43"/>
      <c r="L220" s="43"/>
      <c r="M220" s="43"/>
      <c r="N220" s="9"/>
      <c r="O220" s="6"/>
      <c r="P220" s="6"/>
      <c r="Q220" s="42"/>
      <c r="R220" s="42"/>
      <c r="S220" s="6"/>
    </row>
    <row r="221" spans="11:19" x14ac:dyDescent="0.2">
      <c r="K221" s="43"/>
      <c r="L221" s="43"/>
      <c r="M221" s="43"/>
      <c r="N221" s="9"/>
      <c r="O221" s="6"/>
      <c r="P221" s="6"/>
      <c r="Q221" s="42"/>
      <c r="R221" s="42"/>
      <c r="S221" s="6"/>
    </row>
    <row r="222" spans="11:19" x14ac:dyDescent="0.2">
      <c r="K222" s="43"/>
      <c r="L222" s="43"/>
      <c r="M222" s="43"/>
      <c r="N222" s="9"/>
      <c r="O222" s="6"/>
      <c r="P222" s="6"/>
      <c r="Q222" s="42"/>
      <c r="R222" s="42"/>
      <c r="S222" s="6"/>
    </row>
    <row r="223" spans="11:19" x14ac:dyDescent="0.2">
      <c r="K223" s="43"/>
      <c r="L223" s="43"/>
      <c r="M223" s="43"/>
      <c r="N223" s="9"/>
      <c r="O223" s="6"/>
      <c r="P223" s="6"/>
      <c r="Q223" s="42"/>
      <c r="R223" s="42"/>
      <c r="S223" s="6"/>
    </row>
    <row r="224" spans="11:19" x14ac:dyDescent="0.2">
      <c r="K224" s="43"/>
      <c r="L224" s="43"/>
      <c r="M224" s="43"/>
      <c r="N224" s="9"/>
      <c r="O224" s="6"/>
      <c r="P224" s="6"/>
      <c r="Q224" s="42"/>
      <c r="R224" s="42"/>
      <c r="S224" s="6"/>
    </row>
    <row r="225" spans="11:19" x14ac:dyDescent="0.2">
      <c r="K225" s="43"/>
      <c r="L225" s="43"/>
      <c r="M225" s="43"/>
      <c r="N225" s="9"/>
      <c r="O225" s="6"/>
      <c r="P225" s="6"/>
      <c r="Q225" s="42"/>
      <c r="R225" s="42"/>
      <c r="S225" s="6"/>
    </row>
    <row r="226" spans="11:19" x14ac:dyDescent="0.2">
      <c r="K226" s="43"/>
      <c r="L226" s="43"/>
      <c r="M226" s="43"/>
      <c r="N226" s="9"/>
      <c r="O226" s="6"/>
      <c r="P226" s="6"/>
      <c r="Q226" s="42"/>
      <c r="R226" s="42"/>
      <c r="S226" s="6"/>
    </row>
    <row r="227" spans="11:19" x14ac:dyDescent="0.2">
      <c r="K227" s="43"/>
      <c r="L227" s="43"/>
      <c r="M227" s="43"/>
      <c r="N227" s="9"/>
      <c r="O227" s="6"/>
      <c r="P227" s="6"/>
      <c r="Q227" s="42"/>
      <c r="R227" s="42"/>
      <c r="S227" s="6"/>
    </row>
    <row r="228" spans="11:19" x14ac:dyDescent="0.2">
      <c r="K228" s="43"/>
      <c r="L228" s="43"/>
      <c r="M228" s="43"/>
      <c r="N228" s="9"/>
      <c r="O228" s="6"/>
      <c r="P228" s="6"/>
      <c r="Q228" s="42"/>
      <c r="R228" s="42"/>
      <c r="S228" s="6"/>
    </row>
    <row r="229" spans="11:19" x14ac:dyDescent="0.2">
      <c r="K229" s="43"/>
      <c r="L229" s="43"/>
      <c r="M229" s="43"/>
      <c r="N229" s="9"/>
      <c r="O229" s="6"/>
      <c r="P229" s="6"/>
      <c r="Q229" s="42"/>
      <c r="R229" s="42"/>
      <c r="S229" s="6"/>
    </row>
    <row r="230" spans="11:19" x14ac:dyDescent="0.2">
      <c r="K230" s="43"/>
      <c r="L230" s="43"/>
      <c r="M230" s="43"/>
      <c r="N230" s="9"/>
      <c r="O230" s="6"/>
      <c r="P230" s="6"/>
      <c r="Q230" s="42"/>
      <c r="R230" s="42"/>
      <c r="S230" s="6"/>
    </row>
    <row r="231" spans="11:19" x14ac:dyDescent="0.2">
      <c r="K231" s="43"/>
      <c r="L231" s="43"/>
      <c r="M231" s="43"/>
      <c r="N231" s="9"/>
      <c r="O231" s="6"/>
      <c r="P231" s="6"/>
      <c r="Q231" s="42"/>
      <c r="R231" s="42"/>
      <c r="S231" s="6"/>
    </row>
    <row r="232" spans="11:19" x14ac:dyDescent="0.2">
      <c r="K232" s="43"/>
      <c r="L232" s="43"/>
      <c r="M232" s="43"/>
      <c r="N232" s="9"/>
      <c r="O232" s="6"/>
      <c r="P232" s="6"/>
      <c r="Q232" s="42"/>
      <c r="R232" s="42"/>
      <c r="S232" s="6"/>
    </row>
    <row r="233" spans="11:19" x14ac:dyDescent="0.2">
      <c r="K233" s="43"/>
      <c r="L233" s="43"/>
      <c r="M233" s="43"/>
      <c r="N233" s="9"/>
      <c r="O233" s="6"/>
      <c r="P233" s="6"/>
      <c r="Q233" s="42"/>
      <c r="R233" s="42"/>
      <c r="S233" s="6"/>
    </row>
    <row r="234" spans="11:19" x14ac:dyDescent="0.2">
      <c r="K234" s="43"/>
      <c r="L234" s="43"/>
      <c r="M234" s="43"/>
      <c r="N234" s="9"/>
      <c r="O234" s="6"/>
      <c r="P234" s="6"/>
      <c r="Q234" s="42"/>
      <c r="R234" s="42"/>
      <c r="S234" s="6"/>
    </row>
    <row r="235" spans="11:19" x14ac:dyDescent="0.2">
      <c r="K235" s="43"/>
      <c r="L235" s="43"/>
      <c r="M235" s="43"/>
      <c r="N235" s="9"/>
      <c r="O235" s="6"/>
      <c r="P235" s="6"/>
      <c r="Q235" s="42"/>
      <c r="R235" s="42"/>
      <c r="S235" s="6"/>
    </row>
    <row r="236" spans="11:19" x14ac:dyDescent="0.2">
      <c r="K236" s="43"/>
      <c r="L236" s="43"/>
      <c r="M236" s="43"/>
      <c r="N236" s="9"/>
      <c r="O236" s="6"/>
      <c r="P236" s="6"/>
      <c r="Q236" s="42"/>
      <c r="R236" s="42"/>
      <c r="S236" s="6"/>
    </row>
    <row r="237" spans="11:19" x14ac:dyDescent="0.2">
      <c r="K237" s="43"/>
      <c r="L237" s="43"/>
      <c r="M237" s="43"/>
      <c r="N237" s="9"/>
      <c r="O237" s="6"/>
      <c r="P237" s="6"/>
      <c r="Q237" s="42"/>
      <c r="R237" s="42"/>
      <c r="S237" s="6"/>
    </row>
    <row r="238" spans="11:19" x14ac:dyDescent="0.2">
      <c r="K238" s="43"/>
      <c r="L238" s="43"/>
      <c r="M238" s="43"/>
      <c r="N238" s="9"/>
      <c r="O238" s="6"/>
      <c r="P238" s="6"/>
      <c r="Q238" s="42"/>
      <c r="R238" s="42"/>
      <c r="S238" s="6"/>
    </row>
    <row r="239" spans="11:19" x14ac:dyDescent="0.2">
      <c r="K239" s="43"/>
      <c r="L239" s="43"/>
      <c r="M239" s="43"/>
      <c r="N239" s="9"/>
      <c r="O239" s="6"/>
      <c r="P239" s="6"/>
      <c r="Q239" s="42"/>
      <c r="R239" s="42"/>
      <c r="S239" s="6"/>
    </row>
    <row r="240" spans="11:19" x14ac:dyDescent="0.2">
      <c r="K240" s="43"/>
      <c r="L240" s="43"/>
      <c r="M240" s="43"/>
      <c r="N240" s="9"/>
      <c r="O240" s="6"/>
      <c r="P240" s="6"/>
      <c r="Q240" s="42"/>
      <c r="R240" s="42"/>
      <c r="S240" s="6"/>
    </row>
    <row r="241" spans="11:19" x14ac:dyDescent="0.2">
      <c r="K241" s="43"/>
      <c r="L241" s="43"/>
      <c r="M241" s="43"/>
      <c r="N241" s="9"/>
      <c r="O241" s="6"/>
      <c r="P241" s="6"/>
      <c r="Q241" s="42"/>
      <c r="R241" s="42"/>
      <c r="S241" s="6"/>
    </row>
    <row r="242" spans="11:19" x14ac:dyDescent="0.2">
      <c r="K242" s="43"/>
      <c r="L242" s="43"/>
      <c r="M242" s="43"/>
      <c r="N242" s="9"/>
      <c r="O242" s="6"/>
      <c r="P242" s="6"/>
      <c r="Q242" s="42"/>
      <c r="R242" s="42"/>
      <c r="S242" s="6"/>
    </row>
    <row r="243" spans="11:19" x14ac:dyDescent="0.2">
      <c r="K243" s="43"/>
      <c r="L243" s="43"/>
      <c r="M243" s="43"/>
      <c r="N243" s="9"/>
      <c r="O243" s="6"/>
      <c r="P243" s="6"/>
      <c r="Q243" s="42"/>
      <c r="R243" s="42"/>
      <c r="S243" s="6"/>
    </row>
    <row r="244" spans="11:19" x14ac:dyDescent="0.2">
      <c r="K244" s="43"/>
      <c r="L244" s="43"/>
      <c r="M244" s="43"/>
      <c r="N244" s="9"/>
      <c r="O244" s="6"/>
      <c r="P244" s="6"/>
      <c r="Q244" s="42"/>
      <c r="R244" s="42"/>
      <c r="S244" s="6"/>
    </row>
    <row r="245" spans="11:19" x14ac:dyDescent="0.2">
      <c r="K245" s="43"/>
      <c r="L245" s="43"/>
      <c r="M245" s="43"/>
      <c r="N245" s="9"/>
      <c r="O245" s="6"/>
      <c r="P245" s="6"/>
      <c r="Q245" s="42"/>
      <c r="R245" s="42"/>
      <c r="S245" s="6"/>
    </row>
    <row r="246" spans="11:19" x14ac:dyDescent="0.2">
      <c r="K246" s="43"/>
      <c r="L246" s="43"/>
      <c r="M246" s="43"/>
      <c r="N246" s="9"/>
      <c r="O246" s="6"/>
      <c r="P246" s="6"/>
      <c r="Q246" s="42"/>
      <c r="R246" s="42"/>
      <c r="S246" s="6"/>
    </row>
    <row r="247" spans="11:19" x14ac:dyDescent="0.2">
      <c r="K247" s="43"/>
      <c r="L247" s="43"/>
      <c r="M247" s="43"/>
      <c r="N247" s="9"/>
      <c r="O247" s="6"/>
      <c r="P247" s="6"/>
      <c r="Q247" s="42"/>
      <c r="R247" s="42"/>
      <c r="S247" s="6"/>
    </row>
    <row r="248" spans="11:19" x14ac:dyDescent="0.2">
      <c r="K248" s="43"/>
      <c r="L248" s="43"/>
      <c r="M248" s="43"/>
      <c r="N248" s="9"/>
      <c r="O248" s="6"/>
      <c r="P248" s="6"/>
      <c r="Q248" s="42"/>
      <c r="R248" s="42"/>
      <c r="S248" s="6"/>
    </row>
    <row r="249" spans="11:19" x14ac:dyDescent="0.2">
      <c r="K249" s="43"/>
      <c r="L249" s="43"/>
      <c r="M249" s="43"/>
      <c r="N249" s="9"/>
      <c r="O249" s="6"/>
      <c r="P249" s="6"/>
      <c r="Q249" s="42"/>
      <c r="R249" s="42"/>
      <c r="S249" s="6"/>
    </row>
    <row r="250" spans="11:19" x14ac:dyDescent="0.2">
      <c r="K250" s="43"/>
      <c r="L250" s="43"/>
      <c r="M250" s="43"/>
      <c r="N250" s="9"/>
      <c r="O250" s="6"/>
      <c r="P250" s="6"/>
      <c r="Q250" s="42"/>
      <c r="R250" s="42"/>
      <c r="S250" s="6"/>
    </row>
    <row r="251" spans="11:19" x14ac:dyDescent="0.2">
      <c r="K251" s="43"/>
      <c r="L251" s="43"/>
      <c r="M251" s="43"/>
      <c r="N251" s="9"/>
      <c r="O251" s="6"/>
      <c r="P251" s="6"/>
      <c r="Q251" s="42"/>
      <c r="R251" s="42"/>
      <c r="S251" s="6"/>
    </row>
    <row r="252" spans="11:19" x14ac:dyDescent="0.2">
      <c r="K252" s="43"/>
      <c r="L252" s="43"/>
      <c r="M252" s="43"/>
      <c r="N252" s="9"/>
      <c r="O252" s="6"/>
      <c r="P252" s="6"/>
      <c r="Q252" s="42"/>
      <c r="R252" s="42"/>
      <c r="S252" s="6"/>
    </row>
    <row r="253" spans="11:19" x14ac:dyDescent="0.2">
      <c r="K253" s="43"/>
      <c r="L253" s="43"/>
      <c r="M253" s="43"/>
      <c r="N253" s="9"/>
      <c r="O253" s="6"/>
      <c r="P253" s="6"/>
      <c r="Q253" s="42"/>
      <c r="R253" s="42"/>
      <c r="S253" s="6"/>
    </row>
    <row r="254" spans="11:19" x14ac:dyDescent="0.2">
      <c r="K254" s="43"/>
      <c r="L254" s="43"/>
      <c r="M254" s="43"/>
      <c r="N254" s="9"/>
      <c r="O254" s="6"/>
      <c r="P254" s="6"/>
      <c r="Q254" s="42"/>
      <c r="R254" s="42"/>
      <c r="S254" s="6"/>
    </row>
    <row r="255" spans="11:19" x14ac:dyDescent="0.2">
      <c r="K255" s="43"/>
      <c r="L255" s="43"/>
      <c r="M255" s="43"/>
      <c r="N255" s="9"/>
      <c r="O255" s="6"/>
      <c r="P255" s="6"/>
      <c r="Q255" s="42"/>
      <c r="R255" s="42"/>
      <c r="S255" s="6"/>
    </row>
    <row r="256" spans="11:19" x14ac:dyDescent="0.2">
      <c r="K256" s="43"/>
      <c r="L256" s="43"/>
      <c r="M256" s="43"/>
      <c r="N256" s="9"/>
      <c r="O256" s="6"/>
      <c r="P256" s="6"/>
      <c r="Q256" s="42"/>
      <c r="R256" s="42"/>
      <c r="S256" s="6"/>
    </row>
    <row r="257" spans="11:19" x14ac:dyDescent="0.2">
      <c r="K257" s="43"/>
      <c r="L257" s="43"/>
      <c r="M257" s="43"/>
      <c r="N257" s="9"/>
      <c r="O257" s="6"/>
      <c r="P257" s="6"/>
      <c r="Q257" s="42"/>
      <c r="R257" s="42"/>
      <c r="S257" s="6"/>
    </row>
    <row r="258" spans="11:19" x14ac:dyDescent="0.2">
      <c r="K258" s="43"/>
      <c r="L258" s="43"/>
      <c r="M258" s="43"/>
      <c r="N258" s="9"/>
      <c r="O258" s="6"/>
      <c r="P258" s="6"/>
      <c r="Q258" s="42"/>
      <c r="R258" s="42"/>
      <c r="S258" s="6"/>
    </row>
    <row r="259" spans="11:19" x14ac:dyDescent="0.2">
      <c r="K259" s="43"/>
      <c r="L259" s="43"/>
      <c r="M259" s="43"/>
      <c r="N259" s="9"/>
      <c r="O259" s="6"/>
      <c r="P259" s="6"/>
      <c r="Q259" s="42"/>
      <c r="R259" s="42"/>
      <c r="S259" s="6"/>
    </row>
    <row r="260" spans="11:19" x14ac:dyDescent="0.2">
      <c r="K260" s="43"/>
      <c r="L260" s="43"/>
      <c r="M260" s="43"/>
      <c r="N260" s="9"/>
      <c r="O260" s="6"/>
      <c r="P260" s="6"/>
      <c r="Q260" s="42"/>
      <c r="R260" s="42"/>
      <c r="S260" s="6"/>
    </row>
    <row r="261" spans="11:19" x14ac:dyDescent="0.2">
      <c r="K261" s="43"/>
      <c r="L261" s="43"/>
      <c r="M261" s="43"/>
      <c r="N261" s="9"/>
      <c r="O261" s="6"/>
      <c r="P261" s="6"/>
      <c r="Q261" s="42"/>
      <c r="R261" s="42"/>
      <c r="S261" s="6"/>
    </row>
    <row r="262" spans="11:19" x14ac:dyDescent="0.2">
      <c r="K262" s="43"/>
      <c r="L262" s="43"/>
      <c r="M262" s="43"/>
      <c r="N262" s="9"/>
      <c r="O262" s="6"/>
      <c r="P262" s="6"/>
      <c r="Q262" s="42"/>
      <c r="R262" s="42"/>
      <c r="S262" s="6"/>
    </row>
    <row r="263" spans="11:19" x14ac:dyDescent="0.2">
      <c r="K263" s="43"/>
      <c r="L263" s="43"/>
      <c r="M263" s="43"/>
      <c r="N263" s="9"/>
      <c r="O263" s="6"/>
      <c r="P263" s="6"/>
      <c r="Q263" s="42"/>
      <c r="R263" s="42"/>
      <c r="S263" s="6"/>
    </row>
    <row r="264" spans="11:19" x14ac:dyDescent="0.2">
      <c r="K264" s="43"/>
      <c r="L264" s="43"/>
      <c r="M264" s="43"/>
      <c r="N264" s="9"/>
      <c r="O264" s="6"/>
      <c r="P264" s="6"/>
      <c r="Q264" s="42"/>
      <c r="R264" s="42"/>
      <c r="S264" s="6"/>
    </row>
    <row r="265" spans="11:19" x14ac:dyDescent="0.2">
      <c r="K265" s="43"/>
      <c r="L265" s="43"/>
      <c r="M265" s="43"/>
      <c r="N265" s="9"/>
      <c r="O265" s="6"/>
      <c r="P265" s="6"/>
      <c r="Q265" s="42"/>
      <c r="R265" s="42"/>
      <c r="S265" s="6"/>
    </row>
    <row r="266" spans="11:19" x14ac:dyDescent="0.2">
      <c r="K266" s="43"/>
      <c r="L266" s="43"/>
      <c r="M266" s="43"/>
      <c r="N266" s="9"/>
      <c r="O266" s="6"/>
      <c r="P266" s="6"/>
      <c r="Q266" s="42"/>
      <c r="R266" s="42"/>
      <c r="S266" s="6"/>
    </row>
    <row r="267" spans="11:19" x14ac:dyDescent="0.2">
      <c r="K267" s="43"/>
      <c r="L267" s="43"/>
      <c r="M267" s="43"/>
      <c r="N267" s="9"/>
      <c r="O267" s="6"/>
      <c r="P267" s="6"/>
      <c r="Q267" s="42"/>
      <c r="R267" s="42"/>
      <c r="S267" s="6"/>
    </row>
    <row r="268" spans="11:19" x14ac:dyDescent="0.2">
      <c r="K268" s="43"/>
      <c r="L268" s="43"/>
      <c r="M268" s="43"/>
      <c r="N268" s="9"/>
      <c r="O268" s="6"/>
      <c r="P268" s="6"/>
      <c r="Q268" s="42"/>
      <c r="R268" s="42"/>
      <c r="S268" s="6"/>
    </row>
    <row r="269" spans="11:19" x14ac:dyDescent="0.2">
      <c r="K269" s="43"/>
      <c r="L269" s="43"/>
      <c r="M269" s="43"/>
      <c r="N269" s="9"/>
      <c r="O269" s="6"/>
      <c r="P269" s="6"/>
      <c r="Q269" s="42"/>
      <c r="R269" s="42"/>
      <c r="S269" s="6"/>
    </row>
    <row r="270" spans="11:19" x14ac:dyDescent="0.2">
      <c r="K270" s="43"/>
      <c r="L270" s="43"/>
      <c r="M270" s="43"/>
      <c r="N270" s="9"/>
      <c r="O270" s="6"/>
      <c r="P270" s="6"/>
      <c r="Q270" s="42"/>
      <c r="R270" s="42"/>
      <c r="S270" s="6"/>
    </row>
    <row r="271" spans="11:19" x14ac:dyDescent="0.2">
      <c r="K271" s="43"/>
      <c r="L271" s="43"/>
      <c r="M271" s="43"/>
      <c r="N271" s="9"/>
      <c r="O271" s="6"/>
      <c r="P271" s="6"/>
      <c r="Q271" s="42"/>
      <c r="R271" s="42"/>
      <c r="S271" s="6"/>
    </row>
    <row r="272" spans="11:19" x14ac:dyDescent="0.2">
      <c r="K272" s="43"/>
      <c r="L272" s="43"/>
      <c r="M272" s="43"/>
      <c r="N272" s="9"/>
      <c r="O272" s="6"/>
      <c r="P272" s="6"/>
      <c r="Q272" s="42"/>
      <c r="R272" s="42"/>
      <c r="S272" s="6"/>
    </row>
    <row r="273" spans="11:19" x14ac:dyDescent="0.2">
      <c r="K273" s="43"/>
      <c r="L273" s="43"/>
      <c r="M273" s="43"/>
      <c r="N273" s="9"/>
      <c r="O273" s="6"/>
      <c r="P273" s="6"/>
      <c r="Q273" s="42"/>
      <c r="R273" s="42"/>
      <c r="S273" s="6"/>
    </row>
    <row r="274" spans="11:19" x14ac:dyDescent="0.2">
      <c r="K274" s="43"/>
      <c r="L274" s="43"/>
      <c r="M274" s="43"/>
      <c r="N274" s="9"/>
      <c r="O274" s="6"/>
      <c r="P274" s="6"/>
      <c r="Q274" s="42"/>
      <c r="R274" s="42"/>
      <c r="S274" s="6"/>
    </row>
    <row r="275" spans="11:19" x14ac:dyDescent="0.2">
      <c r="K275" s="43"/>
      <c r="L275" s="43"/>
      <c r="M275" s="43"/>
      <c r="N275" s="9"/>
      <c r="O275" s="6"/>
      <c r="P275" s="6"/>
      <c r="Q275" s="42"/>
      <c r="R275" s="42"/>
      <c r="S275" s="6"/>
    </row>
    <row r="276" spans="11:19" x14ac:dyDescent="0.2">
      <c r="K276" s="43"/>
      <c r="L276" s="43"/>
      <c r="M276" s="43"/>
      <c r="N276" s="9"/>
      <c r="O276" s="6"/>
      <c r="P276" s="6"/>
      <c r="Q276" s="42"/>
      <c r="R276" s="42"/>
      <c r="S276" s="6"/>
    </row>
    <row r="277" spans="11:19" x14ac:dyDescent="0.2">
      <c r="K277" s="43"/>
      <c r="L277" s="43"/>
      <c r="M277" s="43"/>
      <c r="N277" s="9"/>
      <c r="O277" s="6"/>
      <c r="P277" s="6"/>
      <c r="Q277" s="42"/>
      <c r="R277" s="42"/>
      <c r="S277" s="6"/>
    </row>
    <row r="278" spans="11:19" x14ac:dyDescent="0.2">
      <c r="K278" s="43"/>
      <c r="L278" s="43"/>
      <c r="M278" s="43"/>
      <c r="N278" s="9"/>
      <c r="O278" s="6"/>
      <c r="P278" s="6"/>
      <c r="Q278" s="42"/>
      <c r="R278" s="42"/>
      <c r="S278" s="6"/>
    </row>
    <row r="279" spans="11:19" x14ac:dyDescent="0.2">
      <c r="K279" s="43"/>
      <c r="L279" s="43"/>
      <c r="M279" s="43"/>
      <c r="N279" s="9"/>
      <c r="O279" s="6"/>
      <c r="P279" s="6"/>
      <c r="Q279" s="42"/>
      <c r="R279" s="42"/>
      <c r="S279" s="6"/>
    </row>
    <row r="280" spans="11:19" x14ac:dyDescent="0.2">
      <c r="K280" s="43"/>
      <c r="L280" s="43"/>
      <c r="M280" s="43"/>
      <c r="N280" s="9"/>
      <c r="O280" s="6"/>
      <c r="P280" s="6"/>
      <c r="Q280" s="42"/>
      <c r="R280" s="42"/>
      <c r="S280" s="6"/>
    </row>
    <row r="281" spans="11:19" x14ac:dyDescent="0.2">
      <c r="K281" s="43"/>
      <c r="L281" s="43"/>
      <c r="M281" s="43"/>
      <c r="N281" s="9"/>
      <c r="O281" s="6"/>
      <c r="P281" s="6"/>
      <c r="Q281" s="42"/>
      <c r="R281" s="42"/>
      <c r="S281" s="6"/>
    </row>
    <row r="282" spans="11:19" x14ac:dyDescent="0.2">
      <c r="K282" s="43"/>
      <c r="L282" s="43"/>
      <c r="M282" s="43"/>
      <c r="N282" s="9"/>
      <c r="O282" s="6"/>
      <c r="P282" s="6"/>
      <c r="Q282" s="42"/>
      <c r="R282" s="42"/>
      <c r="S282" s="6"/>
    </row>
    <row r="283" spans="11:19" x14ac:dyDescent="0.2">
      <c r="K283" s="43"/>
      <c r="L283" s="43"/>
      <c r="M283" s="43"/>
      <c r="N283" s="9"/>
      <c r="O283" s="6"/>
      <c r="P283" s="6"/>
      <c r="Q283" s="42"/>
      <c r="R283" s="42"/>
      <c r="S283" s="6"/>
    </row>
    <row r="284" spans="11:19" x14ac:dyDescent="0.2">
      <c r="K284" s="43"/>
      <c r="L284" s="43"/>
      <c r="M284" s="43"/>
      <c r="N284" s="9"/>
      <c r="O284" s="6"/>
      <c r="P284" s="6"/>
      <c r="Q284" s="42"/>
      <c r="R284" s="42"/>
      <c r="S284" s="6"/>
    </row>
    <row r="285" spans="11:19" x14ac:dyDescent="0.2">
      <c r="K285" s="43"/>
      <c r="L285" s="43"/>
      <c r="M285" s="43"/>
      <c r="N285" s="9"/>
      <c r="O285" s="6"/>
      <c r="P285" s="6"/>
      <c r="Q285" s="42"/>
      <c r="R285" s="42"/>
      <c r="S285" s="6"/>
    </row>
    <row r="286" spans="11:19" x14ac:dyDescent="0.2">
      <c r="K286" s="43"/>
      <c r="L286" s="43"/>
      <c r="M286" s="43"/>
      <c r="N286" s="9"/>
      <c r="O286" s="6"/>
      <c r="P286" s="6"/>
      <c r="Q286" s="42"/>
      <c r="R286" s="42"/>
      <c r="S286" s="6"/>
    </row>
    <row r="287" spans="11:19" x14ac:dyDescent="0.2">
      <c r="K287" s="43"/>
      <c r="L287" s="43"/>
      <c r="M287" s="43"/>
      <c r="N287" s="9"/>
      <c r="O287" s="6"/>
      <c r="P287" s="6"/>
      <c r="Q287" s="42"/>
      <c r="R287" s="42"/>
      <c r="S287" s="6"/>
    </row>
    <row r="288" spans="11:19" x14ac:dyDescent="0.2">
      <c r="K288" s="43"/>
      <c r="L288" s="43"/>
      <c r="M288" s="43"/>
      <c r="N288" s="9"/>
      <c r="O288" s="6"/>
      <c r="P288" s="6"/>
      <c r="Q288" s="42"/>
      <c r="R288" s="42"/>
      <c r="S288" s="6"/>
    </row>
    <row r="289" spans="11:19" x14ac:dyDescent="0.2">
      <c r="K289" s="43"/>
      <c r="L289" s="43"/>
      <c r="M289" s="43"/>
      <c r="N289" s="9"/>
      <c r="O289" s="6"/>
      <c r="P289" s="6"/>
      <c r="Q289" s="42"/>
      <c r="R289" s="42"/>
      <c r="S289" s="6"/>
    </row>
    <row r="290" spans="11:19" x14ac:dyDescent="0.2">
      <c r="K290" s="43"/>
      <c r="L290" s="43"/>
      <c r="M290" s="43"/>
      <c r="N290" s="9"/>
      <c r="O290" s="6"/>
      <c r="P290" s="6"/>
      <c r="Q290" s="42"/>
      <c r="R290" s="42"/>
      <c r="S290" s="6"/>
    </row>
    <row r="291" spans="11:19" x14ac:dyDescent="0.2">
      <c r="K291" s="43"/>
      <c r="L291" s="43"/>
      <c r="M291" s="43"/>
      <c r="N291" s="9"/>
      <c r="O291" s="6"/>
      <c r="P291" s="6"/>
      <c r="Q291" s="42"/>
      <c r="R291" s="42"/>
      <c r="S291" s="6"/>
    </row>
    <row r="292" spans="11:19" x14ac:dyDescent="0.2">
      <c r="K292" s="43"/>
      <c r="L292" s="43"/>
      <c r="M292" s="43"/>
      <c r="N292" s="9"/>
      <c r="O292" s="6"/>
      <c r="P292" s="6"/>
      <c r="Q292" s="42"/>
      <c r="R292" s="42"/>
      <c r="S292" s="6"/>
    </row>
    <row r="293" spans="11:19" x14ac:dyDescent="0.2">
      <c r="K293" s="43"/>
      <c r="L293" s="43"/>
      <c r="M293" s="43"/>
      <c r="N293" s="9"/>
      <c r="O293" s="6"/>
      <c r="P293" s="6"/>
      <c r="Q293" s="42"/>
      <c r="R293" s="42"/>
      <c r="S293" s="6"/>
    </row>
    <row r="294" spans="11:19" x14ac:dyDescent="0.2">
      <c r="K294" s="43"/>
      <c r="L294" s="43"/>
      <c r="M294" s="43"/>
      <c r="N294" s="9"/>
      <c r="O294" s="6"/>
      <c r="P294" s="6"/>
      <c r="Q294" s="42"/>
      <c r="R294" s="42"/>
      <c r="S294" s="6"/>
    </row>
    <row r="295" spans="11:19" x14ac:dyDescent="0.2">
      <c r="K295" s="43"/>
      <c r="L295" s="43"/>
      <c r="M295" s="43"/>
      <c r="N295" s="9"/>
      <c r="O295" s="6"/>
      <c r="P295" s="6"/>
      <c r="Q295" s="42"/>
      <c r="R295" s="42"/>
      <c r="S295" s="6"/>
    </row>
    <row r="296" spans="11:19" x14ac:dyDescent="0.2">
      <c r="K296" s="43"/>
      <c r="L296" s="43"/>
      <c r="M296" s="43"/>
      <c r="N296" s="9"/>
      <c r="O296" s="6"/>
      <c r="P296" s="6"/>
      <c r="Q296" s="42"/>
      <c r="R296" s="42"/>
      <c r="S296" s="6"/>
    </row>
    <row r="297" spans="11:19" x14ac:dyDescent="0.2">
      <c r="K297" s="43"/>
      <c r="L297" s="43"/>
      <c r="M297" s="43"/>
      <c r="N297" s="9"/>
      <c r="O297" s="6"/>
      <c r="P297" s="6"/>
      <c r="Q297" s="42"/>
      <c r="R297" s="42"/>
      <c r="S297" s="6"/>
    </row>
    <row r="298" spans="11:19" x14ac:dyDescent="0.2">
      <c r="K298" s="43"/>
      <c r="L298" s="43"/>
      <c r="M298" s="43"/>
      <c r="N298" s="9"/>
      <c r="O298" s="6"/>
      <c r="P298" s="6"/>
      <c r="Q298" s="42"/>
      <c r="R298" s="42"/>
      <c r="S298" s="6"/>
    </row>
    <row r="299" spans="11:19" x14ac:dyDescent="0.2">
      <c r="K299" s="43"/>
      <c r="L299" s="43"/>
      <c r="M299" s="43"/>
      <c r="N299" s="9"/>
      <c r="O299" s="6"/>
      <c r="P299" s="6"/>
      <c r="Q299" s="42"/>
      <c r="R299" s="42"/>
      <c r="S299" s="6"/>
    </row>
    <row r="300" spans="11:19" x14ac:dyDescent="0.2">
      <c r="K300" s="43"/>
      <c r="L300" s="43"/>
      <c r="M300" s="43"/>
      <c r="N300" s="9"/>
      <c r="O300" s="6"/>
      <c r="P300" s="6"/>
      <c r="Q300" s="42"/>
      <c r="R300" s="42"/>
      <c r="S300" s="6"/>
    </row>
    <row r="301" spans="11:19" x14ac:dyDescent="0.2">
      <c r="K301" s="43"/>
      <c r="L301" s="43"/>
      <c r="M301" s="43"/>
      <c r="N301" s="9"/>
      <c r="O301" s="6"/>
      <c r="P301" s="6"/>
      <c r="Q301" s="42"/>
      <c r="R301" s="42"/>
      <c r="S301" s="6"/>
    </row>
    <row r="302" spans="11:19" x14ac:dyDescent="0.2">
      <c r="K302" s="43"/>
      <c r="L302" s="43"/>
      <c r="M302" s="43"/>
      <c r="N302" s="9"/>
      <c r="O302" s="6"/>
      <c r="P302" s="6"/>
      <c r="Q302" s="42"/>
      <c r="R302" s="42"/>
      <c r="S302" s="6"/>
    </row>
    <row r="303" spans="11:19" x14ac:dyDescent="0.2">
      <c r="K303" s="43"/>
      <c r="L303" s="43"/>
      <c r="M303" s="43"/>
      <c r="N303" s="9"/>
      <c r="O303" s="6"/>
      <c r="P303" s="6"/>
      <c r="Q303" s="42"/>
      <c r="R303" s="42"/>
      <c r="S303" s="6"/>
    </row>
    <row r="304" spans="11:19" x14ac:dyDescent="0.2">
      <c r="K304" s="43"/>
      <c r="L304" s="43"/>
      <c r="M304" s="43"/>
      <c r="N304" s="9"/>
      <c r="O304" s="6"/>
      <c r="P304" s="6"/>
      <c r="Q304" s="42"/>
      <c r="R304" s="42"/>
      <c r="S304" s="6"/>
    </row>
    <row r="305" spans="11:19" x14ac:dyDescent="0.2">
      <c r="K305" s="43"/>
      <c r="L305" s="43"/>
      <c r="M305" s="43"/>
      <c r="N305" s="9"/>
      <c r="O305" s="6"/>
      <c r="P305" s="6"/>
      <c r="Q305" s="42"/>
      <c r="R305" s="42"/>
      <c r="S305" s="6"/>
    </row>
    <row r="306" spans="11:19" x14ac:dyDescent="0.2">
      <c r="K306" s="43"/>
      <c r="L306" s="43"/>
      <c r="M306" s="43"/>
      <c r="N306" s="9"/>
      <c r="O306" s="6"/>
      <c r="P306" s="6"/>
      <c r="Q306" s="42"/>
      <c r="R306" s="42"/>
      <c r="S306" s="6"/>
    </row>
    <row r="307" spans="11:19" x14ac:dyDescent="0.2">
      <c r="K307" s="43"/>
      <c r="L307" s="43"/>
      <c r="M307" s="43"/>
      <c r="N307" s="9"/>
      <c r="O307" s="6"/>
      <c r="P307" s="6"/>
      <c r="Q307" s="42"/>
      <c r="R307" s="42"/>
      <c r="S307" s="6"/>
    </row>
    <row r="308" spans="11:19" x14ac:dyDescent="0.2">
      <c r="K308" s="43"/>
      <c r="L308" s="43"/>
      <c r="M308" s="43"/>
      <c r="N308" s="9"/>
      <c r="O308" s="6"/>
      <c r="P308" s="6"/>
      <c r="Q308" s="42"/>
      <c r="R308" s="42"/>
      <c r="S308" s="6"/>
    </row>
    <row r="309" spans="11:19" x14ac:dyDescent="0.2">
      <c r="K309" s="43"/>
      <c r="L309" s="43"/>
      <c r="M309" s="43"/>
      <c r="N309" s="9"/>
      <c r="O309" s="6"/>
      <c r="P309" s="6"/>
      <c r="Q309" s="42"/>
      <c r="R309" s="42"/>
      <c r="S309" s="6"/>
    </row>
    <row r="310" spans="11:19" x14ac:dyDescent="0.2">
      <c r="K310" s="43"/>
      <c r="L310" s="43"/>
      <c r="M310" s="43"/>
      <c r="N310" s="9"/>
      <c r="O310" s="6"/>
      <c r="P310" s="6"/>
      <c r="Q310" s="42"/>
      <c r="R310" s="42"/>
      <c r="S310" s="6"/>
    </row>
    <row r="311" spans="11:19" x14ac:dyDescent="0.2">
      <c r="K311" s="43"/>
      <c r="L311" s="43"/>
      <c r="M311" s="43"/>
      <c r="N311" s="9"/>
      <c r="O311" s="6"/>
      <c r="P311" s="6"/>
      <c r="Q311" s="42"/>
      <c r="R311" s="42"/>
      <c r="S311" s="6"/>
    </row>
    <row r="312" spans="11:19" x14ac:dyDescent="0.2">
      <c r="K312" s="43"/>
      <c r="L312" s="43"/>
      <c r="M312" s="43"/>
      <c r="N312" s="9"/>
      <c r="O312" s="6"/>
      <c r="P312" s="6"/>
      <c r="Q312" s="42"/>
      <c r="R312" s="42"/>
      <c r="S312" s="6"/>
    </row>
    <row r="313" spans="11:19" x14ac:dyDescent="0.2">
      <c r="K313" s="43"/>
      <c r="L313" s="43"/>
      <c r="M313" s="43"/>
      <c r="N313" s="9"/>
      <c r="O313" s="6"/>
      <c r="P313" s="6"/>
      <c r="Q313" s="42"/>
      <c r="R313" s="42"/>
      <c r="S313" s="6"/>
    </row>
    <row r="314" spans="11:19" x14ac:dyDescent="0.2">
      <c r="K314" s="43"/>
      <c r="L314" s="43"/>
      <c r="M314" s="43"/>
      <c r="N314" s="9"/>
      <c r="O314" s="6"/>
      <c r="P314" s="6"/>
      <c r="Q314" s="42"/>
      <c r="R314" s="42"/>
      <c r="S314" s="6"/>
    </row>
    <row r="315" spans="11:19" x14ac:dyDescent="0.2">
      <c r="K315" s="43"/>
      <c r="L315" s="43"/>
      <c r="M315" s="43"/>
      <c r="N315" s="9"/>
      <c r="O315" s="6"/>
      <c r="P315" s="6"/>
      <c r="Q315" s="42"/>
      <c r="R315" s="42"/>
      <c r="S315" s="6"/>
    </row>
    <row r="316" spans="11:19" x14ac:dyDescent="0.2">
      <c r="K316" s="43"/>
      <c r="L316" s="43"/>
      <c r="M316" s="43"/>
      <c r="N316" s="9"/>
      <c r="O316" s="6"/>
      <c r="P316" s="6"/>
      <c r="Q316" s="42"/>
      <c r="R316" s="42"/>
      <c r="S316" s="6"/>
    </row>
    <row r="317" spans="11:19" x14ac:dyDescent="0.2">
      <c r="K317" s="43"/>
      <c r="L317" s="43"/>
      <c r="M317" s="43"/>
      <c r="N317" s="9"/>
      <c r="O317" s="6"/>
      <c r="P317" s="6"/>
      <c r="Q317" s="42"/>
      <c r="R317" s="42"/>
      <c r="S317" s="6"/>
    </row>
    <row r="318" spans="11:19" x14ac:dyDescent="0.2">
      <c r="K318" s="43"/>
      <c r="L318" s="43"/>
      <c r="M318" s="43"/>
      <c r="N318" s="9"/>
      <c r="O318" s="6"/>
      <c r="P318" s="6"/>
      <c r="Q318" s="42"/>
      <c r="R318" s="42"/>
      <c r="S318" s="6"/>
    </row>
    <row r="319" spans="11:19" x14ac:dyDescent="0.2">
      <c r="K319" s="43"/>
      <c r="L319" s="43"/>
      <c r="M319" s="43"/>
      <c r="N319" s="9"/>
      <c r="O319" s="6"/>
      <c r="P319" s="6"/>
      <c r="Q319" s="42"/>
      <c r="R319" s="42"/>
      <c r="S319" s="6"/>
    </row>
    <row r="320" spans="11:19" x14ac:dyDescent="0.2">
      <c r="K320" s="43"/>
      <c r="L320" s="43"/>
      <c r="M320" s="43"/>
      <c r="N320" s="9"/>
      <c r="O320" s="6"/>
      <c r="P320" s="6"/>
      <c r="Q320" s="42"/>
      <c r="R320" s="42"/>
      <c r="S320" s="6"/>
    </row>
    <row r="321" spans="11:19" x14ac:dyDescent="0.2">
      <c r="K321" s="43"/>
      <c r="L321" s="43"/>
      <c r="M321" s="43"/>
      <c r="N321" s="9"/>
      <c r="O321" s="6"/>
      <c r="P321" s="6"/>
      <c r="Q321" s="42"/>
      <c r="R321" s="42"/>
      <c r="S321" s="6"/>
    </row>
    <row r="322" spans="11:19" x14ac:dyDescent="0.2">
      <c r="K322" s="43"/>
      <c r="L322" s="43"/>
      <c r="M322" s="43"/>
      <c r="N322" s="9"/>
      <c r="O322" s="6"/>
      <c r="P322" s="6"/>
      <c r="Q322" s="42"/>
      <c r="R322" s="42"/>
      <c r="S322" s="6"/>
    </row>
    <row r="323" spans="11:19" x14ac:dyDescent="0.2">
      <c r="K323" s="43"/>
      <c r="L323" s="43"/>
      <c r="M323" s="43"/>
      <c r="N323" s="9"/>
      <c r="O323" s="6"/>
      <c r="P323" s="6"/>
      <c r="Q323" s="42"/>
      <c r="R323" s="42"/>
      <c r="S323" s="6"/>
    </row>
    <row r="324" spans="11:19" x14ac:dyDescent="0.2">
      <c r="K324" s="43"/>
      <c r="L324" s="43"/>
      <c r="M324" s="43"/>
      <c r="N324" s="9"/>
      <c r="O324" s="6"/>
      <c r="P324" s="6"/>
      <c r="Q324" s="42"/>
      <c r="R324" s="42"/>
      <c r="S324" s="6"/>
    </row>
    <row r="325" spans="11:19" x14ac:dyDescent="0.2">
      <c r="K325" s="43"/>
      <c r="L325" s="43"/>
      <c r="M325" s="43"/>
      <c r="N325" s="9"/>
      <c r="O325" s="6"/>
      <c r="P325" s="6"/>
      <c r="Q325" s="42"/>
      <c r="R325" s="42"/>
      <c r="S325" s="6"/>
    </row>
    <row r="326" spans="11:19" x14ac:dyDescent="0.2">
      <c r="K326" s="43"/>
      <c r="L326" s="43"/>
      <c r="M326" s="43"/>
      <c r="N326" s="9"/>
      <c r="O326" s="6"/>
      <c r="P326" s="6"/>
      <c r="Q326" s="42"/>
      <c r="R326" s="42"/>
      <c r="S326" s="6"/>
    </row>
    <row r="327" spans="11:19" x14ac:dyDescent="0.2">
      <c r="K327" s="43"/>
      <c r="L327" s="43"/>
      <c r="M327" s="43"/>
      <c r="N327" s="9"/>
      <c r="O327" s="6"/>
      <c r="P327" s="6"/>
      <c r="Q327" s="42"/>
      <c r="R327" s="42"/>
      <c r="S327" s="6"/>
    </row>
    <row r="328" spans="11:19" x14ac:dyDescent="0.2">
      <c r="K328" s="43"/>
      <c r="L328" s="43"/>
      <c r="M328" s="43"/>
      <c r="N328" s="9"/>
      <c r="O328" s="6"/>
      <c r="P328" s="6"/>
      <c r="Q328" s="42"/>
      <c r="R328" s="42"/>
      <c r="S328" s="6"/>
    </row>
    <row r="329" spans="11:19" x14ac:dyDescent="0.2">
      <c r="K329" s="43"/>
      <c r="L329" s="43"/>
      <c r="M329" s="43"/>
      <c r="N329" s="9"/>
      <c r="O329" s="6"/>
      <c r="P329" s="6"/>
      <c r="Q329" s="42"/>
      <c r="R329" s="42"/>
      <c r="S329" s="6"/>
    </row>
    <row r="330" spans="11:19" x14ac:dyDescent="0.2">
      <c r="K330" s="43"/>
      <c r="L330" s="43"/>
      <c r="M330" s="43"/>
      <c r="N330" s="9"/>
      <c r="O330" s="6"/>
      <c r="P330" s="6"/>
      <c r="Q330" s="42"/>
      <c r="R330" s="42"/>
      <c r="S330" s="6"/>
    </row>
    <row r="331" spans="11:19" x14ac:dyDescent="0.2">
      <c r="K331" s="43"/>
      <c r="L331" s="43"/>
      <c r="M331" s="43"/>
      <c r="N331" s="9"/>
      <c r="O331" s="6"/>
      <c r="P331" s="6"/>
      <c r="Q331" s="42"/>
      <c r="R331" s="42"/>
      <c r="S331" s="6"/>
    </row>
    <row r="332" spans="11:19" x14ac:dyDescent="0.2">
      <c r="K332" s="43"/>
      <c r="L332" s="43"/>
      <c r="M332" s="43"/>
      <c r="N332" s="9"/>
      <c r="O332" s="6"/>
      <c r="P332" s="6"/>
      <c r="Q332" s="42"/>
      <c r="R332" s="42"/>
      <c r="S332" s="6"/>
    </row>
    <row r="333" spans="11:19" x14ac:dyDescent="0.2">
      <c r="K333" s="43"/>
      <c r="L333" s="43"/>
      <c r="M333" s="43"/>
      <c r="N333" s="9"/>
      <c r="O333" s="6"/>
      <c r="P333" s="6"/>
      <c r="Q333" s="42"/>
      <c r="R333" s="42"/>
      <c r="S333" s="6"/>
    </row>
    <row r="334" spans="11:19" x14ac:dyDescent="0.2">
      <c r="K334" s="43"/>
      <c r="L334" s="43"/>
      <c r="M334" s="43"/>
      <c r="N334" s="9"/>
      <c r="O334" s="6"/>
      <c r="P334" s="6"/>
      <c r="Q334" s="42"/>
      <c r="R334" s="42"/>
      <c r="S334" s="6"/>
    </row>
    <row r="335" spans="11:19" x14ac:dyDescent="0.2">
      <c r="K335" s="43"/>
      <c r="L335" s="43"/>
      <c r="M335" s="43"/>
      <c r="N335" s="9"/>
      <c r="O335" s="6"/>
      <c r="P335" s="6"/>
      <c r="Q335" s="42"/>
      <c r="R335" s="42"/>
      <c r="S335" s="6"/>
    </row>
    <row r="336" spans="11:19" x14ac:dyDescent="0.2">
      <c r="K336" s="43"/>
      <c r="L336" s="43"/>
      <c r="M336" s="43"/>
      <c r="N336" s="9"/>
      <c r="O336" s="6"/>
      <c r="P336" s="6"/>
      <c r="Q336" s="42"/>
      <c r="R336" s="42"/>
      <c r="S336" s="6"/>
    </row>
    <row r="337" spans="11:19" x14ac:dyDescent="0.2">
      <c r="K337" s="43"/>
      <c r="L337" s="43"/>
      <c r="M337" s="43"/>
      <c r="N337" s="9"/>
      <c r="O337" s="6"/>
      <c r="P337" s="6"/>
      <c r="Q337" s="42"/>
      <c r="R337" s="42"/>
      <c r="S337" s="6"/>
    </row>
    <row r="338" spans="11:19" x14ac:dyDescent="0.2">
      <c r="K338" s="43"/>
      <c r="L338" s="43"/>
      <c r="M338" s="43"/>
      <c r="N338" s="9"/>
      <c r="O338" s="6"/>
      <c r="P338" s="6"/>
      <c r="Q338" s="42"/>
      <c r="R338" s="42"/>
      <c r="S338" s="6"/>
    </row>
    <row r="339" spans="11:19" x14ac:dyDescent="0.2">
      <c r="K339" s="43"/>
      <c r="L339" s="43"/>
      <c r="M339" s="43"/>
      <c r="N339" s="9"/>
      <c r="O339" s="6"/>
      <c r="P339" s="6"/>
      <c r="Q339" s="42"/>
      <c r="R339" s="42"/>
      <c r="S339" s="6"/>
    </row>
    <row r="340" spans="11:19" x14ac:dyDescent="0.2">
      <c r="K340" s="43"/>
      <c r="L340" s="43"/>
      <c r="M340" s="43"/>
      <c r="N340" s="9"/>
      <c r="O340" s="6"/>
      <c r="P340" s="6"/>
      <c r="Q340" s="42"/>
      <c r="R340" s="42"/>
      <c r="S340" s="6"/>
    </row>
    <row r="341" spans="11:19" x14ac:dyDescent="0.2">
      <c r="K341" s="43"/>
      <c r="L341" s="43"/>
      <c r="M341" s="43"/>
      <c r="N341" s="9"/>
      <c r="O341" s="6"/>
      <c r="P341" s="6"/>
      <c r="Q341" s="42"/>
      <c r="R341" s="42"/>
      <c r="S341" s="6"/>
    </row>
    <row r="342" spans="11:19" x14ac:dyDescent="0.2">
      <c r="K342" s="43"/>
      <c r="L342" s="43"/>
      <c r="M342" s="43"/>
      <c r="N342" s="9"/>
      <c r="O342" s="6"/>
      <c r="P342" s="6"/>
      <c r="Q342" s="42"/>
      <c r="R342" s="42"/>
      <c r="S342" s="6"/>
    </row>
    <row r="343" spans="11:19" x14ac:dyDescent="0.2">
      <c r="K343" s="43"/>
      <c r="L343" s="43"/>
      <c r="M343" s="43"/>
      <c r="N343" s="9"/>
      <c r="O343" s="6"/>
      <c r="P343" s="6"/>
      <c r="Q343" s="42"/>
      <c r="R343" s="42"/>
      <c r="S343" s="6"/>
    </row>
    <row r="344" spans="11:19" x14ac:dyDescent="0.2">
      <c r="K344" s="43"/>
      <c r="L344" s="43"/>
      <c r="M344" s="43"/>
      <c r="N344" s="9"/>
      <c r="O344" s="6"/>
      <c r="P344" s="6"/>
      <c r="Q344" s="42"/>
      <c r="R344" s="42"/>
      <c r="S344" s="6"/>
    </row>
    <row r="345" spans="11:19" x14ac:dyDescent="0.2">
      <c r="K345" s="43"/>
      <c r="L345" s="43"/>
      <c r="M345" s="43"/>
      <c r="N345" s="9"/>
      <c r="O345" s="6"/>
      <c r="P345" s="6"/>
      <c r="Q345" s="42"/>
      <c r="R345" s="42"/>
      <c r="S345" s="6"/>
    </row>
    <row r="346" spans="11:19" x14ac:dyDescent="0.2">
      <c r="K346" s="43"/>
      <c r="L346" s="43"/>
      <c r="M346" s="43"/>
      <c r="N346" s="9"/>
      <c r="O346" s="6"/>
      <c r="P346" s="6"/>
      <c r="Q346" s="42"/>
      <c r="R346" s="42"/>
      <c r="S346" s="6"/>
    </row>
    <row r="347" spans="11:19" x14ac:dyDescent="0.2">
      <c r="K347" s="43"/>
      <c r="L347" s="43"/>
      <c r="M347" s="43"/>
      <c r="N347" s="9"/>
      <c r="O347" s="6"/>
      <c r="P347" s="6"/>
      <c r="Q347" s="42"/>
      <c r="R347" s="42"/>
      <c r="S347" s="6"/>
    </row>
    <row r="348" spans="11:19" x14ac:dyDescent="0.2">
      <c r="K348" s="43"/>
      <c r="L348" s="43"/>
      <c r="M348" s="43"/>
      <c r="N348" s="9"/>
      <c r="O348" s="6"/>
      <c r="P348" s="6"/>
      <c r="Q348" s="42"/>
      <c r="R348" s="42"/>
      <c r="S348" s="6"/>
    </row>
    <row r="349" spans="11:19" x14ac:dyDescent="0.2">
      <c r="K349" s="43"/>
      <c r="L349" s="43"/>
      <c r="M349" s="43"/>
      <c r="N349" s="9"/>
      <c r="O349" s="6"/>
      <c r="P349" s="6"/>
      <c r="Q349" s="42"/>
      <c r="R349" s="42"/>
      <c r="S349" s="6"/>
    </row>
    <row r="350" spans="11:19" x14ac:dyDescent="0.2">
      <c r="K350" s="43"/>
      <c r="L350" s="43"/>
      <c r="M350" s="43"/>
      <c r="N350" s="9"/>
      <c r="O350" s="6"/>
      <c r="P350" s="6"/>
      <c r="Q350" s="42"/>
      <c r="R350" s="42"/>
      <c r="S350" s="6"/>
    </row>
    <row r="351" spans="11:19" x14ac:dyDescent="0.2">
      <c r="K351" s="43"/>
      <c r="L351" s="43"/>
      <c r="M351" s="43"/>
      <c r="N351" s="9"/>
      <c r="O351" s="6"/>
      <c r="P351" s="6"/>
      <c r="Q351" s="42"/>
      <c r="R351" s="42"/>
      <c r="S351" s="6"/>
    </row>
    <row r="352" spans="11:19" x14ac:dyDescent="0.2">
      <c r="K352" s="43"/>
      <c r="L352" s="43"/>
      <c r="M352" s="43"/>
      <c r="N352" s="9"/>
      <c r="O352" s="6"/>
      <c r="P352" s="6"/>
      <c r="Q352" s="42"/>
      <c r="R352" s="42"/>
      <c r="S352" s="6"/>
    </row>
    <row r="353" spans="11:19" x14ac:dyDescent="0.2">
      <c r="K353" s="43"/>
      <c r="L353" s="43"/>
      <c r="M353" s="43"/>
      <c r="N353" s="9"/>
      <c r="O353" s="6"/>
      <c r="P353" s="6"/>
      <c r="Q353" s="42"/>
      <c r="R353" s="42"/>
      <c r="S353" s="6"/>
    </row>
    <row r="354" spans="11:19" x14ac:dyDescent="0.2">
      <c r="K354" s="43"/>
      <c r="L354" s="43"/>
      <c r="M354" s="43"/>
      <c r="N354" s="9"/>
      <c r="O354" s="6"/>
      <c r="P354" s="6"/>
      <c r="Q354" s="42"/>
      <c r="R354" s="42"/>
      <c r="S354" s="6"/>
    </row>
    <row r="355" spans="11:19" x14ac:dyDescent="0.2">
      <c r="K355" s="43"/>
      <c r="L355" s="43"/>
      <c r="M355" s="43"/>
      <c r="N355" s="9"/>
      <c r="O355" s="6"/>
      <c r="P355" s="6"/>
      <c r="Q355" s="42"/>
      <c r="R355" s="42"/>
      <c r="S355" s="6"/>
    </row>
    <row r="356" spans="11:19" x14ac:dyDescent="0.2">
      <c r="K356" s="43"/>
      <c r="L356" s="43"/>
      <c r="M356" s="43"/>
      <c r="N356" s="9"/>
      <c r="O356" s="6"/>
      <c r="P356" s="6"/>
      <c r="Q356" s="42"/>
      <c r="R356" s="42"/>
      <c r="S356" s="6"/>
    </row>
    <row r="357" spans="11:19" x14ac:dyDescent="0.2">
      <c r="K357" s="43"/>
      <c r="L357" s="43"/>
      <c r="M357" s="43"/>
      <c r="N357" s="9"/>
      <c r="O357" s="6"/>
      <c r="P357" s="6"/>
      <c r="Q357" s="42"/>
      <c r="R357" s="42"/>
      <c r="S357" s="6"/>
    </row>
    <row r="358" spans="11:19" x14ac:dyDescent="0.2">
      <c r="K358" s="43"/>
      <c r="L358" s="43"/>
      <c r="M358" s="43"/>
      <c r="N358" s="9"/>
      <c r="O358" s="6"/>
      <c r="P358" s="6"/>
      <c r="Q358" s="42"/>
      <c r="R358" s="42"/>
      <c r="S358" s="6"/>
    </row>
    <row r="359" spans="11:19" x14ac:dyDescent="0.2">
      <c r="K359" s="43"/>
      <c r="L359" s="43"/>
      <c r="M359" s="43"/>
      <c r="N359" s="9"/>
      <c r="O359" s="6"/>
      <c r="P359" s="6"/>
      <c r="Q359" s="42"/>
      <c r="R359" s="42"/>
      <c r="S359" s="6"/>
    </row>
    <row r="360" spans="11:19" x14ac:dyDescent="0.2">
      <c r="K360" s="43"/>
      <c r="L360" s="43"/>
      <c r="M360" s="43"/>
      <c r="N360" s="9"/>
      <c r="O360" s="6"/>
      <c r="P360" s="6"/>
      <c r="Q360" s="42"/>
      <c r="R360" s="42"/>
      <c r="S360" s="6"/>
    </row>
    <row r="361" spans="11:19" x14ac:dyDescent="0.2">
      <c r="K361" s="43"/>
      <c r="L361" s="43"/>
      <c r="M361" s="43"/>
      <c r="N361" s="9"/>
      <c r="O361" s="6"/>
      <c r="P361" s="6"/>
      <c r="Q361" s="42"/>
      <c r="R361" s="42"/>
      <c r="S361" s="6"/>
    </row>
    <row r="362" spans="11:19" x14ac:dyDescent="0.2">
      <c r="K362" s="43"/>
      <c r="L362" s="43"/>
      <c r="M362" s="43"/>
      <c r="N362" s="9"/>
      <c r="O362" s="6"/>
      <c r="P362" s="6"/>
      <c r="Q362" s="42"/>
      <c r="R362" s="42"/>
      <c r="S362" s="6"/>
    </row>
    <row r="363" spans="11:19" x14ac:dyDescent="0.2">
      <c r="K363" s="43"/>
      <c r="L363" s="43"/>
      <c r="M363" s="43"/>
      <c r="N363" s="9"/>
      <c r="O363" s="6"/>
      <c r="P363" s="6"/>
      <c r="Q363" s="42"/>
      <c r="R363" s="42"/>
      <c r="S363" s="6"/>
    </row>
    <row r="364" spans="11:19" x14ac:dyDescent="0.2">
      <c r="K364" s="43"/>
      <c r="L364" s="43"/>
      <c r="M364" s="43"/>
      <c r="N364" s="9"/>
      <c r="O364" s="6"/>
      <c r="P364" s="6"/>
      <c r="Q364" s="42"/>
      <c r="R364" s="42"/>
      <c r="S364" s="6"/>
    </row>
    <row r="365" spans="11:19" x14ac:dyDescent="0.2">
      <c r="K365" s="43"/>
      <c r="L365" s="43"/>
      <c r="M365" s="43"/>
      <c r="N365" s="9"/>
      <c r="O365" s="6"/>
      <c r="P365" s="6"/>
      <c r="Q365" s="42"/>
      <c r="R365" s="42"/>
      <c r="S365" s="6"/>
    </row>
    <row r="366" spans="11:19" x14ac:dyDescent="0.2">
      <c r="K366" s="43"/>
      <c r="L366" s="43"/>
      <c r="M366" s="43"/>
      <c r="N366" s="9"/>
      <c r="O366" s="6"/>
      <c r="P366" s="6"/>
      <c r="Q366" s="42"/>
      <c r="R366" s="42"/>
      <c r="S366" s="6"/>
    </row>
    <row r="367" spans="11:19" x14ac:dyDescent="0.2">
      <c r="K367" s="43"/>
      <c r="L367" s="43"/>
      <c r="M367" s="43"/>
      <c r="N367" s="9"/>
      <c r="O367" s="6"/>
      <c r="P367" s="6"/>
      <c r="Q367" s="42"/>
      <c r="R367" s="42"/>
      <c r="S367" s="6"/>
    </row>
    <row r="368" spans="11:19" x14ac:dyDescent="0.2">
      <c r="K368" s="43"/>
      <c r="L368" s="43"/>
      <c r="M368" s="43"/>
      <c r="N368" s="9"/>
      <c r="O368" s="6"/>
      <c r="P368" s="6"/>
      <c r="Q368" s="42"/>
      <c r="R368" s="42"/>
      <c r="S368" s="6"/>
    </row>
    <row r="369" spans="11:19" x14ac:dyDescent="0.2">
      <c r="K369" s="43"/>
      <c r="L369" s="43"/>
      <c r="M369" s="43"/>
      <c r="N369" s="9"/>
      <c r="O369" s="6"/>
      <c r="P369" s="6"/>
      <c r="Q369" s="42"/>
      <c r="R369" s="42"/>
      <c r="S369" s="6"/>
    </row>
    <row r="370" spans="11:19" x14ac:dyDescent="0.2">
      <c r="K370" s="43"/>
      <c r="L370" s="43"/>
      <c r="M370" s="43"/>
      <c r="N370" s="9"/>
      <c r="O370" s="6"/>
      <c r="P370" s="6"/>
      <c r="Q370" s="42"/>
      <c r="R370" s="42"/>
      <c r="S370" s="6"/>
    </row>
    <row r="371" spans="11:19" x14ac:dyDescent="0.2">
      <c r="K371" s="43"/>
      <c r="L371" s="43"/>
      <c r="M371" s="43"/>
      <c r="N371" s="9"/>
      <c r="O371" s="6"/>
      <c r="P371" s="6"/>
      <c r="Q371" s="42"/>
      <c r="R371" s="42"/>
      <c r="S371" s="6"/>
    </row>
    <row r="372" spans="11:19" x14ac:dyDescent="0.2">
      <c r="K372" s="43"/>
      <c r="L372" s="43"/>
      <c r="M372" s="43"/>
      <c r="N372" s="9"/>
      <c r="O372" s="6"/>
      <c r="P372" s="6"/>
      <c r="Q372" s="42"/>
      <c r="R372" s="42"/>
      <c r="S372" s="6"/>
    </row>
    <row r="373" spans="11:19" x14ac:dyDescent="0.2">
      <c r="K373" s="43"/>
      <c r="L373" s="43"/>
      <c r="M373" s="43"/>
      <c r="N373" s="9"/>
      <c r="O373" s="6"/>
      <c r="P373" s="6"/>
      <c r="Q373" s="42"/>
      <c r="R373" s="42"/>
      <c r="S373" s="6"/>
    </row>
    <row r="374" spans="11:19" x14ac:dyDescent="0.2">
      <c r="K374" s="43"/>
      <c r="L374" s="43"/>
      <c r="M374" s="43"/>
      <c r="N374" s="9"/>
      <c r="O374" s="6"/>
      <c r="P374" s="6"/>
      <c r="Q374" s="42"/>
      <c r="R374" s="42"/>
      <c r="S374" s="6"/>
    </row>
    <row r="375" spans="11:19" x14ac:dyDescent="0.2">
      <c r="K375" s="43"/>
      <c r="L375" s="43"/>
      <c r="M375" s="43"/>
      <c r="N375" s="9"/>
      <c r="O375" s="6"/>
      <c r="P375" s="6"/>
      <c r="Q375" s="42"/>
      <c r="R375" s="42"/>
      <c r="S375" s="6"/>
    </row>
    <row r="376" spans="11:19" x14ac:dyDescent="0.2">
      <c r="K376" s="43"/>
      <c r="L376" s="43"/>
      <c r="M376" s="43"/>
      <c r="N376" s="9"/>
      <c r="O376" s="6"/>
      <c r="P376" s="6"/>
      <c r="Q376" s="42"/>
      <c r="R376" s="42"/>
      <c r="S376" s="6"/>
    </row>
    <row r="377" spans="11:19" x14ac:dyDescent="0.2">
      <c r="K377" s="43"/>
      <c r="L377" s="43"/>
      <c r="M377" s="43"/>
      <c r="N377" s="9"/>
      <c r="O377" s="6"/>
      <c r="P377" s="6"/>
      <c r="Q377" s="42"/>
      <c r="R377" s="42"/>
      <c r="S377" s="6"/>
    </row>
    <row r="378" spans="11:19" x14ac:dyDescent="0.2">
      <c r="K378" s="43"/>
      <c r="L378" s="43"/>
      <c r="M378" s="43"/>
      <c r="N378" s="9"/>
      <c r="O378" s="6"/>
      <c r="P378" s="6"/>
      <c r="Q378" s="42"/>
      <c r="R378" s="42"/>
      <c r="S378" s="6"/>
    </row>
    <row r="379" spans="11:19" x14ac:dyDescent="0.2">
      <c r="K379" s="43"/>
      <c r="L379" s="43"/>
      <c r="M379" s="43"/>
      <c r="N379" s="9"/>
      <c r="O379" s="6"/>
      <c r="P379" s="6"/>
      <c r="Q379" s="42"/>
      <c r="R379" s="42"/>
      <c r="S379" s="6"/>
    </row>
    <row r="380" spans="11:19" x14ac:dyDescent="0.2">
      <c r="K380" s="43"/>
      <c r="L380" s="43"/>
      <c r="M380" s="43"/>
      <c r="N380" s="9"/>
      <c r="O380" s="6"/>
      <c r="P380" s="6"/>
      <c r="Q380" s="42"/>
      <c r="R380" s="42"/>
      <c r="S380" s="6"/>
    </row>
    <row r="381" spans="11:19" x14ac:dyDescent="0.2">
      <c r="K381" s="43"/>
      <c r="L381" s="43"/>
      <c r="M381" s="43"/>
      <c r="N381" s="9"/>
      <c r="O381" s="6"/>
      <c r="P381" s="6"/>
      <c r="Q381" s="42"/>
      <c r="R381" s="42"/>
      <c r="S381" s="6"/>
    </row>
    <row r="382" spans="11:19" x14ac:dyDescent="0.2">
      <c r="K382" s="43"/>
      <c r="L382" s="43"/>
      <c r="M382" s="43"/>
      <c r="N382" s="9"/>
      <c r="O382" s="6"/>
      <c r="P382" s="6"/>
      <c r="Q382" s="42"/>
      <c r="R382" s="42"/>
      <c r="S382" s="6"/>
    </row>
    <row r="383" spans="11:19" x14ac:dyDescent="0.2">
      <c r="K383" s="43"/>
      <c r="L383" s="43"/>
      <c r="M383" s="43"/>
      <c r="N383" s="9"/>
      <c r="O383" s="6"/>
      <c r="P383" s="6"/>
      <c r="Q383" s="42"/>
      <c r="R383" s="42"/>
      <c r="S383" s="6"/>
    </row>
    <row r="384" spans="11:19" x14ac:dyDescent="0.2">
      <c r="K384" s="43"/>
      <c r="L384" s="43"/>
      <c r="M384" s="43"/>
      <c r="N384" s="9"/>
      <c r="O384" s="6"/>
      <c r="P384" s="6"/>
      <c r="Q384" s="42"/>
      <c r="R384" s="42"/>
      <c r="S384" s="6"/>
    </row>
    <row r="385" spans="11:19" x14ac:dyDescent="0.2">
      <c r="K385" s="43"/>
      <c r="L385" s="43"/>
      <c r="M385" s="43"/>
      <c r="N385" s="9"/>
      <c r="O385" s="6"/>
      <c r="P385" s="6"/>
      <c r="Q385" s="42"/>
      <c r="R385" s="42"/>
      <c r="S385" s="6"/>
    </row>
    <row r="386" spans="11:19" x14ac:dyDescent="0.2">
      <c r="K386" s="43"/>
      <c r="L386" s="43"/>
      <c r="M386" s="43"/>
      <c r="N386" s="9"/>
      <c r="O386" s="6"/>
      <c r="P386" s="6"/>
      <c r="Q386" s="42"/>
      <c r="R386" s="42"/>
      <c r="S386" s="6"/>
    </row>
    <row r="387" spans="11:19" x14ac:dyDescent="0.2">
      <c r="K387" s="43"/>
      <c r="L387" s="43"/>
      <c r="M387" s="43"/>
      <c r="N387" s="9"/>
      <c r="O387" s="6"/>
      <c r="P387" s="6"/>
      <c r="Q387" s="42"/>
      <c r="R387" s="42"/>
      <c r="S387" s="6"/>
    </row>
    <row r="388" spans="11:19" x14ac:dyDescent="0.2">
      <c r="K388" s="43"/>
      <c r="L388" s="43"/>
      <c r="M388" s="43"/>
      <c r="N388" s="9"/>
      <c r="O388" s="6"/>
      <c r="P388" s="6"/>
      <c r="Q388" s="42"/>
      <c r="R388" s="42"/>
      <c r="S388" s="6"/>
    </row>
    <row r="389" spans="11:19" x14ac:dyDescent="0.2">
      <c r="K389" s="43"/>
      <c r="L389" s="43"/>
      <c r="M389" s="43"/>
      <c r="N389" s="9"/>
      <c r="O389" s="6"/>
      <c r="P389" s="6"/>
      <c r="Q389" s="42"/>
      <c r="R389" s="42"/>
      <c r="S389" s="6"/>
    </row>
    <row r="390" spans="11:19" x14ac:dyDescent="0.2">
      <c r="K390" s="43"/>
      <c r="L390" s="43"/>
      <c r="M390" s="43"/>
      <c r="N390" s="9"/>
      <c r="O390" s="6"/>
      <c r="P390" s="6"/>
      <c r="Q390" s="42"/>
      <c r="R390" s="42"/>
      <c r="S390" s="6"/>
    </row>
    <row r="391" spans="11:19" x14ac:dyDescent="0.2">
      <c r="K391" s="43"/>
      <c r="L391" s="43"/>
      <c r="M391" s="43"/>
      <c r="N391" s="9"/>
      <c r="O391" s="6"/>
      <c r="P391" s="6"/>
      <c r="Q391" s="42"/>
      <c r="R391" s="42"/>
      <c r="S391" s="6"/>
    </row>
    <row r="392" spans="11:19" x14ac:dyDescent="0.2">
      <c r="K392" s="43"/>
      <c r="L392" s="43"/>
      <c r="M392" s="43"/>
      <c r="N392" s="9"/>
      <c r="O392" s="6"/>
      <c r="P392" s="6"/>
      <c r="Q392" s="42"/>
      <c r="R392" s="42"/>
      <c r="S392" s="6"/>
    </row>
    <row r="393" spans="11:19" x14ac:dyDescent="0.2">
      <c r="K393" s="43"/>
      <c r="L393" s="43"/>
      <c r="M393" s="43"/>
      <c r="N393" s="9"/>
      <c r="O393" s="6"/>
      <c r="P393" s="6"/>
      <c r="Q393" s="42"/>
      <c r="R393" s="42"/>
      <c r="S393" s="6"/>
    </row>
    <row r="394" spans="11:19" x14ac:dyDescent="0.2">
      <c r="K394" s="43"/>
      <c r="L394" s="43"/>
      <c r="M394" s="43"/>
      <c r="N394" s="9"/>
      <c r="O394" s="6"/>
      <c r="P394" s="6"/>
      <c r="Q394" s="42"/>
      <c r="R394" s="42"/>
      <c r="S394" s="6"/>
    </row>
    <row r="395" spans="11:19" x14ac:dyDescent="0.2">
      <c r="K395" s="43"/>
      <c r="L395" s="43"/>
      <c r="M395" s="43"/>
      <c r="N395" s="9"/>
      <c r="O395" s="6"/>
      <c r="P395" s="6"/>
      <c r="Q395" s="42"/>
      <c r="R395" s="42"/>
      <c r="S395" s="6"/>
    </row>
    <row r="396" spans="11:19" x14ac:dyDescent="0.2">
      <c r="K396" s="43"/>
      <c r="L396" s="43"/>
      <c r="M396" s="43"/>
      <c r="N396" s="9"/>
      <c r="O396" s="6"/>
      <c r="P396" s="6"/>
      <c r="Q396" s="42"/>
      <c r="R396" s="42"/>
      <c r="S396" s="6"/>
    </row>
    <row r="397" spans="11:19" x14ac:dyDescent="0.2">
      <c r="K397" s="43"/>
      <c r="L397" s="43"/>
      <c r="M397" s="43"/>
      <c r="N397" s="9"/>
      <c r="O397" s="6"/>
      <c r="P397" s="6"/>
      <c r="Q397" s="42"/>
      <c r="R397" s="42"/>
      <c r="S397" s="6"/>
    </row>
    <row r="398" spans="11:19" x14ac:dyDescent="0.2">
      <c r="K398" s="43"/>
      <c r="L398" s="43"/>
      <c r="M398" s="43"/>
      <c r="N398" s="9"/>
      <c r="O398" s="6"/>
      <c r="P398" s="6"/>
      <c r="Q398" s="42"/>
      <c r="R398" s="42"/>
      <c r="S398" s="6"/>
    </row>
    <row r="399" spans="11:19" x14ac:dyDescent="0.2">
      <c r="K399" s="43"/>
      <c r="L399" s="43"/>
      <c r="M399" s="43"/>
      <c r="N399" s="9"/>
      <c r="O399" s="6"/>
      <c r="P399" s="6"/>
      <c r="Q399" s="42"/>
      <c r="R399" s="42"/>
      <c r="S399" s="6"/>
    </row>
    <row r="400" spans="11:19" x14ac:dyDescent="0.2">
      <c r="K400" s="43"/>
      <c r="L400" s="43"/>
      <c r="M400" s="43"/>
      <c r="N400" s="9"/>
      <c r="O400" s="6"/>
      <c r="P400" s="6"/>
      <c r="Q400" s="42"/>
      <c r="R400" s="42"/>
      <c r="S400" s="6"/>
    </row>
    <row r="401" spans="11:19" x14ac:dyDescent="0.2">
      <c r="K401" s="43"/>
      <c r="L401" s="43"/>
      <c r="M401" s="43"/>
      <c r="N401" s="9"/>
      <c r="O401" s="6"/>
      <c r="P401" s="6"/>
      <c r="Q401" s="42"/>
      <c r="R401" s="42"/>
      <c r="S401" s="6"/>
    </row>
    <row r="402" spans="11:19" x14ac:dyDescent="0.2">
      <c r="K402" s="43"/>
      <c r="L402" s="43"/>
      <c r="M402" s="43"/>
      <c r="N402" s="9"/>
      <c r="O402" s="6"/>
      <c r="P402" s="6"/>
      <c r="Q402" s="42"/>
      <c r="R402" s="42"/>
      <c r="S402" s="6"/>
    </row>
    <row r="403" spans="11:19" x14ac:dyDescent="0.2">
      <c r="K403" s="43"/>
      <c r="L403" s="43"/>
      <c r="M403" s="43"/>
      <c r="N403" s="9"/>
      <c r="O403" s="6"/>
      <c r="P403" s="6"/>
      <c r="Q403" s="42"/>
      <c r="R403" s="42"/>
      <c r="S403" s="6"/>
    </row>
    <row r="404" spans="11:19" x14ac:dyDescent="0.2">
      <c r="K404" s="43"/>
      <c r="L404" s="43"/>
      <c r="M404" s="43"/>
      <c r="N404" s="9"/>
      <c r="O404" s="6"/>
      <c r="P404" s="6"/>
      <c r="Q404" s="42"/>
      <c r="R404" s="42"/>
      <c r="S404" s="6"/>
    </row>
    <row r="405" spans="11:19" x14ac:dyDescent="0.2">
      <c r="K405" s="43"/>
      <c r="L405" s="43"/>
      <c r="M405" s="43"/>
      <c r="N405" s="9"/>
      <c r="O405" s="6"/>
      <c r="P405" s="6"/>
      <c r="Q405" s="42"/>
      <c r="R405" s="42"/>
      <c r="S405" s="6"/>
    </row>
    <row r="406" spans="11:19" x14ac:dyDescent="0.2">
      <c r="K406" s="43"/>
      <c r="L406" s="43"/>
      <c r="M406" s="43"/>
      <c r="N406" s="9"/>
      <c r="O406" s="6"/>
      <c r="P406" s="6"/>
      <c r="Q406" s="42"/>
      <c r="R406" s="42"/>
      <c r="S406" s="6"/>
    </row>
    <row r="407" spans="11:19" x14ac:dyDescent="0.2">
      <c r="K407" s="43"/>
      <c r="L407" s="43"/>
      <c r="M407" s="43"/>
      <c r="N407" s="9"/>
      <c r="O407" s="6"/>
      <c r="P407" s="6"/>
      <c r="Q407" s="42"/>
      <c r="R407" s="42"/>
      <c r="S407" s="6"/>
    </row>
    <row r="408" spans="11:19" x14ac:dyDescent="0.2">
      <c r="K408" s="43"/>
      <c r="L408" s="43"/>
      <c r="M408" s="43"/>
      <c r="N408" s="9"/>
      <c r="O408" s="6"/>
      <c r="P408" s="6"/>
      <c r="Q408" s="42"/>
      <c r="R408" s="42"/>
      <c r="S408" s="6"/>
    </row>
    <row r="409" spans="11:19" x14ac:dyDescent="0.2">
      <c r="K409" s="43"/>
      <c r="L409" s="43"/>
      <c r="M409" s="43"/>
      <c r="N409" s="9"/>
      <c r="O409" s="6"/>
      <c r="P409" s="6"/>
      <c r="Q409" s="42"/>
      <c r="R409" s="42"/>
      <c r="S409" s="6"/>
    </row>
    <row r="410" spans="11:19" x14ac:dyDescent="0.2">
      <c r="K410" s="43"/>
      <c r="L410" s="43"/>
      <c r="M410" s="43"/>
      <c r="N410" s="9"/>
      <c r="O410" s="6"/>
      <c r="P410" s="6"/>
      <c r="Q410" s="42"/>
      <c r="R410" s="42"/>
      <c r="S410" s="6"/>
    </row>
    <row r="411" spans="11:19" x14ac:dyDescent="0.2">
      <c r="K411" s="43"/>
      <c r="L411" s="43"/>
      <c r="M411" s="43"/>
      <c r="N411" s="9"/>
      <c r="O411" s="6"/>
      <c r="P411" s="6"/>
      <c r="Q411" s="42"/>
      <c r="R411" s="42"/>
      <c r="S411" s="6"/>
    </row>
    <row r="412" spans="11:19" x14ac:dyDescent="0.2">
      <c r="K412" s="43"/>
      <c r="L412" s="43"/>
      <c r="M412" s="43"/>
      <c r="N412" s="9"/>
      <c r="O412" s="6"/>
      <c r="P412" s="6"/>
      <c r="Q412" s="42"/>
      <c r="R412" s="42"/>
      <c r="S412" s="6"/>
    </row>
    <row r="413" spans="11:19" x14ac:dyDescent="0.2">
      <c r="K413" s="43"/>
      <c r="L413" s="43"/>
      <c r="M413" s="43"/>
      <c r="N413" s="9"/>
      <c r="O413" s="6"/>
      <c r="P413" s="6"/>
      <c r="Q413" s="42"/>
      <c r="R413" s="42"/>
      <c r="S413" s="6"/>
    </row>
    <row r="414" spans="11:19" x14ac:dyDescent="0.2">
      <c r="K414" s="43"/>
      <c r="L414" s="43"/>
      <c r="M414" s="43"/>
      <c r="N414" s="9"/>
      <c r="O414" s="6"/>
      <c r="P414" s="6"/>
      <c r="Q414" s="42"/>
      <c r="R414" s="42"/>
      <c r="S414" s="6"/>
    </row>
    <row r="415" spans="11:19" x14ac:dyDescent="0.2">
      <c r="K415" s="43"/>
      <c r="L415" s="43"/>
      <c r="M415" s="43"/>
      <c r="N415" s="9"/>
      <c r="O415" s="6"/>
      <c r="P415" s="6"/>
      <c r="Q415" s="42"/>
      <c r="R415" s="42"/>
      <c r="S415" s="6"/>
    </row>
    <row r="416" spans="11:19" x14ac:dyDescent="0.2">
      <c r="K416" s="43"/>
      <c r="L416" s="43"/>
      <c r="M416" s="43"/>
      <c r="N416" s="9"/>
      <c r="O416" s="6"/>
      <c r="P416" s="6"/>
      <c r="Q416" s="42"/>
      <c r="R416" s="42"/>
      <c r="S416" s="6"/>
    </row>
    <row r="417" spans="11:19" x14ac:dyDescent="0.2">
      <c r="K417" s="43"/>
      <c r="L417" s="43"/>
      <c r="M417" s="43"/>
      <c r="N417" s="9"/>
      <c r="O417" s="6"/>
      <c r="P417" s="6"/>
      <c r="Q417" s="42"/>
      <c r="R417" s="42"/>
      <c r="S417" s="6"/>
    </row>
    <row r="418" spans="11:19" x14ac:dyDescent="0.2">
      <c r="K418" s="43"/>
      <c r="L418" s="43"/>
      <c r="M418" s="43"/>
      <c r="N418" s="9"/>
      <c r="O418" s="6"/>
      <c r="P418" s="6"/>
      <c r="Q418" s="42"/>
      <c r="R418" s="42"/>
      <c r="S418" s="6"/>
    </row>
    <row r="419" spans="11:19" x14ac:dyDescent="0.2">
      <c r="K419" s="43"/>
      <c r="L419" s="43"/>
      <c r="M419" s="43"/>
      <c r="N419" s="9"/>
      <c r="O419" s="6"/>
      <c r="P419" s="6"/>
      <c r="Q419" s="42"/>
      <c r="R419" s="42"/>
      <c r="S419" s="6"/>
    </row>
    <row r="420" spans="11:19" x14ac:dyDescent="0.2">
      <c r="K420" s="43"/>
      <c r="L420" s="43"/>
      <c r="M420" s="43"/>
      <c r="N420" s="9"/>
      <c r="O420" s="6"/>
      <c r="P420" s="6"/>
      <c r="Q420" s="42"/>
      <c r="R420" s="42"/>
      <c r="S420" s="6"/>
    </row>
    <row r="421" spans="11:19" x14ac:dyDescent="0.2">
      <c r="K421" s="43"/>
      <c r="L421" s="43"/>
      <c r="M421" s="43"/>
      <c r="N421" s="9"/>
      <c r="O421" s="6"/>
      <c r="P421" s="6"/>
      <c r="Q421" s="42"/>
      <c r="R421" s="42"/>
      <c r="S421" s="6"/>
    </row>
    <row r="422" spans="11:19" x14ac:dyDescent="0.2">
      <c r="K422" s="43"/>
      <c r="L422" s="43"/>
      <c r="M422" s="43"/>
      <c r="N422" s="9"/>
      <c r="O422" s="6"/>
      <c r="P422" s="6"/>
      <c r="Q422" s="42"/>
      <c r="R422" s="42"/>
      <c r="S422" s="6"/>
    </row>
    <row r="423" spans="11:19" x14ac:dyDescent="0.2">
      <c r="K423" s="43"/>
      <c r="L423" s="43"/>
      <c r="M423" s="43"/>
      <c r="N423" s="9"/>
      <c r="O423" s="6"/>
      <c r="P423" s="6"/>
      <c r="Q423" s="42"/>
      <c r="R423" s="42"/>
      <c r="S423" s="6"/>
    </row>
    <row r="424" spans="11:19" x14ac:dyDescent="0.2">
      <c r="K424" s="43"/>
      <c r="L424" s="43"/>
      <c r="M424" s="43"/>
      <c r="N424" s="9"/>
      <c r="O424" s="6"/>
      <c r="P424" s="6"/>
      <c r="Q424" s="42"/>
      <c r="R424" s="42"/>
      <c r="S424" s="6"/>
    </row>
    <row r="425" spans="11:19" x14ac:dyDescent="0.2">
      <c r="K425" s="43"/>
      <c r="L425" s="43"/>
      <c r="M425" s="43"/>
      <c r="N425" s="9"/>
      <c r="O425" s="6"/>
      <c r="P425" s="6"/>
      <c r="Q425" s="42"/>
      <c r="R425" s="42"/>
      <c r="S425" s="6"/>
    </row>
    <row r="426" spans="11:19" x14ac:dyDescent="0.2">
      <c r="K426" s="43"/>
      <c r="L426" s="43"/>
      <c r="M426" s="43"/>
      <c r="N426" s="9"/>
      <c r="O426" s="6"/>
      <c r="P426" s="6"/>
      <c r="Q426" s="42"/>
      <c r="R426" s="42"/>
      <c r="S426" s="6"/>
    </row>
    <row r="427" spans="11:19" x14ac:dyDescent="0.2">
      <c r="K427" s="43"/>
      <c r="L427" s="43"/>
      <c r="M427" s="43"/>
      <c r="N427" s="9"/>
      <c r="O427" s="6"/>
      <c r="P427" s="6"/>
      <c r="Q427" s="42"/>
      <c r="R427" s="42"/>
      <c r="S427" s="6"/>
    </row>
    <row r="428" spans="11:19" x14ac:dyDescent="0.2">
      <c r="K428" s="43"/>
      <c r="L428" s="43"/>
      <c r="M428" s="43"/>
      <c r="N428" s="9"/>
      <c r="O428" s="6"/>
      <c r="P428" s="6"/>
      <c r="Q428" s="42"/>
      <c r="R428" s="42"/>
      <c r="S428" s="6"/>
    </row>
    <row r="429" spans="11:19" x14ac:dyDescent="0.2">
      <c r="K429" s="43"/>
      <c r="L429" s="43"/>
      <c r="M429" s="43"/>
      <c r="N429" s="9"/>
      <c r="O429" s="6"/>
      <c r="P429" s="6"/>
      <c r="Q429" s="42"/>
      <c r="R429" s="42"/>
      <c r="S429" s="6"/>
    </row>
    <row r="430" spans="11:19" x14ac:dyDescent="0.2">
      <c r="K430" s="43"/>
      <c r="L430" s="43"/>
      <c r="M430" s="43"/>
      <c r="N430" s="9"/>
      <c r="O430" s="6"/>
      <c r="P430" s="6"/>
      <c r="Q430" s="42"/>
      <c r="R430" s="42"/>
      <c r="S430" s="6"/>
    </row>
    <row r="431" spans="11:19" x14ac:dyDescent="0.2">
      <c r="K431" s="43"/>
      <c r="L431" s="43"/>
      <c r="M431" s="43"/>
      <c r="N431" s="9"/>
      <c r="O431" s="6"/>
      <c r="P431" s="6"/>
      <c r="Q431" s="42"/>
      <c r="R431" s="42"/>
      <c r="S431" s="6"/>
    </row>
    <row r="432" spans="11:19" x14ac:dyDescent="0.2">
      <c r="K432" s="43"/>
      <c r="L432" s="43"/>
      <c r="M432" s="43"/>
      <c r="N432" s="9"/>
      <c r="O432" s="6"/>
      <c r="P432" s="6"/>
      <c r="Q432" s="42"/>
      <c r="R432" s="42"/>
      <c r="S432" s="6"/>
    </row>
    <row r="433" spans="11:19" x14ac:dyDescent="0.2">
      <c r="K433" s="43"/>
      <c r="L433" s="43"/>
      <c r="M433" s="43"/>
      <c r="N433" s="9"/>
      <c r="O433" s="6"/>
      <c r="P433" s="6"/>
      <c r="Q433" s="42"/>
      <c r="R433" s="42"/>
      <c r="S433" s="6"/>
    </row>
    <row r="434" spans="11:19" x14ac:dyDescent="0.2">
      <c r="K434" s="43"/>
      <c r="L434" s="43"/>
      <c r="M434" s="43"/>
      <c r="N434" s="9"/>
      <c r="O434" s="6"/>
      <c r="P434" s="6"/>
      <c r="Q434" s="42"/>
      <c r="R434" s="42"/>
      <c r="S434" s="6"/>
    </row>
    <row r="435" spans="11:19" x14ac:dyDescent="0.2">
      <c r="K435" s="43"/>
      <c r="L435" s="43"/>
      <c r="M435" s="43"/>
      <c r="N435" s="9"/>
      <c r="O435" s="6"/>
      <c r="P435" s="6"/>
      <c r="Q435" s="42"/>
      <c r="R435" s="42"/>
      <c r="S435" s="6"/>
    </row>
    <row r="436" spans="11:19" x14ac:dyDescent="0.2">
      <c r="K436" s="43"/>
      <c r="L436" s="43"/>
      <c r="M436" s="43"/>
      <c r="N436" s="9"/>
      <c r="O436" s="6"/>
      <c r="P436" s="6"/>
      <c r="Q436" s="42"/>
      <c r="R436" s="42"/>
      <c r="S436" s="6"/>
    </row>
    <row r="437" spans="11:19" x14ac:dyDescent="0.2">
      <c r="K437" s="43"/>
      <c r="L437" s="43"/>
      <c r="M437" s="43"/>
      <c r="N437" s="9"/>
      <c r="O437" s="6"/>
      <c r="P437" s="6"/>
      <c r="Q437" s="42"/>
      <c r="R437" s="42"/>
      <c r="S437" s="6"/>
    </row>
    <row r="438" spans="11:19" x14ac:dyDescent="0.2">
      <c r="K438" s="43"/>
      <c r="L438" s="43"/>
      <c r="M438" s="43"/>
      <c r="N438" s="9"/>
      <c r="O438" s="6"/>
      <c r="P438" s="6"/>
      <c r="Q438" s="42"/>
      <c r="R438" s="42"/>
      <c r="S438" s="6"/>
    </row>
    <row r="439" spans="11:19" x14ac:dyDescent="0.2">
      <c r="K439" s="43"/>
      <c r="L439" s="43"/>
      <c r="M439" s="43"/>
      <c r="N439" s="9"/>
      <c r="O439" s="6"/>
      <c r="P439" s="6"/>
      <c r="Q439" s="42"/>
      <c r="R439" s="42"/>
      <c r="S439" s="6"/>
    </row>
    <row r="440" spans="11:19" x14ac:dyDescent="0.2">
      <c r="K440" s="43"/>
      <c r="L440" s="43"/>
      <c r="M440" s="43"/>
      <c r="N440" s="9"/>
      <c r="O440" s="6"/>
      <c r="P440" s="6"/>
      <c r="Q440" s="42"/>
      <c r="R440" s="42"/>
      <c r="S440" s="6"/>
    </row>
    <row r="441" spans="11:19" x14ac:dyDescent="0.2">
      <c r="K441" s="43"/>
      <c r="L441" s="43"/>
      <c r="M441" s="43"/>
      <c r="N441" s="9"/>
      <c r="O441" s="6"/>
      <c r="P441" s="6"/>
      <c r="Q441" s="42"/>
      <c r="R441" s="42"/>
      <c r="S441" s="6"/>
    </row>
    <row r="442" spans="11:19" x14ac:dyDescent="0.2">
      <c r="K442" s="43"/>
      <c r="L442" s="43"/>
      <c r="M442" s="43"/>
      <c r="N442" s="9"/>
      <c r="O442" s="6"/>
      <c r="P442" s="6"/>
      <c r="Q442" s="42"/>
      <c r="R442" s="42"/>
      <c r="S442" s="6"/>
    </row>
    <row r="443" spans="11:19" x14ac:dyDescent="0.2">
      <c r="K443" s="43"/>
      <c r="L443" s="43"/>
      <c r="M443" s="43"/>
      <c r="N443" s="9"/>
      <c r="O443" s="6"/>
      <c r="P443" s="6"/>
      <c r="Q443" s="42"/>
      <c r="R443" s="42"/>
      <c r="S443" s="6"/>
    </row>
    <row r="444" spans="11:19" x14ac:dyDescent="0.2">
      <c r="K444" s="43"/>
      <c r="L444" s="43"/>
      <c r="M444" s="43"/>
      <c r="N444" s="9"/>
      <c r="O444" s="6"/>
      <c r="P444" s="6"/>
      <c r="Q444" s="42"/>
      <c r="R444" s="42"/>
      <c r="S444" s="6"/>
    </row>
    <row r="445" spans="11:19" x14ac:dyDescent="0.2">
      <c r="K445" s="43"/>
      <c r="L445" s="43"/>
      <c r="M445" s="43"/>
      <c r="N445" s="9"/>
      <c r="O445" s="6"/>
      <c r="P445" s="6"/>
      <c r="Q445" s="42"/>
      <c r="R445" s="42"/>
      <c r="S445" s="6"/>
    </row>
    <row r="446" spans="11:19" x14ac:dyDescent="0.2">
      <c r="K446" s="43"/>
      <c r="L446" s="43"/>
      <c r="M446" s="43"/>
      <c r="N446" s="9"/>
      <c r="O446" s="6"/>
      <c r="P446" s="6"/>
      <c r="Q446" s="42"/>
      <c r="R446" s="42"/>
      <c r="S446" s="6"/>
    </row>
    <row r="447" spans="11:19" x14ac:dyDescent="0.2">
      <c r="K447" s="43"/>
      <c r="L447" s="43"/>
      <c r="M447" s="43"/>
      <c r="N447" s="9"/>
      <c r="O447" s="6"/>
      <c r="P447" s="6"/>
      <c r="Q447" s="42"/>
      <c r="R447" s="42"/>
      <c r="S447" s="6"/>
    </row>
    <row r="448" spans="11:19" x14ac:dyDescent="0.2">
      <c r="K448" s="43"/>
      <c r="L448" s="43"/>
      <c r="M448" s="43"/>
      <c r="N448" s="9"/>
      <c r="O448" s="6"/>
      <c r="P448" s="6"/>
      <c r="Q448" s="42"/>
      <c r="R448" s="42"/>
      <c r="S448" s="6"/>
    </row>
    <row r="449" spans="11:19" x14ac:dyDescent="0.2">
      <c r="K449" s="43"/>
      <c r="L449" s="43"/>
      <c r="M449" s="43"/>
      <c r="N449" s="9"/>
      <c r="O449" s="6"/>
      <c r="P449" s="6"/>
      <c r="Q449" s="42"/>
      <c r="R449" s="42"/>
      <c r="S449" s="6"/>
    </row>
    <row r="450" spans="11:19" x14ac:dyDescent="0.2">
      <c r="K450" s="43"/>
      <c r="L450" s="43"/>
      <c r="M450" s="43"/>
      <c r="N450" s="9"/>
      <c r="O450" s="6"/>
      <c r="P450" s="6"/>
      <c r="Q450" s="42"/>
      <c r="R450" s="42"/>
      <c r="S450" s="6"/>
    </row>
    <row r="451" spans="11:19" x14ac:dyDescent="0.2">
      <c r="K451" s="43"/>
      <c r="L451" s="43"/>
      <c r="M451" s="43"/>
      <c r="N451" s="9"/>
      <c r="O451" s="6"/>
      <c r="P451" s="6"/>
      <c r="Q451" s="42"/>
      <c r="R451" s="42"/>
      <c r="S451" s="6"/>
    </row>
    <row r="452" spans="11:19" x14ac:dyDescent="0.2">
      <c r="K452" s="43"/>
      <c r="L452" s="43"/>
      <c r="M452" s="43"/>
      <c r="N452" s="9"/>
      <c r="O452" s="6"/>
      <c r="P452" s="6"/>
      <c r="Q452" s="42"/>
      <c r="R452" s="42"/>
      <c r="S452" s="6"/>
    </row>
    <row r="453" spans="11:19" x14ac:dyDescent="0.2">
      <c r="K453" s="43"/>
      <c r="L453" s="43"/>
      <c r="M453" s="43"/>
      <c r="N453" s="9"/>
      <c r="O453" s="6"/>
      <c r="P453" s="6"/>
      <c r="Q453" s="42"/>
      <c r="R453" s="42"/>
      <c r="S453" s="6"/>
    </row>
    <row r="454" spans="11:19" x14ac:dyDescent="0.2">
      <c r="K454" s="43"/>
      <c r="L454" s="43"/>
      <c r="M454" s="43"/>
      <c r="N454" s="9"/>
      <c r="O454" s="6"/>
      <c r="P454" s="6"/>
      <c r="Q454" s="42"/>
      <c r="R454" s="42"/>
      <c r="S454" s="6"/>
    </row>
    <row r="455" spans="11:19" x14ac:dyDescent="0.2">
      <c r="K455" s="43"/>
      <c r="L455" s="43"/>
      <c r="M455" s="43"/>
      <c r="N455" s="9"/>
      <c r="O455" s="6"/>
      <c r="P455" s="6"/>
      <c r="Q455" s="42"/>
      <c r="R455" s="42"/>
      <c r="S455" s="6"/>
    </row>
    <row r="456" spans="11:19" x14ac:dyDescent="0.2">
      <c r="K456" s="43"/>
      <c r="L456" s="43"/>
      <c r="M456" s="43"/>
      <c r="N456" s="9"/>
      <c r="O456" s="6"/>
      <c r="P456" s="6"/>
      <c r="Q456" s="42"/>
      <c r="R456" s="42"/>
      <c r="S456" s="6"/>
    </row>
    <row r="457" spans="11:19" x14ac:dyDescent="0.2">
      <c r="K457" s="43"/>
      <c r="L457" s="43"/>
      <c r="M457" s="43"/>
      <c r="N457" s="9"/>
      <c r="O457" s="6"/>
      <c r="P457" s="6"/>
      <c r="Q457" s="42"/>
      <c r="R457" s="42"/>
      <c r="S457" s="6"/>
    </row>
    <row r="458" spans="11:19" x14ac:dyDescent="0.2">
      <c r="K458" s="43"/>
      <c r="L458" s="43"/>
      <c r="M458" s="43"/>
      <c r="N458" s="9"/>
      <c r="O458" s="6"/>
      <c r="P458" s="6"/>
      <c r="Q458" s="42"/>
      <c r="R458" s="42"/>
      <c r="S458" s="6"/>
    </row>
    <row r="459" spans="11:19" x14ac:dyDescent="0.2">
      <c r="K459" s="43"/>
      <c r="L459" s="43"/>
      <c r="M459" s="43"/>
      <c r="N459" s="9"/>
      <c r="O459" s="6"/>
      <c r="P459" s="6"/>
      <c r="Q459" s="42"/>
      <c r="R459" s="42"/>
      <c r="S459" s="6"/>
    </row>
    <row r="460" spans="11:19" x14ac:dyDescent="0.2">
      <c r="K460" s="43"/>
      <c r="L460" s="43"/>
      <c r="M460" s="43"/>
      <c r="N460" s="9"/>
      <c r="O460" s="6"/>
      <c r="P460" s="6"/>
      <c r="Q460" s="42"/>
      <c r="R460" s="42"/>
      <c r="S460" s="6"/>
    </row>
    <row r="461" spans="11:19" x14ac:dyDescent="0.2">
      <c r="K461" s="43"/>
      <c r="L461" s="43"/>
      <c r="M461" s="43"/>
      <c r="N461" s="9"/>
      <c r="O461" s="6"/>
      <c r="P461" s="6"/>
      <c r="Q461" s="42"/>
      <c r="R461" s="42"/>
      <c r="S461" s="6"/>
    </row>
    <row r="462" spans="11:19" x14ac:dyDescent="0.2">
      <c r="K462" s="43"/>
      <c r="L462" s="43"/>
      <c r="M462" s="43"/>
      <c r="N462" s="9"/>
      <c r="O462" s="6"/>
      <c r="P462" s="6"/>
      <c r="Q462" s="42"/>
      <c r="R462" s="42"/>
      <c r="S462" s="6"/>
    </row>
    <row r="463" spans="11:19" x14ac:dyDescent="0.2">
      <c r="K463" s="43"/>
      <c r="L463" s="43"/>
      <c r="M463" s="43"/>
      <c r="N463" s="9"/>
      <c r="O463" s="6"/>
      <c r="P463" s="6"/>
      <c r="Q463" s="42"/>
      <c r="R463" s="42"/>
      <c r="S463" s="6"/>
    </row>
    <row r="464" spans="11:19" x14ac:dyDescent="0.2">
      <c r="K464" s="43"/>
      <c r="L464" s="43"/>
      <c r="M464" s="43"/>
      <c r="N464" s="9"/>
      <c r="O464" s="6"/>
      <c r="P464" s="6"/>
      <c r="Q464" s="42"/>
      <c r="R464" s="42"/>
      <c r="S464" s="6"/>
    </row>
    <row r="465" spans="11:19" x14ac:dyDescent="0.2">
      <c r="K465" s="43"/>
      <c r="L465" s="43"/>
      <c r="M465" s="43"/>
      <c r="N465" s="9"/>
      <c r="O465" s="6"/>
      <c r="P465" s="6"/>
      <c r="Q465" s="42"/>
      <c r="R465" s="42"/>
      <c r="S465" s="6"/>
    </row>
    <row r="466" spans="11:19" x14ac:dyDescent="0.2">
      <c r="K466" s="43"/>
      <c r="L466" s="43"/>
      <c r="M466" s="43"/>
      <c r="N466" s="9"/>
      <c r="O466" s="6"/>
      <c r="P466" s="6"/>
      <c r="Q466" s="42"/>
      <c r="R466" s="42"/>
      <c r="S466" s="6"/>
    </row>
    <row r="467" spans="11:19" x14ac:dyDescent="0.2">
      <c r="K467" s="43"/>
      <c r="L467" s="43"/>
      <c r="M467" s="43"/>
      <c r="N467" s="9"/>
      <c r="O467" s="6"/>
      <c r="P467" s="6"/>
      <c r="Q467" s="42"/>
      <c r="R467" s="42"/>
      <c r="S467" s="6"/>
    </row>
    <row r="468" spans="11:19" x14ac:dyDescent="0.2">
      <c r="K468" s="43"/>
      <c r="L468" s="43"/>
      <c r="M468" s="43"/>
      <c r="N468" s="9"/>
      <c r="O468" s="6"/>
      <c r="P468" s="6"/>
      <c r="Q468" s="42"/>
      <c r="R468" s="42"/>
      <c r="S468" s="6"/>
    </row>
    <row r="469" spans="11:19" x14ac:dyDescent="0.2">
      <c r="K469" s="43"/>
      <c r="L469" s="43"/>
      <c r="M469" s="43"/>
      <c r="N469" s="9"/>
      <c r="O469" s="6"/>
      <c r="P469" s="6"/>
      <c r="Q469" s="42"/>
      <c r="R469" s="42"/>
      <c r="S469" s="6"/>
    </row>
    <row r="470" spans="11:19" x14ac:dyDescent="0.2">
      <c r="K470" s="43"/>
      <c r="L470" s="43"/>
      <c r="M470" s="43"/>
      <c r="N470" s="9"/>
      <c r="O470" s="6"/>
      <c r="P470" s="6"/>
      <c r="Q470" s="42"/>
      <c r="R470" s="42"/>
      <c r="S470" s="6"/>
    </row>
    <row r="471" spans="11:19" x14ac:dyDescent="0.2">
      <c r="K471" s="43"/>
      <c r="L471" s="43"/>
      <c r="M471" s="43"/>
      <c r="N471" s="9"/>
      <c r="O471" s="6"/>
      <c r="P471" s="6"/>
      <c r="Q471" s="42"/>
      <c r="R471" s="42"/>
      <c r="S471" s="6"/>
    </row>
    <row r="472" spans="11:19" x14ac:dyDescent="0.2">
      <c r="K472" s="43"/>
      <c r="L472" s="43"/>
      <c r="M472" s="43"/>
      <c r="N472" s="9"/>
      <c r="O472" s="6"/>
      <c r="P472" s="6"/>
      <c r="Q472" s="42"/>
      <c r="R472" s="42"/>
      <c r="S472" s="6"/>
    </row>
    <row r="473" spans="11:19" x14ac:dyDescent="0.2">
      <c r="K473" s="43"/>
      <c r="L473" s="43"/>
      <c r="M473" s="43"/>
      <c r="N473" s="9"/>
      <c r="O473" s="6"/>
      <c r="P473" s="6"/>
      <c r="Q473" s="42"/>
      <c r="R473" s="42"/>
      <c r="S473" s="6"/>
    </row>
    <row r="474" spans="11:19" x14ac:dyDescent="0.2">
      <c r="K474" s="43"/>
      <c r="L474" s="43"/>
      <c r="M474" s="43"/>
      <c r="N474" s="9"/>
      <c r="O474" s="6"/>
      <c r="P474" s="6"/>
      <c r="Q474" s="42"/>
      <c r="R474" s="42"/>
      <c r="S474" s="6"/>
    </row>
    <row r="475" spans="11:19" x14ac:dyDescent="0.2">
      <c r="K475" s="43"/>
      <c r="L475" s="43"/>
      <c r="M475" s="43"/>
      <c r="N475" s="9"/>
      <c r="O475" s="6"/>
      <c r="P475" s="6"/>
      <c r="Q475" s="42"/>
      <c r="R475" s="42"/>
      <c r="S475" s="6"/>
    </row>
    <row r="476" spans="11:19" x14ac:dyDescent="0.2">
      <c r="K476" s="43"/>
      <c r="L476" s="43"/>
      <c r="M476" s="43"/>
      <c r="N476" s="9"/>
      <c r="O476" s="6"/>
      <c r="P476" s="6"/>
      <c r="Q476" s="42"/>
      <c r="R476" s="42"/>
      <c r="S476" s="6"/>
    </row>
    <row r="477" spans="11:19" x14ac:dyDescent="0.2">
      <c r="K477" s="43"/>
      <c r="L477" s="43"/>
      <c r="M477" s="43"/>
      <c r="N477" s="9"/>
      <c r="O477" s="6"/>
      <c r="P477" s="6"/>
      <c r="Q477" s="42"/>
      <c r="R477" s="42"/>
      <c r="S477" s="6"/>
    </row>
    <row r="478" spans="11:19" x14ac:dyDescent="0.2">
      <c r="K478" s="43"/>
      <c r="L478" s="43"/>
      <c r="M478" s="43"/>
      <c r="N478" s="9"/>
      <c r="O478" s="6"/>
      <c r="P478" s="6"/>
      <c r="Q478" s="42"/>
      <c r="R478" s="42"/>
      <c r="S478" s="6"/>
    </row>
    <row r="479" spans="11:19" x14ac:dyDescent="0.2">
      <c r="K479" s="43"/>
      <c r="L479" s="43"/>
      <c r="M479" s="43"/>
      <c r="N479" s="9"/>
      <c r="O479" s="6"/>
      <c r="P479" s="6"/>
      <c r="Q479" s="42"/>
      <c r="R479" s="42"/>
      <c r="S479" s="6"/>
    </row>
    <row r="480" spans="11:19" x14ac:dyDescent="0.2">
      <c r="K480" s="43"/>
      <c r="L480" s="43"/>
      <c r="M480" s="43"/>
      <c r="N480" s="9"/>
      <c r="O480" s="6"/>
      <c r="P480" s="6"/>
      <c r="Q480" s="42"/>
      <c r="R480" s="42"/>
      <c r="S480" s="6"/>
    </row>
    <row r="481" spans="11:19" x14ac:dyDescent="0.2">
      <c r="K481" s="43"/>
      <c r="L481" s="43"/>
      <c r="M481" s="43"/>
      <c r="N481" s="9"/>
      <c r="O481" s="6"/>
      <c r="P481" s="6"/>
      <c r="Q481" s="42"/>
      <c r="R481" s="42"/>
      <c r="S481" s="6"/>
    </row>
    <row r="482" spans="11:19" x14ac:dyDescent="0.2">
      <c r="K482" s="43"/>
      <c r="L482" s="43"/>
      <c r="M482" s="43"/>
      <c r="N482" s="9"/>
      <c r="O482" s="6"/>
      <c r="P482" s="6"/>
      <c r="Q482" s="42"/>
      <c r="R482" s="42"/>
      <c r="S482" s="6"/>
    </row>
    <row r="483" spans="11:19" x14ac:dyDescent="0.2">
      <c r="K483" s="43"/>
      <c r="L483" s="43"/>
      <c r="M483" s="43"/>
      <c r="N483" s="9"/>
      <c r="O483" s="6"/>
      <c r="P483" s="6"/>
      <c r="Q483" s="42"/>
      <c r="R483" s="42"/>
      <c r="S483" s="6"/>
    </row>
    <row r="484" spans="11:19" x14ac:dyDescent="0.2">
      <c r="K484" s="43"/>
      <c r="L484" s="43"/>
      <c r="M484" s="43"/>
      <c r="N484" s="9"/>
      <c r="O484" s="6"/>
      <c r="P484" s="6"/>
      <c r="Q484" s="42"/>
      <c r="R484" s="42"/>
      <c r="S484" s="6"/>
    </row>
    <row r="485" spans="11:19" x14ac:dyDescent="0.2">
      <c r="K485" s="43"/>
      <c r="L485" s="43"/>
      <c r="M485" s="43"/>
      <c r="N485" s="9"/>
      <c r="O485" s="6"/>
      <c r="P485" s="6"/>
      <c r="Q485" s="42"/>
      <c r="R485" s="42"/>
      <c r="S485" s="6"/>
    </row>
    <row r="486" spans="11:19" x14ac:dyDescent="0.2">
      <c r="K486" s="43"/>
      <c r="L486" s="43"/>
      <c r="M486" s="43"/>
      <c r="N486" s="9"/>
      <c r="O486" s="6"/>
      <c r="P486" s="6"/>
      <c r="Q486" s="42"/>
      <c r="R486" s="42"/>
      <c r="S486" s="6"/>
    </row>
    <row r="487" spans="11:19" x14ac:dyDescent="0.2">
      <c r="K487" s="43"/>
      <c r="L487" s="43"/>
      <c r="M487" s="43"/>
      <c r="N487" s="9"/>
      <c r="O487" s="6"/>
      <c r="P487" s="6"/>
      <c r="Q487" s="42"/>
      <c r="R487" s="42"/>
      <c r="S487" s="6"/>
    </row>
    <row r="488" spans="11:19" x14ac:dyDescent="0.2">
      <c r="K488" s="43"/>
      <c r="L488" s="43"/>
      <c r="M488" s="43"/>
      <c r="N488" s="9"/>
      <c r="O488" s="6"/>
      <c r="P488" s="6"/>
      <c r="Q488" s="42"/>
      <c r="R488" s="42"/>
      <c r="S488" s="6"/>
    </row>
    <row r="489" spans="11:19" x14ac:dyDescent="0.2">
      <c r="K489" s="43"/>
      <c r="L489" s="43"/>
      <c r="M489" s="43"/>
      <c r="N489" s="9"/>
      <c r="O489" s="6"/>
      <c r="P489" s="6"/>
      <c r="Q489" s="42"/>
      <c r="R489" s="42"/>
      <c r="S489" s="6"/>
    </row>
    <row r="490" spans="11:19" x14ac:dyDescent="0.2">
      <c r="K490" s="43"/>
      <c r="L490" s="43"/>
      <c r="M490" s="43"/>
      <c r="N490" s="9"/>
      <c r="O490" s="6"/>
      <c r="P490" s="6"/>
      <c r="Q490" s="42"/>
      <c r="R490" s="42"/>
      <c r="S490" s="6"/>
    </row>
    <row r="491" spans="11:19" x14ac:dyDescent="0.2">
      <c r="K491" s="43"/>
      <c r="L491" s="43"/>
      <c r="M491" s="43"/>
      <c r="N491" s="9"/>
      <c r="O491" s="6"/>
      <c r="P491" s="6"/>
      <c r="Q491" s="42"/>
      <c r="R491" s="42"/>
      <c r="S491" s="6"/>
    </row>
    <row r="492" spans="11:19" x14ac:dyDescent="0.2">
      <c r="K492" s="43"/>
      <c r="L492" s="43"/>
      <c r="M492" s="43"/>
      <c r="N492" s="9"/>
      <c r="O492" s="6"/>
      <c r="P492" s="6"/>
      <c r="Q492" s="42"/>
      <c r="R492" s="42"/>
      <c r="S492" s="6"/>
    </row>
    <row r="493" spans="11:19" x14ac:dyDescent="0.2">
      <c r="K493" s="43"/>
      <c r="L493" s="43"/>
      <c r="M493" s="43"/>
      <c r="N493" s="9"/>
      <c r="O493" s="6"/>
      <c r="P493" s="6"/>
      <c r="Q493" s="42"/>
      <c r="R493" s="42"/>
      <c r="S493" s="6"/>
    </row>
    <row r="494" spans="11:19" x14ac:dyDescent="0.2">
      <c r="K494" s="43"/>
      <c r="L494" s="43"/>
      <c r="M494" s="43"/>
      <c r="N494" s="9"/>
      <c r="O494" s="6"/>
      <c r="P494" s="6"/>
      <c r="Q494" s="42"/>
      <c r="R494" s="42"/>
      <c r="S494" s="6"/>
    </row>
    <row r="495" spans="11:19" x14ac:dyDescent="0.2">
      <c r="K495" s="43"/>
      <c r="L495" s="43"/>
      <c r="M495" s="43"/>
      <c r="N495" s="9"/>
      <c r="O495" s="6"/>
      <c r="P495" s="6"/>
      <c r="Q495" s="42"/>
      <c r="R495" s="42"/>
      <c r="S495" s="6"/>
    </row>
    <row r="496" spans="11:19" x14ac:dyDescent="0.2">
      <c r="K496" s="43"/>
      <c r="L496" s="43"/>
      <c r="M496" s="43"/>
      <c r="N496" s="9"/>
      <c r="O496" s="6"/>
      <c r="P496" s="6"/>
      <c r="Q496" s="42"/>
      <c r="R496" s="42"/>
      <c r="S496" s="6"/>
    </row>
    <row r="497" spans="11:19" x14ac:dyDescent="0.2">
      <c r="K497" s="43"/>
      <c r="L497" s="43"/>
      <c r="M497" s="43"/>
      <c r="N497" s="9"/>
      <c r="O497" s="6"/>
      <c r="P497" s="6"/>
      <c r="Q497" s="42"/>
      <c r="R497" s="42"/>
      <c r="S497" s="6"/>
    </row>
    <row r="498" spans="11:19" x14ac:dyDescent="0.2">
      <c r="K498" s="43"/>
      <c r="L498" s="43"/>
      <c r="M498" s="43"/>
      <c r="N498" s="9"/>
      <c r="O498" s="6"/>
      <c r="P498" s="6"/>
      <c r="Q498" s="42"/>
      <c r="R498" s="42"/>
      <c r="S498" s="6"/>
    </row>
    <row r="499" spans="11:19" x14ac:dyDescent="0.2">
      <c r="K499" s="43"/>
      <c r="L499" s="43"/>
      <c r="M499" s="43"/>
      <c r="N499" s="9"/>
      <c r="O499" s="6"/>
      <c r="P499" s="6"/>
      <c r="Q499" s="42"/>
      <c r="R499" s="42"/>
      <c r="S499" s="6"/>
    </row>
    <row r="500" spans="11:19" x14ac:dyDescent="0.2">
      <c r="K500" s="43"/>
      <c r="L500" s="43"/>
      <c r="M500" s="43"/>
      <c r="N500" s="9"/>
      <c r="O500" s="6"/>
      <c r="P500" s="6"/>
      <c r="Q500" s="42"/>
      <c r="R500" s="42"/>
      <c r="S500" s="6"/>
    </row>
    <row r="501" spans="11:19" x14ac:dyDescent="0.2">
      <c r="K501" s="43"/>
      <c r="L501" s="43"/>
      <c r="M501" s="43"/>
      <c r="N501" s="9"/>
      <c r="O501" s="6"/>
      <c r="P501" s="6"/>
      <c r="Q501" s="42"/>
      <c r="R501" s="42"/>
      <c r="S501" s="6"/>
    </row>
    <row r="502" spans="11:19" x14ac:dyDescent="0.2">
      <c r="K502" s="43"/>
      <c r="L502" s="43"/>
      <c r="M502" s="43"/>
      <c r="N502" s="9"/>
      <c r="O502" s="6"/>
      <c r="P502" s="6"/>
      <c r="Q502" s="42"/>
      <c r="R502" s="42"/>
      <c r="S502" s="6"/>
    </row>
    <row r="503" spans="11:19" x14ac:dyDescent="0.2">
      <c r="K503" s="43"/>
      <c r="L503" s="43"/>
      <c r="M503" s="43"/>
      <c r="N503" s="9"/>
      <c r="O503" s="6"/>
      <c r="P503" s="6"/>
      <c r="Q503" s="42"/>
      <c r="R503" s="42"/>
      <c r="S503" s="6"/>
    </row>
    <row r="504" spans="11:19" x14ac:dyDescent="0.2">
      <c r="K504" s="43"/>
      <c r="L504" s="43"/>
      <c r="M504" s="43"/>
      <c r="N504" s="9"/>
      <c r="O504" s="6"/>
      <c r="P504" s="6"/>
      <c r="Q504" s="42"/>
      <c r="R504" s="42"/>
      <c r="S504" s="6"/>
    </row>
    <row r="505" spans="11:19" x14ac:dyDescent="0.2">
      <c r="K505" s="43"/>
      <c r="L505" s="43"/>
      <c r="M505" s="43"/>
      <c r="N505" s="9"/>
      <c r="O505" s="6"/>
      <c r="P505" s="6"/>
      <c r="Q505" s="42"/>
      <c r="R505" s="42"/>
      <c r="S505" s="6"/>
    </row>
    <row r="506" spans="11:19" x14ac:dyDescent="0.2">
      <c r="K506" s="43"/>
      <c r="L506" s="43"/>
      <c r="M506" s="43"/>
      <c r="N506" s="9"/>
      <c r="O506" s="6"/>
      <c r="P506" s="6"/>
      <c r="Q506" s="42"/>
      <c r="R506" s="42"/>
      <c r="S506" s="6"/>
    </row>
    <row r="507" spans="11:19" x14ac:dyDescent="0.2">
      <c r="K507" s="43"/>
      <c r="L507" s="43"/>
      <c r="M507" s="43"/>
      <c r="N507" s="9"/>
      <c r="O507" s="6"/>
      <c r="P507" s="6"/>
      <c r="Q507" s="42"/>
      <c r="R507" s="42"/>
      <c r="S507" s="6"/>
    </row>
    <row r="508" spans="11:19" x14ac:dyDescent="0.2">
      <c r="K508" s="43"/>
      <c r="L508" s="43"/>
      <c r="M508" s="43"/>
      <c r="N508" s="9"/>
      <c r="O508" s="6"/>
      <c r="P508" s="6"/>
      <c r="Q508" s="42"/>
      <c r="R508" s="42"/>
      <c r="S508" s="6"/>
    </row>
    <row r="509" spans="11:19" x14ac:dyDescent="0.2">
      <c r="K509" s="43"/>
      <c r="L509" s="43"/>
      <c r="M509" s="43"/>
      <c r="N509" s="9"/>
      <c r="O509" s="6"/>
      <c r="P509" s="6"/>
      <c r="Q509" s="42"/>
      <c r="R509" s="42"/>
      <c r="S509" s="6"/>
    </row>
    <row r="510" spans="11:19" x14ac:dyDescent="0.2">
      <c r="K510" s="43"/>
      <c r="L510" s="43"/>
      <c r="M510" s="43"/>
      <c r="N510" s="9"/>
      <c r="O510" s="6"/>
      <c r="P510" s="6"/>
      <c r="Q510" s="42"/>
      <c r="R510" s="42"/>
      <c r="S510" s="6"/>
    </row>
    <row r="511" spans="11:19" x14ac:dyDescent="0.2">
      <c r="K511" s="43"/>
      <c r="L511" s="43"/>
      <c r="M511" s="43"/>
      <c r="N511" s="9"/>
      <c r="O511" s="6"/>
      <c r="P511" s="6"/>
      <c r="Q511" s="42"/>
      <c r="R511" s="42"/>
      <c r="S511" s="6"/>
    </row>
    <row r="512" spans="11:19" x14ac:dyDescent="0.2">
      <c r="K512" s="43"/>
      <c r="L512" s="43"/>
      <c r="M512" s="43"/>
      <c r="N512" s="9"/>
      <c r="O512" s="6"/>
      <c r="P512" s="6"/>
      <c r="Q512" s="42"/>
      <c r="R512" s="42"/>
      <c r="S512" s="6"/>
    </row>
    <row r="513" spans="11:19" x14ac:dyDescent="0.2">
      <c r="K513" s="43"/>
      <c r="L513" s="43"/>
      <c r="M513" s="43"/>
      <c r="N513" s="9"/>
      <c r="O513" s="6"/>
      <c r="P513" s="6"/>
      <c r="Q513" s="42"/>
      <c r="R513" s="42"/>
      <c r="S513" s="6"/>
    </row>
    <row r="514" spans="11:19" x14ac:dyDescent="0.2">
      <c r="K514" s="43"/>
      <c r="L514" s="43"/>
      <c r="M514" s="43"/>
      <c r="N514" s="9"/>
      <c r="O514" s="6"/>
      <c r="P514" s="6"/>
      <c r="Q514" s="42"/>
      <c r="R514" s="42"/>
      <c r="S514" s="6"/>
    </row>
    <row r="515" spans="11:19" x14ac:dyDescent="0.2">
      <c r="K515" s="43"/>
      <c r="L515" s="43"/>
      <c r="M515" s="43"/>
      <c r="N515" s="9"/>
      <c r="O515" s="6"/>
      <c r="P515" s="6"/>
      <c r="Q515" s="42"/>
      <c r="R515" s="42"/>
      <c r="S515" s="6"/>
    </row>
    <row r="516" spans="11:19" x14ac:dyDescent="0.2">
      <c r="K516" s="43"/>
      <c r="L516" s="43"/>
      <c r="M516" s="43"/>
      <c r="N516" s="9"/>
      <c r="O516" s="6"/>
      <c r="P516" s="6"/>
      <c r="Q516" s="42"/>
      <c r="R516" s="42"/>
      <c r="S516" s="6"/>
    </row>
    <row r="517" spans="11:19" x14ac:dyDescent="0.2">
      <c r="K517" s="43"/>
      <c r="L517" s="43"/>
      <c r="M517" s="43"/>
      <c r="N517" s="9"/>
      <c r="O517" s="6"/>
      <c r="P517" s="6"/>
      <c r="Q517" s="42"/>
      <c r="R517" s="42"/>
      <c r="S517" s="6"/>
    </row>
    <row r="518" spans="11:19" x14ac:dyDescent="0.2">
      <c r="K518" s="43"/>
      <c r="L518" s="43"/>
      <c r="M518" s="43"/>
      <c r="N518" s="9"/>
      <c r="O518" s="6"/>
      <c r="P518" s="6"/>
      <c r="Q518" s="42"/>
      <c r="R518" s="42"/>
      <c r="S518" s="6"/>
    </row>
    <row r="519" spans="11:19" x14ac:dyDescent="0.2">
      <c r="K519" s="43"/>
      <c r="L519" s="43"/>
      <c r="M519" s="43"/>
      <c r="N519" s="9"/>
      <c r="O519" s="6"/>
      <c r="P519" s="6"/>
      <c r="Q519" s="42"/>
      <c r="R519" s="42"/>
      <c r="S519" s="6"/>
    </row>
    <row r="520" spans="11:19" x14ac:dyDescent="0.2">
      <c r="K520" s="43"/>
      <c r="L520" s="43"/>
      <c r="M520" s="43"/>
      <c r="N520" s="9"/>
      <c r="O520" s="6"/>
      <c r="P520" s="6"/>
      <c r="Q520" s="42"/>
      <c r="R520" s="42"/>
      <c r="S520" s="6"/>
    </row>
    <row r="521" spans="11:19" x14ac:dyDescent="0.2">
      <c r="K521" s="43"/>
      <c r="L521" s="43"/>
      <c r="M521" s="43"/>
      <c r="N521" s="9"/>
      <c r="O521" s="6"/>
      <c r="P521" s="6"/>
      <c r="Q521" s="42"/>
      <c r="R521" s="42"/>
      <c r="S521" s="6"/>
    </row>
    <row r="522" spans="11:19" x14ac:dyDescent="0.2">
      <c r="K522" s="43"/>
      <c r="L522" s="43"/>
      <c r="M522" s="43"/>
      <c r="N522" s="9"/>
      <c r="O522" s="6"/>
      <c r="P522" s="6"/>
      <c r="Q522" s="42"/>
      <c r="R522" s="42"/>
      <c r="S522" s="6"/>
    </row>
    <row r="523" spans="11:19" x14ac:dyDescent="0.2">
      <c r="K523" s="43"/>
      <c r="L523" s="43"/>
      <c r="M523" s="43"/>
      <c r="N523" s="9"/>
      <c r="O523" s="6"/>
      <c r="P523" s="6"/>
      <c r="Q523" s="42"/>
      <c r="R523" s="42"/>
      <c r="S523" s="6"/>
    </row>
    <row r="524" spans="11:19" x14ac:dyDescent="0.2">
      <c r="K524" s="43"/>
      <c r="L524" s="43"/>
      <c r="M524" s="43"/>
      <c r="N524" s="9"/>
      <c r="O524" s="6"/>
      <c r="P524" s="6"/>
      <c r="Q524" s="42"/>
      <c r="R524" s="42"/>
      <c r="S524" s="6"/>
    </row>
    <row r="525" spans="11:19" x14ac:dyDescent="0.2">
      <c r="K525" s="43"/>
      <c r="L525" s="43"/>
      <c r="M525" s="43"/>
      <c r="N525" s="9"/>
      <c r="O525" s="6"/>
      <c r="P525" s="6"/>
      <c r="Q525" s="42"/>
      <c r="R525" s="42"/>
      <c r="S525" s="6"/>
    </row>
    <row r="526" spans="11:19" x14ac:dyDescent="0.2">
      <c r="K526" s="43"/>
      <c r="L526" s="43"/>
      <c r="M526" s="43"/>
      <c r="N526" s="9"/>
      <c r="O526" s="6"/>
      <c r="P526" s="6"/>
      <c r="Q526" s="42"/>
      <c r="R526" s="42"/>
      <c r="S526" s="6"/>
    </row>
    <row r="527" spans="11:19" x14ac:dyDescent="0.2">
      <c r="K527" s="43"/>
      <c r="L527" s="43"/>
      <c r="M527" s="43"/>
      <c r="N527" s="9"/>
      <c r="O527" s="6"/>
      <c r="P527" s="6"/>
      <c r="Q527" s="42"/>
      <c r="R527" s="42"/>
      <c r="S527" s="6"/>
    </row>
    <row r="528" spans="11:19" x14ac:dyDescent="0.2">
      <c r="K528" s="43"/>
      <c r="L528" s="43"/>
      <c r="M528" s="43"/>
      <c r="N528" s="9"/>
      <c r="O528" s="6"/>
      <c r="P528" s="6"/>
      <c r="Q528" s="42"/>
      <c r="R528" s="42"/>
      <c r="S528" s="6"/>
    </row>
    <row r="529" spans="11:19" x14ac:dyDescent="0.2">
      <c r="K529" s="43"/>
      <c r="L529" s="43"/>
      <c r="M529" s="43"/>
      <c r="N529" s="9"/>
      <c r="O529" s="6"/>
      <c r="P529" s="6"/>
      <c r="Q529" s="42"/>
      <c r="R529" s="42"/>
      <c r="S529" s="6"/>
    </row>
    <row r="530" spans="11:19" x14ac:dyDescent="0.2">
      <c r="K530" s="43"/>
      <c r="L530" s="43"/>
      <c r="M530" s="43"/>
      <c r="N530" s="9"/>
      <c r="O530" s="6"/>
      <c r="P530" s="6"/>
      <c r="Q530" s="42"/>
      <c r="R530" s="42"/>
      <c r="S530" s="6"/>
    </row>
    <row r="531" spans="11:19" x14ac:dyDescent="0.2">
      <c r="K531" s="43"/>
      <c r="L531" s="43"/>
      <c r="M531" s="43"/>
      <c r="N531" s="9"/>
      <c r="O531" s="6"/>
      <c r="P531" s="6"/>
      <c r="Q531" s="42"/>
      <c r="R531" s="42"/>
      <c r="S531" s="6"/>
    </row>
    <row r="532" spans="11:19" x14ac:dyDescent="0.2">
      <c r="K532" s="43"/>
      <c r="L532" s="43"/>
      <c r="M532" s="43"/>
      <c r="N532" s="9"/>
      <c r="O532" s="6"/>
      <c r="P532" s="6"/>
      <c r="Q532" s="42"/>
      <c r="R532" s="42"/>
      <c r="S532" s="6"/>
    </row>
    <row r="533" spans="11:19" x14ac:dyDescent="0.2">
      <c r="K533" s="43"/>
      <c r="L533" s="43"/>
      <c r="M533" s="43"/>
      <c r="N533" s="9"/>
      <c r="O533" s="6"/>
      <c r="P533" s="6"/>
      <c r="Q533" s="42"/>
      <c r="R533" s="42"/>
      <c r="S533" s="6"/>
    </row>
    <row r="534" spans="11:19" x14ac:dyDescent="0.2">
      <c r="K534" s="43"/>
      <c r="L534" s="43"/>
      <c r="M534" s="43"/>
      <c r="N534" s="9"/>
      <c r="O534" s="6"/>
      <c r="P534" s="6"/>
      <c r="Q534" s="42"/>
      <c r="R534" s="42"/>
      <c r="S534" s="6"/>
    </row>
    <row r="535" spans="11:19" x14ac:dyDescent="0.2">
      <c r="K535" s="43"/>
      <c r="L535" s="43"/>
      <c r="M535" s="43"/>
      <c r="N535" s="9"/>
      <c r="O535" s="6"/>
      <c r="P535" s="6"/>
      <c r="Q535" s="42"/>
      <c r="R535" s="42"/>
      <c r="S535" s="6"/>
    </row>
    <row r="536" spans="11:19" x14ac:dyDescent="0.2">
      <c r="K536" s="43"/>
      <c r="L536" s="43"/>
      <c r="M536" s="43"/>
      <c r="N536" s="9"/>
      <c r="O536" s="6"/>
      <c r="P536" s="6"/>
      <c r="Q536" s="42"/>
      <c r="R536" s="42"/>
      <c r="S536" s="6"/>
    </row>
    <row r="537" spans="11:19" x14ac:dyDescent="0.2">
      <c r="K537" s="43"/>
      <c r="L537" s="43"/>
      <c r="M537" s="43"/>
      <c r="N537" s="9"/>
      <c r="O537" s="6"/>
      <c r="P537" s="6"/>
      <c r="Q537" s="42"/>
      <c r="R537" s="42"/>
      <c r="S537" s="6"/>
    </row>
    <row r="538" spans="11:19" x14ac:dyDescent="0.2">
      <c r="K538" s="43"/>
      <c r="L538" s="43"/>
      <c r="M538" s="43"/>
      <c r="N538" s="9"/>
      <c r="O538" s="6"/>
      <c r="P538" s="6"/>
      <c r="Q538" s="42"/>
      <c r="R538" s="42"/>
      <c r="S538" s="6"/>
    </row>
    <row r="539" spans="11:19" x14ac:dyDescent="0.2">
      <c r="K539" s="43"/>
      <c r="L539" s="43"/>
      <c r="M539" s="43"/>
      <c r="N539" s="9"/>
      <c r="O539" s="6"/>
      <c r="P539" s="6"/>
      <c r="Q539" s="42"/>
      <c r="R539" s="42"/>
      <c r="S539" s="6"/>
    </row>
    <row r="540" spans="11:19" x14ac:dyDescent="0.2">
      <c r="K540" s="43"/>
      <c r="L540" s="43"/>
      <c r="M540" s="43"/>
      <c r="N540" s="9"/>
      <c r="O540" s="6"/>
      <c r="P540" s="6"/>
      <c r="Q540" s="42"/>
      <c r="R540" s="42"/>
      <c r="S540" s="6"/>
    </row>
    <row r="541" spans="11:19" x14ac:dyDescent="0.2">
      <c r="K541" s="43"/>
      <c r="L541" s="43"/>
      <c r="M541" s="43"/>
      <c r="N541" s="9"/>
      <c r="O541" s="6"/>
      <c r="P541" s="6"/>
      <c r="Q541" s="42"/>
      <c r="R541" s="42"/>
      <c r="S541" s="6"/>
    </row>
    <row r="542" spans="11:19" x14ac:dyDescent="0.2">
      <c r="K542" s="43"/>
      <c r="L542" s="43"/>
      <c r="M542" s="43"/>
      <c r="N542" s="9"/>
      <c r="O542" s="6"/>
      <c r="P542" s="6"/>
      <c r="Q542" s="42"/>
      <c r="R542" s="42"/>
      <c r="S542" s="6"/>
    </row>
    <row r="543" spans="11:19" x14ac:dyDescent="0.2">
      <c r="K543" s="43"/>
      <c r="L543" s="43"/>
      <c r="M543" s="43"/>
      <c r="N543" s="9"/>
      <c r="O543" s="6"/>
      <c r="P543" s="6"/>
      <c r="Q543" s="42"/>
      <c r="R543" s="42"/>
      <c r="S543" s="6"/>
    </row>
    <row r="544" spans="11:19" x14ac:dyDescent="0.2">
      <c r="K544" s="43"/>
      <c r="L544" s="43"/>
      <c r="M544" s="43"/>
      <c r="N544" s="9"/>
      <c r="O544" s="6"/>
      <c r="P544" s="6"/>
      <c r="Q544" s="42"/>
      <c r="R544" s="42"/>
      <c r="S544" s="6"/>
    </row>
    <row r="545" spans="11:19" x14ac:dyDescent="0.2">
      <c r="K545" s="43"/>
      <c r="L545" s="43"/>
      <c r="M545" s="43"/>
      <c r="N545" s="9"/>
      <c r="O545" s="6"/>
      <c r="P545" s="6"/>
      <c r="Q545" s="42"/>
      <c r="R545" s="42"/>
      <c r="S545" s="6"/>
    </row>
    <row r="546" spans="11:19" x14ac:dyDescent="0.2">
      <c r="K546" s="43"/>
      <c r="L546" s="43"/>
      <c r="M546" s="43"/>
      <c r="N546" s="9"/>
      <c r="O546" s="6"/>
      <c r="P546" s="6"/>
      <c r="Q546" s="42"/>
      <c r="R546" s="42"/>
      <c r="S546" s="6"/>
    </row>
    <row r="547" spans="11:19" x14ac:dyDescent="0.2">
      <c r="K547" s="43"/>
      <c r="L547" s="43"/>
      <c r="M547" s="43"/>
      <c r="N547" s="9"/>
      <c r="O547" s="6"/>
      <c r="P547" s="6"/>
      <c r="Q547" s="42"/>
      <c r="R547" s="42"/>
      <c r="S547" s="6"/>
    </row>
    <row r="548" spans="11:19" x14ac:dyDescent="0.2">
      <c r="K548" s="43"/>
      <c r="L548" s="43"/>
      <c r="M548" s="43"/>
      <c r="N548" s="9"/>
      <c r="O548" s="6"/>
      <c r="P548" s="6"/>
      <c r="Q548" s="42"/>
      <c r="R548" s="42"/>
      <c r="S548" s="6"/>
    </row>
    <row r="549" spans="11:19" x14ac:dyDescent="0.2">
      <c r="K549" s="43"/>
      <c r="L549" s="43"/>
      <c r="M549" s="43"/>
      <c r="N549" s="9"/>
      <c r="O549" s="6"/>
      <c r="P549" s="6"/>
      <c r="Q549" s="42"/>
      <c r="R549" s="42"/>
      <c r="S549" s="6"/>
    </row>
    <row r="550" spans="11:19" x14ac:dyDescent="0.2">
      <c r="K550" s="43"/>
      <c r="L550" s="43"/>
      <c r="M550" s="43"/>
      <c r="N550" s="9"/>
      <c r="O550" s="6"/>
      <c r="P550" s="6"/>
      <c r="Q550" s="42"/>
      <c r="R550" s="42"/>
      <c r="S550" s="6"/>
    </row>
    <row r="551" spans="11:19" x14ac:dyDescent="0.2">
      <c r="K551" s="43"/>
      <c r="L551" s="43"/>
      <c r="M551" s="43"/>
      <c r="N551" s="9"/>
      <c r="O551" s="6"/>
      <c r="P551" s="6"/>
      <c r="Q551" s="42"/>
      <c r="R551" s="42"/>
      <c r="S551" s="6"/>
    </row>
    <row r="552" spans="11:19" x14ac:dyDescent="0.2">
      <c r="K552" s="43"/>
      <c r="L552" s="43"/>
      <c r="M552" s="43"/>
      <c r="N552" s="9"/>
      <c r="O552" s="6"/>
      <c r="P552" s="6"/>
      <c r="Q552" s="42"/>
      <c r="R552" s="42"/>
      <c r="S552" s="6"/>
    </row>
    <row r="553" spans="11:19" x14ac:dyDescent="0.2">
      <c r="K553" s="43"/>
      <c r="L553" s="43"/>
      <c r="M553" s="43"/>
      <c r="N553" s="9"/>
      <c r="O553" s="6"/>
      <c r="P553" s="6"/>
      <c r="Q553" s="42"/>
      <c r="R553" s="42"/>
      <c r="S553" s="6"/>
    </row>
    <row r="554" spans="11:19" x14ac:dyDescent="0.2">
      <c r="K554" s="43"/>
      <c r="L554" s="43"/>
      <c r="M554" s="43"/>
      <c r="N554" s="9"/>
      <c r="O554" s="6"/>
      <c r="P554" s="6"/>
      <c r="Q554" s="42"/>
      <c r="R554" s="42"/>
      <c r="S554" s="6"/>
    </row>
    <row r="555" spans="11:19" x14ac:dyDescent="0.2">
      <c r="K555" s="43"/>
      <c r="L555" s="43"/>
      <c r="M555" s="43"/>
      <c r="N555" s="9"/>
      <c r="O555" s="6"/>
      <c r="P555" s="6"/>
      <c r="Q555" s="42"/>
      <c r="R555" s="42"/>
      <c r="S555" s="6"/>
    </row>
    <row r="556" spans="11:19" x14ac:dyDescent="0.2">
      <c r="K556" s="43"/>
      <c r="L556" s="43"/>
      <c r="M556" s="43"/>
      <c r="N556" s="9"/>
      <c r="O556" s="6"/>
      <c r="P556" s="6"/>
      <c r="Q556" s="42"/>
      <c r="R556" s="42"/>
      <c r="S556" s="6"/>
    </row>
    <row r="557" spans="11:19" x14ac:dyDescent="0.2">
      <c r="K557" s="43"/>
      <c r="L557" s="43"/>
      <c r="M557" s="43"/>
      <c r="N557" s="9"/>
      <c r="O557" s="6"/>
      <c r="P557" s="6"/>
      <c r="Q557" s="42"/>
      <c r="R557" s="42"/>
      <c r="S557" s="6"/>
    </row>
    <row r="558" spans="11:19" x14ac:dyDescent="0.2">
      <c r="K558" s="43"/>
      <c r="L558" s="43"/>
      <c r="M558" s="43"/>
      <c r="N558" s="9"/>
      <c r="O558" s="6"/>
      <c r="P558" s="6"/>
      <c r="Q558" s="42"/>
      <c r="R558" s="42"/>
      <c r="S558" s="6"/>
    </row>
    <row r="559" spans="11:19" x14ac:dyDescent="0.2">
      <c r="K559" s="43"/>
      <c r="L559" s="43"/>
      <c r="M559" s="43"/>
      <c r="N559" s="9"/>
      <c r="O559" s="6"/>
      <c r="P559" s="6"/>
      <c r="Q559" s="42"/>
      <c r="R559" s="42"/>
      <c r="S559" s="6"/>
    </row>
    <row r="560" spans="11:19" x14ac:dyDescent="0.2">
      <c r="K560" s="43"/>
      <c r="L560" s="43"/>
      <c r="M560" s="43"/>
      <c r="N560" s="9"/>
      <c r="O560" s="6"/>
      <c r="P560" s="6"/>
      <c r="Q560" s="42"/>
      <c r="R560" s="42"/>
      <c r="S560" s="6"/>
    </row>
    <row r="561" spans="11:19" x14ac:dyDescent="0.2">
      <c r="K561" s="43"/>
      <c r="L561" s="43"/>
      <c r="M561" s="43"/>
      <c r="N561" s="9"/>
      <c r="O561" s="6"/>
      <c r="P561" s="6"/>
      <c r="Q561" s="42"/>
      <c r="R561" s="42"/>
      <c r="S561" s="6"/>
    </row>
    <row r="562" spans="11:19" x14ac:dyDescent="0.2">
      <c r="K562" s="43"/>
      <c r="L562" s="43"/>
      <c r="M562" s="43"/>
      <c r="N562" s="9"/>
      <c r="O562" s="6"/>
      <c r="P562" s="6"/>
      <c r="Q562" s="42"/>
      <c r="R562" s="42"/>
      <c r="S562" s="6"/>
    </row>
    <row r="563" spans="11:19" x14ac:dyDescent="0.2">
      <c r="K563" s="43"/>
      <c r="L563" s="43"/>
      <c r="M563" s="43"/>
      <c r="N563" s="9"/>
      <c r="O563" s="6"/>
      <c r="P563" s="6"/>
      <c r="Q563" s="42"/>
      <c r="R563" s="42"/>
      <c r="S563" s="6"/>
    </row>
    <row r="564" spans="11:19" x14ac:dyDescent="0.2">
      <c r="K564" s="43"/>
      <c r="L564" s="43"/>
      <c r="M564" s="43"/>
      <c r="N564" s="9"/>
      <c r="O564" s="6"/>
      <c r="P564" s="6"/>
      <c r="Q564" s="42"/>
      <c r="R564" s="42"/>
      <c r="S564" s="6"/>
    </row>
    <row r="565" spans="11:19" x14ac:dyDescent="0.2">
      <c r="K565" s="43"/>
      <c r="L565" s="43"/>
      <c r="M565" s="43"/>
      <c r="N565" s="9"/>
      <c r="O565" s="6"/>
      <c r="P565" s="6"/>
      <c r="Q565" s="42"/>
      <c r="R565" s="42"/>
      <c r="S565" s="6"/>
    </row>
    <row r="566" spans="11:19" x14ac:dyDescent="0.2">
      <c r="K566" s="43"/>
      <c r="L566" s="43"/>
      <c r="M566" s="43"/>
      <c r="N566" s="9"/>
      <c r="O566" s="6"/>
      <c r="P566" s="6"/>
      <c r="Q566" s="42"/>
      <c r="R566" s="42"/>
      <c r="S566" s="6"/>
    </row>
    <row r="567" spans="11:19" x14ac:dyDescent="0.2">
      <c r="K567" s="43"/>
      <c r="L567" s="43"/>
      <c r="M567" s="43"/>
      <c r="N567" s="9"/>
      <c r="O567" s="6"/>
      <c r="P567" s="6"/>
      <c r="Q567" s="42"/>
      <c r="R567" s="42"/>
      <c r="S567" s="6"/>
    </row>
    <row r="568" spans="11:19" x14ac:dyDescent="0.2">
      <c r="K568" s="43"/>
      <c r="L568" s="43"/>
      <c r="M568" s="43"/>
      <c r="N568" s="9"/>
      <c r="O568" s="6"/>
      <c r="P568" s="6"/>
      <c r="Q568" s="42"/>
      <c r="R568" s="42"/>
      <c r="S568" s="6"/>
    </row>
    <row r="569" spans="11:19" x14ac:dyDescent="0.2">
      <c r="K569" s="43"/>
      <c r="L569" s="43"/>
      <c r="M569" s="43"/>
      <c r="N569" s="9"/>
      <c r="O569" s="6"/>
      <c r="P569" s="6"/>
      <c r="Q569" s="42"/>
      <c r="R569" s="42"/>
      <c r="S569" s="6"/>
    </row>
    <row r="570" spans="11:19" x14ac:dyDescent="0.2">
      <c r="K570" s="43"/>
      <c r="L570" s="43"/>
      <c r="M570" s="43"/>
      <c r="N570" s="9"/>
      <c r="O570" s="6"/>
      <c r="P570" s="6"/>
      <c r="Q570" s="42"/>
      <c r="R570" s="42"/>
      <c r="S570" s="6"/>
    </row>
    <row r="571" spans="11:19" x14ac:dyDescent="0.2">
      <c r="K571" s="43"/>
      <c r="L571" s="43"/>
      <c r="M571" s="43"/>
      <c r="N571" s="9"/>
      <c r="O571" s="6"/>
      <c r="P571" s="6"/>
      <c r="Q571" s="42"/>
      <c r="R571" s="42"/>
      <c r="S571" s="6"/>
    </row>
    <row r="572" spans="11:19" x14ac:dyDescent="0.2">
      <c r="K572" s="43"/>
      <c r="L572" s="43"/>
      <c r="M572" s="43"/>
      <c r="N572" s="9"/>
      <c r="O572" s="6"/>
      <c r="P572" s="6"/>
      <c r="Q572" s="42"/>
      <c r="R572" s="42"/>
      <c r="S572" s="6"/>
    </row>
    <row r="573" spans="11:19" x14ac:dyDescent="0.2">
      <c r="K573" s="43"/>
      <c r="L573" s="43"/>
      <c r="M573" s="43"/>
      <c r="N573" s="9"/>
      <c r="O573" s="6"/>
      <c r="P573" s="6"/>
      <c r="Q573" s="42"/>
      <c r="R573" s="42"/>
      <c r="S573" s="6"/>
    </row>
    <row r="574" spans="11:19" x14ac:dyDescent="0.2">
      <c r="K574" s="43"/>
      <c r="L574" s="43"/>
      <c r="M574" s="43"/>
      <c r="N574" s="9"/>
      <c r="O574" s="6"/>
      <c r="P574" s="6"/>
      <c r="Q574" s="42"/>
      <c r="R574" s="42"/>
      <c r="S574" s="6"/>
    </row>
    <row r="575" spans="11:19" x14ac:dyDescent="0.2">
      <c r="K575" s="43"/>
      <c r="L575" s="43"/>
      <c r="M575" s="43"/>
      <c r="N575" s="9"/>
      <c r="O575" s="6"/>
      <c r="P575" s="6"/>
      <c r="Q575" s="42"/>
      <c r="R575" s="42"/>
      <c r="S575" s="6"/>
    </row>
    <row r="576" spans="11:19" x14ac:dyDescent="0.2">
      <c r="K576" s="43"/>
      <c r="L576" s="43"/>
      <c r="M576" s="43"/>
      <c r="N576" s="9"/>
      <c r="O576" s="6"/>
      <c r="P576" s="6"/>
      <c r="Q576" s="42"/>
      <c r="R576" s="42"/>
      <c r="S576" s="6"/>
    </row>
    <row r="577" spans="11:19" x14ac:dyDescent="0.2">
      <c r="K577" s="43"/>
      <c r="L577" s="43"/>
      <c r="M577" s="43"/>
      <c r="N577" s="9"/>
      <c r="O577" s="6"/>
      <c r="P577" s="6"/>
      <c r="Q577" s="42"/>
      <c r="R577" s="42"/>
      <c r="S577" s="6"/>
    </row>
    <row r="578" spans="11:19" x14ac:dyDescent="0.2">
      <c r="K578" s="43"/>
      <c r="L578" s="43"/>
      <c r="M578" s="43"/>
      <c r="N578" s="9"/>
      <c r="O578" s="6"/>
      <c r="P578" s="6"/>
      <c r="Q578" s="42"/>
      <c r="R578" s="42"/>
      <c r="S578" s="6"/>
    </row>
    <row r="579" spans="11:19" x14ac:dyDescent="0.2">
      <c r="K579" s="43"/>
      <c r="L579" s="43"/>
      <c r="M579" s="43"/>
      <c r="N579" s="9"/>
      <c r="O579" s="6"/>
      <c r="P579" s="6"/>
      <c r="Q579" s="42"/>
      <c r="R579" s="42"/>
      <c r="S579" s="6"/>
    </row>
    <row r="580" spans="11:19" x14ac:dyDescent="0.2">
      <c r="K580" s="43"/>
      <c r="L580" s="43"/>
      <c r="M580" s="43"/>
      <c r="N580" s="9"/>
      <c r="O580" s="6"/>
      <c r="P580" s="6"/>
      <c r="Q580" s="42"/>
      <c r="R580" s="42"/>
      <c r="S580" s="6"/>
    </row>
    <row r="581" spans="11:19" x14ac:dyDescent="0.2">
      <c r="K581" s="43"/>
      <c r="L581" s="43"/>
      <c r="M581" s="43"/>
      <c r="N581" s="9"/>
      <c r="O581" s="6"/>
      <c r="P581" s="6"/>
      <c r="Q581" s="42"/>
      <c r="R581" s="42"/>
      <c r="S581" s="6"/>
    </row>
    <row r="582" spans="11:19" x14ac:dyDescent="0.2">
      <c r="K582" s="43"/>
      <c r="L582" s="43"/>
      <c r="M582" s="43"/>
      <c r="N582" s="9"/>
      <c r="O582" s="6"/>
      <c r="P582" s="6"/>
      <c r="Q582" s="42"/>
      <c r="R582" s="42"/>
      <c r="S582" s="6"/>
    </row>
    <row r="583" spans="11:19" x14ac:dyDescent="0.2">
      <c r="K583" s="43"/>
      <c r="L583" s="43"/>
      <c r="M583" s="43"/>
      <c r="N583" s="9"/>
      <c r="O583" s="6"/>
      <c r="P583" s="6"/>
      <c r="Q583" s="42"/>
      <c r="R583" s="42"/>
      <c r="S583" s="6"/>
    </row>
    <row r="584" spans="11:19" x14ac:dyDescent="0.2">
      <c r="K584" s="43"/>
      <c r="L584" s="43"/>
      <c r="M584" s="43"/>
      <c r="N584" s="9"/>
      <c r="O584" s="6"/>
      <c r="P584" s="6"/>
      <c r="Q584" s="42"/>
      <c r="R584" s="42"/>
      <c r="S584" s="6"/>
    </row>
    <row r="585" spans="11:19" x14ac:dyDescent="0.2">
      <c r="K585" s="43"/>
      <c r="L585" s="43"/>
      <c r="M585" s="43"/>
      <c r="N585" s="9"/>
      <c r="O585" s="6"/>
      <c r="P585" s="6"/>
      <c r="Q585" s="42"/>
      <c r="R585" s="42"/>
      <c r="S585" s="6"/>
    </row>
    <row r="586" spans="11:19" x14ac:dyDescent="0.2">
      <c r="K586" s="43"/>
      <c r="L586" s="43"/>
      <c r="M586" s="43"/>
      <c r="N586" s="9"/>
      <c r="O586" s="6"/>
      <c r="P586" s="6"/>
      <c r="Q586" s="42"/>
      <c r="R586" s="42"/>
      <c r="S586" s="6"/>
    </row>
    <row r="587" spans="11:19" x14ac:dyDescent="0.2">
      <c r="K587" s="43"/>
      <c r="L587" s="43"/>
      <c r="M587" s="43"/>
      <c r="N587" s="9"/>
      <c r="O587" s="6"/>
      <c r="P587" s="6"/>
      <c r="Q587" s="42"/>
      <c r="R587" s="42"/>
      <c r="S587" s="6"/>
    </row>
    <row r="588" spans="11:19" x14ac:dyDescent="0.2">
      <c r="K588" s="43"/>
      <c r="L588" s="43"/>
      <c r="M588" s="43"/>
      <c r="N588" s="9"/>
      <c r="O588" s="6"/>
      <c r="P588" s="6"/>
      <c r="Q588" s="42"/>
      <c r="R588" s="42"/>
      <c r="S588" s="6"/>
    </row>
    <row r="589" spans="11:19" x14ac:dyDescent="0.2">
      <c r="K589" s="43"/>
      <c r="L589" s="43"/>
      <c r="M589" s="43"/>
      <c r="N589" s="9"/>
      <c r="O589" s="6"/>
      <c r="P589" s="6"/>
      <c r="Q589" s="42"/>
      <c r="R589" s="42"/>
      <c r="S589" s="6"/>
    </row>
    <row r="590" spans="11:19" x14ac:dyDescent="0.2">
      <c r="K590" s="43"/>
      <c r="L590" s="43"/>
      <c r="M590" s="43"/>
      <c r="N590" s="9"/>
      <c r="O590" s="6"/>
      <c r="P590" s="6"/>
      <c r="Q590" s="42"/>
      <c r="R590" s="42"/>
      <c r="S590" s="6"/>
    </row>
    <row r="591" spans="11:19" x14ac:dyDescent="0.2">
      <c r="K591" s="43"/>
      <c r="L591" s="43"/>
      <c r="M591" s="43"/>
      <c r="N591" s="9"/>
      <c r="O591" s="6"/>
      <c r="P591" s="6"/>
      <c r="Q591" s="42"/>
      <c r="R591" s="42"/>
      <c r="S591" s="6"/>
    </row>
    <row r="592" spans="11:19" x14ac:dyDescent="0.2">
      <c r="K592" s="43"/>
      <c r="L592" s="43"/>
      <c r="M592" s="43"/>
      <c r="N592" s="9"/>
      <c r="O592" s="6"/>
      <c r="P592" s="6"/>
      <c r="Q592" s="42"/>
      <c r="R592" s="42"/>
      <c r="S592" s="6"/>
    </row>
    <row r="593" spans="11:19" x14ac:dyDescent="0.2">
      <c r="K593" s="43"/>
      <c r="L593" s="43"/>
      <c r="M593" s="43"/>
      <c r="N593" s="9"/>
      <c r="O593" s="6"/>
      <c r="P593" s="6"/>
      <c r="Q593" s="42"/>
      <c r="R593" s="42"/>
      <c r="S593" s="6"/>
    </row>
    <row r="594" spans="11:19" x14ac:dyDescent="0.2">
      <c r="K594" s="43"/>
      <c r="L594" s="43"/>
      <c r="M594" s="43"/>
      <c r="N594" s="9"/>
      <c r="O594" s="6"/>
      <c r="P594" s="6"/>
      <c r="Q594" s="42"/>
      <c r="R594" s="42"/>
      <c r="S594" s="6"/>
    </row>
    <row r="595" spans="11:19" x14ac:dyDescent="0.2">
      <c r="K595" s="43"/>
      <c r="L595" s="43"/>
      <c r="M595" s="43"/>
      <c r="N595" s="9"/>
      <c r="O595" s="6"/>
      <c r="P595" s="6"/>
      <c r="Q595" s="42"/>
      <c r="R595" s="42"/>
      <c r="S595" s="6"/>
    </row>
    <row r="596" spans="11:19" x14ac:dyDescent="0.2">
      <c r="K596" s="43"/>
      <c r="L596" s="43"/>
      <c r="M596" s="43"/>
      <c r="N596" s="9"/>
      <c r="O596" s="6"/>
      <c r="P596" s="6"/>
      <c r="Q596" s="42"/>
      <c r="R596" s="42"/>
      <c r="S596" s="6"/>
    </row>
    <row r="597" spans="11:19" x14ac:dyDescent="0.2">
      <c r="K597" s="43"/>
      <c r="L597" s="43"/>
      <c r="M597" s="43"/>
      <c r="N597" s="9"/>
      <c r="O597" s="6"/>
      <c r="P597" s="6"/>
      <c r="Q597" s="42"/>
      <c r="R597" s="42"/>
      <c r="S597" s="6"/>
    </row>
    <row r="598" spans="11:19" x14ac:dyDescent="0.2">
      <c r="K598" s="43"/>
      <c r="L598" s="43"/>
      <c r="M598" s="43"/>
      <c r="N598" s="9"/>
      <c r="O598" s="6"/>
      <c r="P598" s="6"/>
      <c r="Q598" s="42"/>
      <c r="R598" s="42"/>
      <c r="S598" s="6"/>
    </row>
    <row r="599" spans="11:19" x14ac:dyDescent="0.2">
      <c r="K599" s="43"/>
      <c r="L599" s="43"/>
      <c r="M599" s="43"/>
      <c r="N599" s="9"/>
      <c r="O599" s="6"/>
      <c r="P599" s="6"/>
      <c r="Q599" s="42"/>
      <c r="R599" s="42"/>
      <c r="S599" s="6"/>
    </row>
    <row r="600" spans="11:19" x14ac:dyDescent="0.2">
      <c r="K600" s="43"/>
      <c r="L600" s="43"/>
      <c r="M600" s="43"/>
      <c r="N600" s="9"/>
      <c r="O600" s="6"/>
      <c r="P600" s="6"/>
      <c r="Q600" s="42"/>
      <c r="R600" s="42"/>
      <c r="S600" s="6"/>
    </row>
    <row r="601" spans="11:19" x14ac:dyDescent="0.2">
      <c r="K601" s="43"/>
      <c r="L601" s="43"/>
      <c r="M601" s="43"/>
      <c r="N601" s="9"/>
      <c r="O601" s="6"/>
      <c r="P601" s="6"/>
      <c r="Q601" s="42"/>
      <c r="R601" s="42"/>
      <c r="S601" s="6"/>
    </row>
    <row r="602" spans="11:19" x14ac:dyDescent="0.2">
      <c r="K602" s="43"/>
      <c r="L602" s="43"/>
      <c r="M602" s="43"/>
      <c r="N602" s="9"/>
      <c r="O602" s="6"/>
      <c r="P602" s="6"/>
      <c r="Q602" s="42"/>
      <c r="R602" s="42"/>
      <c r="S602" s="6"/>
    </row>
    <row r="603" spans="11:19" x14ac:dyDescent="0.2">
      <c r="K603" s="43"/>
      <c r="L603" s="43"/>
      <c r="M603" s="43"/>
      <c r="N603" s="9"/>
      <c r="O603" s="6"/>
      <c r="P603" s="6"/>
      <c r="Q603" s="42"/>
      <c r="R603" s="42"/>
      <c r="S603" s="6"/>
    </row>
    <row r="604" spans="11:19" x14ac:dyDescent="0.2">
      <c r="K604" s="43"/>
      <c r="L604" s="43"/>
      <c r="M604" s="43"/>
      <c r="N604" s="9"/>
      <c r="O604" s="6"/>
      <c r="P604" s="6"/>
      <c r="Q604" s="42"/>
      <c r="R604" s="42"/>
      <c r="S604" s="6"/>
    </row>
    <row r="605" spans="11:19" x14ac:dyDescent="0.2">
      <c r="K605" s="43"/>
      <c r="L605" s="43"/>
      <c r="M605" s="43"/>
      <c r="N605" s="9"/>
      <c r="O605" s="6"/>
      <c r="P605" s="6"/>
      <c r="Q605" s="42"/>
      <c r="R605" s="42"/>
      <c r="S605" s="6"/>
    </row>
    <row r="606" spans="11:19" x14ac:dyDescent="0.2">
      <c r="K606" s="43"/>
      <c r="L606" s="43"/>
      <c r="M606" s="43"/>
      <c r="N606" s="9"/>
      <c r="O606" s="6"/>
      <c r="P606" s="6"/>
      <c r="Q606" s="42"/>
      <c r="R606" s="42"/>
      <c r="S606" s="6"/>
    </row>
    <row r="607" spans="11:19" x14ac:dyDescent="0.2">
      <c r="K607" s="43"/>
      <c r="L607" s="43"/>
      <c r="M607" s="43"/>
      <c r="N607" s="9"/>
      <c r="O607" s="6"/>
      <c r="P607" s="6"/>
      <c r="Q607" s="42"/>
      <c r="R607" s="42"/>
      <c r="S607" s="6"/>
    </row>
    <row r="608" spans="11:19" x14ac:dyDescent="0.2">
      <c r="K608" s="43"/>
      <c r="L608" s="43"/>
      <c r="M608" s="43"/>
      <c r="N608" s="9"/>
      <c r="O608" s="6"/>
      <c r="P608" s="6"/>
      <c r="Q608" s="42"/>
      <c r="R608" s="42"/>
      <c r="S608" s="6"/>
    </row>
    <row r="609" spans="11:19" x14ac:dyDescent="0.2">
      <c r="K609" s="43"/>
      <c r="L609" s="43"/>
      <c r="M609" s="43"/>
      <c r="N609" s="9"/>
      <c r="O609" s="6"/>
      <c r="P609" s="6"/>
      <c r="Q609" s="42"/>
      <c r="R609" s="42"/>
      <c r="S609" s="6"/>
    </row>
    <row r="610" spans="11:19" x14ac:dyDescent="0.2">
      <c r="K610" s="43"/>
      <c r="L610" s="43"/>
      <c r="M610" s="43"/>
      <c r="N610" s="9"/>
      <c r="O610" s="6"/>
      <c r="P610" s="6"/>
      <c r="Q610" s="42"/>
      <c r="R610" s="42"/>
      <c r="S610" s="6"/>
    </row>
    <row r="611" spans="11:19" x14ac:dyDescent="0.2">
      <c r="K611" s="43"/>
      <c r="L611" s="43"/>
      <c r="M611" s="43"/>
      <c r="N611" s="9"/>
      <c r="O611" s="6"/>
      <c r="P611" s="6"/>
      <c r="Q611" s="42"/>
      <c r="R611" s="42"/>
      <c r="S611" s="6"/>
    </row>
    <row r="612" spans="11:19" x14ac:dyDescent="0.2">
      <c r="K612" s="43"/>
      <c r="L612" s="43"/>
      <c r="M612" s="43"/>
      <c r="N612" s="9"/>
      <c r="O612" s="6"/>
      <c r="P612" s="6"/>
      <c r="Q612" s="42"/>
      <c r="R612" s="42"/>
      <c r="S612" s="6"/>
    </row>
    <row r="613" spans="11:19" x14ac:dyDescent="0.2">
      <c r="K613" s="43"/>
      <c r="L613" s="43"/>
      <c r="M613" s="43"/>
      <c r="N613" s="9"/>
      <c r="O613" s="6"/>
      <c r="P613" s="6"/>
      <c r="Q613" s="42"/>
      <c r="R613" s="42"/>
      <c r="S613" s="6"/>
    </row>
    <row r="614" spans="11:19" x14ac:dyDescent="0.2">
      <c r="K614" s="43"/>
      <c r="L614" s="43"/>
      <c r="M614" s="43"/>
      <c r="N614" s="9"/>
      <c r="O614" s="6"/>
      <c r="P614" s="6"/>
      <c r="Q614" s="42"/>
      <c r="R614" s="42"/>
      <c r="S614" s="6"/>
    </row>
    <row r="615" spans="11:19" x14ac:dyDescent="0.2">
      <c r="K615" s="43"/>
      <c r="L615" s="43"/>
      <c r="M615" s="43"/>
      <c r="N615" s="9"/>
      <c r="O615" s="6"/>
      <c r="P615" s="6"/>
      <c r="Q615" s="42"/>
      <c r="R615" s="42"/>
      <c r="S615" s="6"/>
    </row>
    <row r="616" spans="11:19" x14ac:dyDescent="0.2">
      <c r="K616" s="43"/>
      <c r="L616" s="43"/>
      <c r="M616" s="43"/>
      <c r="N616" s="9"/>
      <c r="O616" s="6"/>
      <c r="P616" s="6"/>
      <c r="Q616" s="42"/>
      <c r="R616" s="42"/>
      <c r="S616" s="6"/>
    </row>
    <row r="617" spans="11:19" x14ac:dyDescent="0.2">
      <c r="K617" s="43"/>
      <c r="L617" s="43"/>
      <c r="M617" s="43"/>
      <c r="N617" s="9"/>
      <c r="O617" s="6"/>
      <c r="P617" s="6"/>
      <c r="Q617" s="42"/>
      <c r="R617" s="42"/>
      <c r="S617" s="6"/>
    </row>
    <row r="618" spans="11:19" x14ac:dyDescent="0.2">
      <c r="K618" s="43"/>
      <c r="L618" s="43"/>
      <c r="M618" s="43"/>
      <c r="N618" s="9"/>
      <c r="O618" s="6"/>
      <c r="P618" s="6"/>
      <c r="Q618" s="42"/>
      <c r="R618" s="42"/>
      <c r="S618" s="6"/>
    </row>
    <row r="619" spans="11:19" x14ac:dyDescent="0.2">
      <c r="K619" s="43"/>
      <c r="L619" s="43"/>
      <c r="M619" s="43"/>
      <c r="N619" s="9"/>
      <c r="O619" s="6"/>
      <c r="P619" s="6"/>
      <c r="Q619" s="42"/>
      <c r="R619" s="42"/>
      <c r="S619" s="6"/>
    </row>
    <row r="620" spans="11:19" x14ac:dyDescent="0.2">
      <c r="K620" s="43"/>
      <c r="L620" s="43"/>
      <c r="M620" s="43"/>
      <c r="N620" s="9"/>
      <c r="O620" s="6"/>
      <c r="P620" s="6"/>
      <c r="Q620" s="42"/>
      <c r="R620" s="42"/>
      <c r="S620" s="6"/>
    </row>
    <row r="621" spans="11:19" x14ac:dyDescent="0.2">
      <c r="K621" s="43"/>
      <c r="L621" s="43"/>
      <c r="M621" s="43"/>
      <c r="N621" s="9"/>
      <c r="O621" s="6"/>
      <c r="P621" s="6"/>
      <c r="Q621" s="42"/>
      <c r="R621" s="42"/>
      <c r="S621" s="6"/>
    </row>
    <row r="622" spans="11:19" x14ac:dyDescent="0.2">
      <c r="K622" s="43"/>
      <c r="L622" s="43"/>
      <c r="M622" s="43"/>
      <c r="N622" s="9"/>
      <c r="O622" s="6"/>
      <c r="P622" s="6"/>
      <c r="Q622" s="42"/>
      <c r="R622" s="42"/>
      <c r="S622" s="6"/>
    </row>
    <row r="623" spans="11:19" x14ac:dyDescent="0.2">
      <c r="K623" s="43"/>
      <c r="L623" s="43"/>
      <c r="M623" s="43"/>
      <c r="N623" s="9"/>
      <c r="O623" s="6"/>
      <c r="P623" s="6"/>
      <c r="Q623" s="42"/>
      <c r="R623" s="42"/>
      <c r="S623" s="6"/>
    </row>
    <row r="624" spans="11:19" x14ac:dyDescent="0.2">
      <c r="K624" s="43"/>
      <c r="L624" s="43"/>
      <c r="M624" s="43"/>
      <c r="N624" s="9"/>
      <c r="O624" s="6"/>
      <c r="P624" s="6"/>
      <c r="Q624" s="42"/>
      <c r="R624" s="42"/>
      <c r="S624" s="6"/>
    </row>
    <row r="625" spans="11:19" x14ac:dyDescent="0.2">
      <c r="K625" s="43"/>
      <c r="L625" s="43"/>
      <c r="M625" s="43"/>
      <c r="N625" s="9"/>
      <c r="O625" s="6"/>
      <c r="P625" s="6"/>
      <c r="Q625" s="42"/>
      <c r="R625" s="42"/>
      <c r="S625" s="6"/>
    </row>
    <row r="626" spans="11:19" x14ac:dyDescent="0.2">
      <c r="K626" s="43"/>
      <c r="L626" s="43"/>
      <c r="M626" s="43"/>
      <c r="N626" s="9"/>
      <c r="O626" s="6"/>
      <c r="P626" s="6"/>
      <c r="Q626" s="42"/>
      <c r="R626" s="42"/>
      <c r="S626" s="6"/>
    </row>
    <row r="627" spans="11:19" x14ac:dyDescent="0.2">
      <c r="K627" s="43"/>
      <c r="L627" s="43"/>
      <c r="M627" s="43"/>
      <c r="N627" s="9"/>
      <c r="O627" s="6"/>
      <c r="P627" s="6"/>
      <c r="Q627" s="42"/>
      <c r="R627" s="42"/>
      <c r="S627" s="6"/>
    </row>
    <row r="628" spans="11:19" x14ac:dyDescent="0.2">
      <c r="K628" s="43"/>
      <c r="L628" s="43"/>
      <c r="M628" s="43"/>
      <c r="N628" s="9"/>
      <c r="O628" s="6"/>
      <c r="P628" s="6"/>
      <c r="Q628" s="42"/>
      <c r="R628" s="42"/>
      <c r="S628" s="6"/>
    </row>
    <row r="629" spans="11:19" x14ac:dyDescent="0.2">
      <c r="K629" s="43"/>
      <c r="L629" s="43"/>
      <c r="M629" s="43"/>
      <c r="N629" s="9"/>
      <c r="O629" s="6"/>
      <c r="P629" s="6"/>
      <c r="Q629" s="42"/>
      <c r="R629" s="42"/>
      <c r="S629" s="6"/>
    </row>
    <row r="630" spans="11:19" x14ac:dyDescent="0.2">
      <c r="K630" s="43"/>
      <c r="L630" s="43"/>
      <c r="M630" s="43"/>
      <c r="N630" s="9"/>
      <c r="O630" s="6"/>
      <c r="P630" s="6"/>
      <c r="Q630" s="42"/>
      <c r="R630" s="42"/>
      <c r="S630" s="6"/>
    </row>
    <row r="631" spans="11:19" x14ac:dyDescent="0.2">
      <c r="K631" s="43"/>
      <c r="L631" s="43"/>
      <c r="M631" s="43"/>
      <c r="N631" s="9"/>
      <c r="O631" s="6"/>
      <c r="P631" s="6"/>
      <c r="Q631" s="42"/>
      <c r="R631" s="42"/>
      <c r="S631" s="6"/>
    </row>
    <row r="632" spans="11:19" x14ac:dyDescent="0.2">
      <c r="K632" s="43"/>
      <c r="L632" s="43"/>
      <c r="M632" s="43"/>
      <c r="N632" s="9"/>
      <c r="O632" s="6"/>
      <c r="P632" s="6"/>
      <c r="Q632" s="42"/>
      <c r="R632" s="42"/>
      <c r="S632" s="6"/>
    </row>
    <row r="633" spans="11:19" x14ac:dyDescent="0.2">
      <c r="K633" s="43"/>
      <c r="L633" s="43"/>
      <c r="M633" s="43"/>
      <c r="N633" s="9"/>
      <c r="O633" s="6"/>
      <c r="P633" s="6"/>
      <c r="Q633" s="42"/>
      <c r="R633" s="42"/>
      <c r="S633" s="6"/>
    </row>
    <row r="634" spans="11:19" x14ac:dyDescent="0.2">
      <c r="K634" s="43"/>
      <c r="L634" s="43"/>
      <c r="M634" s="43"/>
      <c r="N634" s="9"/>
      <c r="O634" s="6"/>
      <c r="P634" s="6"/>
      <c r="Q634" s="42"/>
      <c r="R634" s="42"/>
      <c r="S634" s="6"/>
    </row>
    <row r="635" spans="11:19" x14ac:dyDescent="0.2">
      <c r="K635" s="43"/>
      <c r="L635" s="43"/>
      <c r="M635" s="43"/>
      <c r="N635" s="9"/>
      <c r="O635" s="6"/>
      <c r="P635" s="6"/>
      <c r="Q635" s="42"/>
      <c r="R635" s="42"/>
      <c r="S635" s="6"/>
    </row>
    <row r="636" spans="11:19" x14ac:dyDescent="0.2">
      <c r="K636" s="43"/>
      <c r="L636" s="43"/>
      <c r="M636" s="43"/>
      <c r="N636" s="9"/>
      <c r="O636" s="6"/>
      <c r="P636" s="6"/>
      <c r="Q636" s="42"/>
      <c r="R636" s="42"/>
      <c r="S636" s="6"/>
    </row>
    <row r="637" spans="11:19" x14ac:dyDescent="0.2">
      <c r="K637" s="43"/>
      <c r="L637" s="43"/>
      <c r="M637" s="43"/>
      <c r="N637" s="9"/>
      <c r="O637" s="6"/>
      <c r="P637" s="6"/>
      <c r="Q637" s="42"/>
      <c r="R637" s="42"/>
      <c r="S637" s="6"/>
    </row>
    <row r="638" spans="11:19" x14ac:dyDescent="0.2">
      <c r="K638" s="43"/>
      <c r="L638" s="43"/>
      <c r="M638" s="43"/>
      <c r="N638" s="9"/>
      <c r="O638" s="6"/>
      <c r="P638" s="6"/>
      <c r="Q638" s="42"/>
      <c r="R638" s="42"/>
      <c r="S638" s="6"/>
    </row>
    <row r="639" spans="11:19" x14ac:dyDescent="0.2">
      <c r="K639" s="43"/>
      <c r="L639" s="43"/>
      <c r="M639" s="43"/>
      <c r="N639" s="9"/>
      <c r="O639" s="6"/>
      <c r="P639" s="6"/>
      <c r="Q639" s="42"/>
      <c r="R639" s="42"/>
      <c r="S639" s="6"/>
    </row>
    <row r="640" spans="11:19" x14ac:dyDescent="0.2">
      <c r="K640" s="43"/>
      <c r="L640" s="43"/>
      <c r="M640" s="43"/>
      <c r="N640" s="9"/>
      <c r="O640" s="6"/>
      <c r="P640" s="6"/>
      <c r="Q640" s="42"/>
      <c r="R640" s="42"/>
      <c r="S640" s="6"/>
    </row>
    <row r="641" spans="11:19" x14ac:dyDescent="0.2">
      <c r="K641" s="43"/>
      <c r="L641" s="43"/>
      <c r="M641" s="43"/>
      <c r="N641" s="9"/>
      <c r="O641" s="6"/>
      <c r="P641" s="6"/>
      <c r="Q641" s="42"/>
      <c r="R641" s="42"/>
      <c r="S641" s="6"/>
    </row>
    <row r="642" spans="11:19" x14ac:dyDescent="0.2">
      <c r="K642" s="43"/>
      <c r="L642" s="43"/>
      <c r="M642" s="43"/>
      <c r="N642" s="9"/>
      <c r="O642" s="6"/>
      <c r="P642" s="6"/>
      <c r="Q642" s="42"/>
      <c r="R642" s="42"/>
      <c r="S642" s="6"/>
    </row>
    <row r="643" spans="11:19" x14ac:dyDescent="0.2">
      <c r="K643" s="43"/>
      <c r="L643" s="43"/>
      <c r="M643" s="43"/>
      <c r="N643" s="9"/>
      <c r="O643" s="6"/>
      <c r="P643" s="6"/>
      <c r="Q643" s="42"/>
      <c r="R643" s="42"/>
      <c r="S643" s="6"/>
    </row>
    <row r="644" spans="11:19" x14ac:dyDescent="0.2">
      <c r="K644" s="43"/>
      <c r="L644" s="43"/>
      <c r="M644" s="43"/>
      <c r="N644" s="9"/>
      <c r="O644" s="6"/>
      <c r="P644" s="6"/>
      <c r="Q644" s="42"/>
      <c r="R644" s="42"/>
      <c r="S644" s="6"/>
    </row>
    <row r="645" spans="11:19" x14ac:dyDescent="0.2">
      <c r="K645" s="43"/>
      <c r="L645" s="43"/>
      <c r="M645" s="43"/>
      <c r="N645" s="9"/>
      <c r="O645" s="6"/>
      <c r="P645" s="6"/>
      <c r="Q645" s="42"/>
      <c r="R645" s="42"/>
      <c r="S645" s="6"/>
    </row>
    <row r="646" spans="11:19" x14ac:dyDescent="0.2">
      <c r="K646" s="43"/>
      <c r="L646" s="43"/>
      <c r="M646" s="43"/>
      <c r="N646" s="9"/>
      <c r="O646" s="6"/>
      <c r="P646" s="6"/>
      <c r="Q646" s="42"/>
      <c r="R646" s="42"/>
      <c r="S646" s="6"/>
    </row>
    <row r="647" spans="11:19" x14ac:dyDescent="0.2">
      <c r="K647" s="43"/>
      <c r="L647" s="43"/>
      <c r="M647" s="43"/>
      <c r="N647" s="9"/>
      <c r="O647" s="6"/>
      <c r="P647" s="6"/>
      <c r="Q647" s="42"/>
      <c r="R647" s="42"/>
      <c r="S647" s="6"/>
    </row>
    <row r="648" spans="11:19" x14ac:dyDescent="0.2">
      <c r="K648" s="43"/>
      <c r="L648" s="43"/>
      <c r="M648" s="43"/>
      <c r="N648" s="9"/>
      <c r="O648" s="6"/>
      <c r="P648" s="6"/>
      <c r="Q648" s="42"/>
      <c r="R648" s="42"/>
      <c r="S648" s="6"/>
    </row>
    <row r="649" spans="11:19" x14ac:dyDescent="0.2">
      <c r="K649" s="43"/>
      <c r="L649" s="43"/>
      <c r="M649" s="43"/>
      <c r="N649" s="9"/>
      <c r="O649" s="6"/>
      <c r="P649" s="6"/>
      <c r="Q649" s="42"/>
      <c r="R649" s="42"/>
      <c r="S649" s="6"/>
    </row>
    <row r="650" spans="11:19" x14ac:dyDescent="0.2">
      <c r="K650" s="43"/>
      <c r="L650" s="43"/>
      <c r="M650" s="43"/>
      <c r="N650" s="9"/>
      <c r="O650" s="6"/>
      <c r="P650" s="6"/>
      <c r="Q650" s="42"/>
      <c r="R650" s="42"/>
      <c r="S650" s="6"/>
    </row>
    <row r="651" spans="11:19" x14ac:dyDescent="0.2">
      <c r="K651" s="43"/>
      <c r="L651" s="43"/>
      <c r="M651" s="43"/>
      <c r="N651" s="9"/>
      <c r="O651" s="6"/>
      <c r="P651" s="6"/>
      <c r="Q651" s="42"/>
      <c r="R651" s="42"/>
      <c r="S651" s="6"/>
    </row>
    <row r="652" spans="11:19" x14ac:dyDescent="0.2">
      <c r="K652" s="43"/>
      <c r="L652" s="43"/>
      <c r="M652" s="43"/>
      <c r="N652" s="9"/>
      <c r="O652" s="6"/>
      <c r="P652" s="6"/>
      <c r="Q652" s="42"/>
      <c r="R652" s="42"/>
      <c r="S652" s="6"/>
    </row>
    <row r="653" spans="11:19" x14ac:dyDescent="0.2">
      <c r="K653" s="43"/>
      <c r="L653" s="43"/>
      <c r="M653" s="43"/>
      <c r="N653" s="9"/>
      <c r="O653" s="6"/>
      <c r="P653" s="6"/>
      <c r="Q653" s="42"/>
      <c r="R653" s="42"/>
      <c r="S653" s="6"/>
    </row>
    <row r="654" spans="11:19" x14ac:dyDescent="0.2">
      <c r="K654" s="43"/>
      <c r="L654" s="43"/>
      <c r="M654" s="43"/>
      <c r="N654" s="9"/>
      <c r="O654" s="6"/>
      <c r="P654" s="6"/>
      <c r="Q654" s="42"/>
      <c r="R654" s="42"/>
      <c r="S654" s="6"/>
    </row>
    <row r="655" spans="11:19" x14ac:dyDescent="0.2">
      <c r="K655" s="43"/>
      <c r="L655" s="43"/>
      <c r="M655" s="43"/>
      <c r="N655" s="9"/>
      <c r="O655" s="6"/>
      <c r="P655" s="6"/>
      <c r="Q655" s="42"/>
      <c r="R655" s="42"/>
      <c r="S655" s="6"/>
    </row>
    <row r="656" spans="11:19" x14ac:dyDescent="0.2">
      <c r="K656" s="43"/>
      <c r="L656" s="43"/>
      <c r="M656" s="43"/>
      <c r="N656" s="9"/>
      <c r="O656" s="6"/>
      <c r="P656" s="6"/>
      <c r="Q656" s="42"/>
      <c r="R656" s="42"/>
      <c r="S656" s="6"/>
    </row>
    <row r="657" spans="11:19" x14ac:dyDescent="0.2">
      <c r="K657" s="43"/>
      <c r="L657" s="43"/>
      <c r="M657" s="43"/>
      <c r="N657" s="9"/>
      <c r="O657" s="6"/>
      <c r="P657" s="6"/>
      <c r="Q657" s="42"/>
      <c r="R657" s="42"/>
      <c r="S657" s="6"/>
    </row>
    <row r="658" spans="11:19" x14ac:dyDescent="0.2">
      <c r="K658" s="43"/>
      <c r="L658" s="43"/>
      <c r="M658" s="43"/>
      <c r="N658" s="9"/>
      <c r="O658" s="6"/>
      <c r="P658" s="6"/>
      <c r="Q658" s="42"/>
      <c r="R658" s="42"/>
      <c r="S658" s="6"/>
    </row>
    <row r="659" spans="11:19" x14ac:dyDescent="0.2">
      <c r="K659" s="43"/>
      <c r="L659" s="43"/>
      <c r="M659" s="43"/>
      <c r="N659" s="9"/>
      <c r="O659" s="6"/>
      <c r="P659" s="6"/>
      <c r="Q659" s="42"/>
      <c r="R659" s="42"/>
      <c r="S659" s="6"/>
    </row>
    <row r="660" spans="11:19" x14ac:dyDescent="0.2">
      <c r="K660" s="43"/>
      <c r="L660" s="43"/>
      <c r="M660" s="43"/>
      <c r="N660" s="9"/>
      <c r="O660" s="6"/>
      <c r="P660" s="6"/>
      <c r="Q660" s="42"/>
      <c r="R660" s="42"/>
      <c r="S660" s="6"/>
    </row>
    <row r="661" spans="11:19" x14ac:dyDescent="0.2">
      <c r="K661" s="43"/>
      <c r="L661" s="43"/>
      <c r="M661" s="43"/>
      <c r="N661" s="9"/>
      <c r="O661" s="6"/>
      <c r="P661" s="6"/>
      <c r="Q661" s="42"/>
      <c r="R661" s="42"/>
      <c r="S661" s="6"/>
    </row>
    <row r="662" spans="11:19" x14ac:dyDescent="0.2">
      <c r="K662" s="43"/>
      <c r="L662" s="43"/>
      <c r="M662" s="43"/>
      <c r="N662" s="9"/>
      <c r="O662" s="6"/>
      <c r="P662" s="6"/>
      <c r="Q662" s="42"/>
      <c r="R662" s="42"/>
      <c r="S662" s="6"/>
    </row>
    <row r="663" spans="11:19" x14ac:dyDescent="0.2">
      <c r="K663" s="43"/>
      <c r="L663" s="43"/>
      <c r="M663" s="43"/>
      <c r="N663" s="9"/>
      <c r="O663" s="6"/>
      <c r="P663" s="6"/>
      <c r="Q663" s="42"/>
      <c r="R663" s="42"/>
      <c r="S663" s="6"/>
    </row>
    <row r="664" spans="11:19" x14ac:dyDescent="0.2">
      <c r="K664" s="43"/>
      <c r="L664" s="43"/>
      <c r="M664" s="43"/>
      <c r="N664" s="9"/>
      <c r="O664" s="6"/>
      <c r="P664" s="6"/>
      <c r="Q664" s="42"/>
      <c r="R664" s="42"/>
      <c r="S664" s="6"/>
    </row>
    <row r="665" spans="11:19" x14ac:dyDescent="0.2">
      <c r="K665" s="43"/>
      <c r="L665" s="43"/>
      <c r="M665" s="43"/>
      <c r="N665" s="9"/>
      <c r="O665" s="6"/>
      <c r="P665" s="6"/>
      <c r="Q665" s="42"/>
      <c r="R665" s="42"/>
      <c r="S665" s="6"/>
    </row>
    <row r="666" spans="11:19" x14ac:dyDescent="0.2">
      <c r="K666" s="43"/>
      <c r="L666" s="43"/>
      <c r="M666" s="43"/>
      <c r="N666" s="9"/>
      <c r="O666" s="6"/>
      <c r="P666" s="6"/>
      <c r="Q666" s="42"/>
      <c r="R666" s="42"/>
      <c r="S666" s="6"/>
    </row>
    <row r="667" spans="11:19" x14ac:dyDescent="0.2">
      <c r="K667" s="43"/>
      <c r="L667" s="43"/>
      <c r="M667" s="43"/>
      <c r="N667" s="9"/>
      <c r="O667" s="6"/>
      <c r="P667" s="6"/>
      <c r="Q667" s="42"/>
      <c r="R667" s="42"/>
      <c r="S667" s="6"/>
    </row>
    <row r="668" spans="11:19" x14ac:dyDescent="0.2">
      <c r="K668" s="43"/>
      <c r="L668" s="43"/>
      <c r="M668" s="43"/>
      <c r="N668" s="9"/>
      <c r="O668" s="6"/>
      <c r="P668" s="6"/>
      <c r="Q668" s="42"/>
      <c r="R668" s="42"/>
      <c r="S668" s="6"/>
    </row>
    <row r="669" spans="11:19" x14ac:dyDescent="0.2">
      <c r="K669" s="43"/>
      <c r="L669" s="43"/>
      <c r="M669" s="43"/>
      <c r="N669" s="9"/>
      <c r="O669" s="6"/>
      <c r="P669" s="6"/>
      <c r="Q669" s="42"/>
      <c r="R669" s="42"/>
      <c r="S669" s="6"/>
    </row>
    <row r="670" spans="11:19" x14ac:dyDescent="0.2">
      <c r="K670" s="43"/>
      <c r="L670" s="43"/>
      <c r="M670" s="43"/>
      <c r="N670" s="9"/>
      <c r="O670" s="6"/>
      <c r="P670" s="6"/>
      <c r="Q670" s="42"/>
      <c r="R670" s="42"/>
      <c r="S670" s="6"/>
    </row>
    <row r="671" spans="11:19" x14ac:dyDescent="0.2">
      <c r="K671" s="43"/>
      <c r="L671" s="43"/>
      <c r="M671" s="43"/>
      <c r="N671" s="9"/>
      <c r="O671" s="6"/>
      <c r="P671" s="6"/>
      <c r="Q671" s="42"/>
      <c r="R671" s="42"/>
      <c r="S671" s="6"/>
    </row>
    <row r="672" spans="11:19" x14ac:dyDescent="0.2">
      <c r="K672" s="43"/>
      <c r="L672" s="43"/>
      <c r="M672" s="43"/>
      <c r="N672" s="9"/>
      <c r="O672" s="6"/>
      <c r="P672" s="6"/>
      <c r="Q672" s="42"/>
      <c r="R672" s="42"/>
      <c r="S672" s="6"/>
    </row>
    <row r="673" spans="11:19" x14ac:dyDescent="0.2">
      <c r="K673" s="43"/>
      <c r="L673" s="43"/>
      <c r="M673" s="43"/>
      <c r="N673" s="9"/>
      <c r="O673" s="6"/>
      <c r="P673" s="6"/>
      <c r="Q673" s="42"/>
      <c r="R673" s="42"/>
      <c r="S673" s="6"/>
    </row>
    <row r="674" spans="11:19" x14ac:dyDescent="0.2">
      <c r="K674" s="43"/>
      <c r="L674" s="43"/>
      <c r="M674" s="43"/>
      <c r="N674" s="9"/>
      <c r="O674" s="6"/>
      <c r="P674" s="6"/>
      <c r="Q674" s="42"/>
      <c r="R674" s="42"/>
      <c r="S674" s="6"/>
    </row>
    <row r="675" spans="11:19" x14ac:dyDescent="0.2">
      <c r="K675" s="43"/>
      <c r="L675" s="43"/>
      <c r="M675" s="43"/>
      <c r="N675" s="9"/>
      <c r="O675" s="6"/>
      <c r="P675" s="6"/>
      <c r="Q675" s="42"/>
      <c r="R675" s="42"/>
      <c r="S675" s="6"/>
    </row>
    <row r="676" spans="11:19" x14ac:dyDescent="0.2">
      <c r="K676" s="43"/>
      <c r="L676" s="43"/>
      <c r="M676" s="43"/>
      <c r="N676" s="9"/>
      <c r="O676" s="6"/>
      <c r="P676" s="6"/>
      <c r="Q676" s="42"/>
      <c r="R676" s="42"/>
      <c r="S676" s="6"/>
    </row>
    <row r="677" spans="11:19" x14ac:dyDescent="0.2">
      <c r="K677" s="43"/>
      <c r="L677" s="43"/>
      <c r="M677" s="43"/>
      <c r="N677" s="9"/>
      <c r="O677" s="6"/>
      <c r="P677" s="6"/>
      <c r="Q677" s="42"/>
      <c r="R677" s="42"/>
      <c r="S677" s="6"/>
    </row>
    <row r="678" spans="11:19" x14ac:dyDescent="0.2">
      <c r="K678" s="43"/>
      <c r="L678" s="43"/>
      <c r="M678" s="43"/>
      <c r="N678" s="9"/>
      <c r="O678" s="6"/>
      <c r="P678" s="6"/>
      <c r="Q678" s="42"/>
      <c r="R678" s="42"/>
      <c r="S678" s="6"/>
    </row>
    <row r="679" spans="11:19" x14ac:dyDescent="0.2">
      <c r="K679" s="43"/>
      <c r="L679" s="43"/>
      <c r="M679" s="43"/>
      <c r="N679" s="9"/>
      <c r="O679" s="6"/>
      <c r="P679" s="6"/>
      <c r="Q679" s="42"/>
      <c r="R679" s="42"/>
      <c r="S679" s="6"/>
    </row>
    <row r="680" spans="11:19" x14ac:dyDescent="0.2">
      <c r="K680" s="43"/>
      <c r="L680" s="43"/>
      <c r="M680" s="43"/>
      <c r="N680" s="9"/>
      <c r="O680" s="6"/>
      <c r="P680" s="6"/>
      <c r="Q680" s="42"/>
      <c r="R680" s="42"/>
      <c r="S680" s="6"/>
    </row>
    <row r="681" spans="11:19" x14ac:dyDescent="0.2">
      <c r="K681" s="43"/>
      <c r="L681" s="43"/>
      <c r="M681" s="43"/>
      <c r="N681" s="9"/>
      <c r="O681" s="6"/>
      <c r="P681" s="6"/>
      <c r="Q681" s="42"/>
      <c r="R681" s="42"/>
      <c r="S681" s="6"/>
    </row>
    <row r="682" spans="11:19" x14ac:dyDescent="0.2">
      <c r="K682" s="43"/>
      <c r="L682" s="43"/>
      <c r="M682" s="43"/>
      <c r="N682" s="9"/>
      <c r="O682" s="6"/>
      <c r="P682" s="6"/>
      <c r="Q682" s="42"/>
      <c r="R682" s="42"/>
      <c r="S682" s="6"/>
    </row>
    <row r="683" spans="11:19" x14ac:dyDescent="0.2">
      <c r="K683" s="43"/>
      <c r="L683" s="43"/>
      <c r="M683" s="43"/>
      <c r="N683" s="9"/>
      <c r="O683" s="6"/>
      <c r="P683" s="6"/>
      <c r="Q683" s="42"/>
      <c r="R683" s="42"/>
      <c r="S683" s="6"/>
    </row>
    <row r="684" spans="11:19" x14ac:dyDescent="0.2">
      <c r="K684" s="43"/>
      <c r="L684" s="43"/>
      <c r="M684" s="43"/>
      <c r="N684" s="9"/>
      <c r="O684" s="6"/>
      <c r="P684" s="6"/>
      <c r="Q684" s="42"/>
      <c r="R684" s="42"/>
      <c r="S684" s="6"/>
    </row>
    <row r="685" spans="11:19" x14ac:dyDescent="0.2">
      <c r="K685" s="43"/>
      <c r="L685" s="43"/>
      <c r="M685" s="43"/>
      <c r="N685" s="9"/>
      <c r="O685" s="6"/>
      <c r="P685" s="6"/>
      <c r="Q685" s="42"/>
      <c r="R685" s="42"/>
      <c r="S685" s="6"/>
    </row>
    <row r="686" spans="11:19" x14ac:dyDescent="0.2">
      <c r="K686" s="43"/>
      <c r="L686" s="43"/>
      <c r="M686" s="43"/>
      <c r="N686" s="9"/>
      <c r="O686" s="6"/>
      <c r="P686" s="6"/>
      <c r="Q686" s="42"/>
      <c r="R686" s="42"/>
      <c r="S686" s="6"/>
    </row>
    <row r="687" spans="11:19" x14ac:dyDescent="0.2">
      <c r="K687" s="43"/>
      <c r="L687" s="43"/>
      <c r="M687" s="43"/>
      <c r="N687" s="9"/>
      <c r="O687" s="6"/>
      <c r="P687" s="6"/>
      <c r="Q687" s="42"/>
      <c r="R687" s="42"/>
      <c r="S687" s="6"/>
    </row>
    <row r="688" spans="11:19" x14ac:dyDescent="0.2">
      <c r="K688" s="43"/>
      <c r="L688" s="43"/>
      <c r="M688" s="43"/>
      <c r="N688" s="9"/>
      <c r="O688" s="6"/>
      <c r="P688" s="6"/>
      <c r="Q688" s="42"/>
      <c r="R688" s="42"/>
      <c r="S688" s="6"/>
    </row>
    <row r="689" spans="11:19" x14ac:dyDescent="0.2">
      <c r="K689" s="43"/>
      <c r="L689" s="43"/>
      <c r="M689" s="43"/>
      <c r="N689" s="9"/>
      <c r="O689" s="6"/>
      <c r="P689" s="6"/>
      <c r="Q689" s="42"/>
      <c r="R689" s="42"/>
      <c r="S689" s="6"/>
    </row>
    <row r="690" spans="11:19" x14ac:dyDescent="0.2">
      <c r="K690" s="43"/>
      <c r="L690" s="43"/>
      <c r="M690" s="43"/>
      <c r="N690" s="9"/>
      <c r="O690" s="6"/>
      <c r="P690" s="6"/>
      <c r="Q690" s="42"/>
      <c r="R690" s="42"/>
      <c r="S690" s="6"/>
    </row>
    <row r="691" spans="11:19" x14ac:dyDescent="0.2">
      <c r="K691" s="43"/>
      <c r="L691" s="43"/>
      <c r="M691" s="43"/>
      <c r="N691" s="9"/>
      <c r="O691" s="6"/>
      <c r="P691" s="6"/>
      <c r="Q691" s="42"/>
      <c r="R691" s="42"/>
      <c r="S691" s="6"/>
    </row>
    <row r="692" spans="11:19" x14ac:dyDescent="0.2">
      <c r="K692" s="43"/>
      <c r="L692" s="43"/>
      <c r="M692" s="43"/>
      <c r="N692" s="9"/>
      <c r="O692" s="6"/>
      <c r="P692" s="6"/>
      <c r="Q692" s="42"/>
      <c r="R692" s="42"/>
      <c r="S692" s="6"/>
    </row>
    <row r="693" spans="11:19" x14ac:dyDescent="0.2">
      <c r="K693" s="43"/>
      <c r="L693" s="43"/>
      <c r="M693" s="43"/>
      <c r="N693" s="9"/>
      <c r="O693" s="6"/>
      <c r="P693" s="6"/>
      <c r="Q693" s="42"/>
      <c r="R693" s="42"/>
      <c r="S693" s="6"/>
    </row>
    <row r="694" spans="11:19" x14ac:dyDescent="0.2">
      <c r="K694" s="43"/>
      <c r="L694" s="43"/>
      <c r="M694" s="43"/>
      <c r="N694" s="9"/>
      <c r="O694" s="6"/>
      <c r="P694" s="6"/>
      <c r="Q694" s="42"/>
      <c r="R694" s="42"/>
      <c r="S694" s="6"/>
    </row>
    <row r="695" spans="11:19" x14ac:dyDescent="0.2">
      <c r="K695" s="43"/>
      <c r="L695" s="43"/>
      <c r="M695" s="43"/>
      <c r="N695" s="9"/>
      <c r="O695" s="6"/>
      <c r="P695" s="6"/>
      <c r="Q695" s="42"/>
      <c r="R695" s="42"/>
      <c r="S695" s="6"/>
    </row>
    <row r="696" spans="11:19" x14ac:dyDescent="0.2">
      <c r="K696" s="43"/>
      <c r="L696" s="43"/>
      <c r="M696" s="43"/>
      <c r="N696" s="9"/>
      <c r="O696" s="6"/>
      <c r="P696" s="6"/>
      <c r="Q696" s="42"/>
      <c r="R696" s="42"/>
      <c r="S696" s="6"/>
    </row>
    <row r="697" spans="11:19" x14ac:dyDescent="0.2">
      <c r="K697" s="43"/>
      <c r="L697" s="43"/>
      <c r="M697" s="43"/>
      <c r="N697" s="9"/>
      <c r="O697" s="6"/>
      <c r="P697" s="6"/>
      <c r="Q697" s="42"/>
      <c r="R697" s="42"/>
      <c r="S697" s="6"/>
    </row>
    <row r="698" spans="11:19" x14ac:dyDescent="0.2">
      <c r="K698" s="43"/>
      <c r="L698" s="43"/>
      <c r="M698" s="43"/>
      <c r="N698" s="9"/>
      <c r="O698" s="6"/>
      <c r="P698" s="6"/>
      <c r="Q698" s="42"/>
      <c r="R698" s="42"/>
      <c r="S698" s="6"/>
    </row>
    <row r="699" spans="11:19" x14ac:dyDescent="0.2">
      <c r="K699" s="43"/>
      <c r="L699" s="43"/>
      <c r="M699" s="43"/>
      <c r="N699" s="9"/>
      <c r="O699" s="6"/>
      <c r="P699" s="6"/>
      <c r="Q699" s="42"/>
      <c r="R699" s="42"/>
      <c r="S699" s="6"/>
    </row>
    <row r="700" spans="11:19" x14ac:dyDescent="0.2">
      <c r="K700" s="43"/>
      <c r="L700" s="43"/>
      <c r="M700" s="43"/>
      <c r="N700" s="9"/>
      <c r="O700" s="6"/>
      <c r="P700" s="6"/>
      <c r="Q700" s="42"/>
      <c r="R700" s="42"/>
      <c r="S700" s="6"/>
    </row>
    <row r="701" spans="11:19" x14ac:dyDescent="0.2">
      <c r="K701" s="43"/>
      <c r="L701" s="43"/>
      <c r="M701" s="43"/>
      <c r="N701" s="9"/>
      <c r="O701" s="6"/>
      <c r="P701" s="6"/>
      <c r="Q701" s="42"/>
      <c r="R701" s="42"/>
      <c r="S701" s="6"/>
    </row>
    <row r="702" spans="11:19" x14ac:dyDescent="0.2">
      <c r="K702" s="43"/>
      <c r="L702" s="43"/>
      <c r="M702" s="43"/>
      <c r="N702" s="9"/>
      <c r="O702" s="6"/>
      <c r="P702" s="6"/>
      <c r="Q702" s="42"/>
      <c r="R702" s="42"/>
      <c r="S702" s="6"/>
    </row>
    <row r="703" spans="11:19" x14ac:dyDescent="0.2">
      <c r="K703" s="43"/>
      <c r="L703" s="43"/>
      <c r="M703" s="43"/>
      <c r="N703" s="9"/>
      <c r="O703" s="6"/>
      <c r="P703" s="6"/>
      <c r="Q703" s="42"/>
      <c r="R703" s="42"/>
      <c r="S703" s="6"/>
    </row>
    <row r="704" spans="11:19" x14ac:dyDescent="0.2">
      <c r="K704" s="43"/>
      <c r="L704" s="43"/>
      <c r="M704" s="43"/>
      <c r="N704" s="9"/>
      <c r="O704" s="6"/>
      <c r="P704" s="6"/>
      <c r="Q704" s="42"/>
      <c r="R704" s="42"/>
      <c r="S704" s="6"/>
    </row>
    <row r="705" spans="11:19" x14ac:dyDescent="0.2">
      <c r="K705" s="43"/>
      <c r="L705" s="43"/>
      <c r="M705" s="43"/>
      <c r="N705" s="9"/>
      <c r="O705" s="6"/>
      <c r="P705" s="6"/>
      <c r="Q705" s="42"/>
      <c r="R705" s="42"/>
      <c r="S705" s="6"/>
    </row>
    <row r="706" spans="11:19" x14ac:dyDescent="0.2">
      <c r="K706" s="43"/>
      <c r="L706" s="43"/>
      <c r="M706" s="43"/>
      <c r="N706" s="9"/>
      <c r="O706" s="6"/>
      <c r="P706" s="6"/>
      <c r="Q706" s="42"/>
      <c r="R706" s="42"/>
      <c r="S706" s="6"/>
    </row>
    <row r="707" spans="11:19" x14ac:dyDescent="0.2">
      <c r="K707" s="43"/>
      <c r="L707" s="43"/>
      <c r="M707" s="43"/>
      <c r="N707" s="9"/>
      <c r="O707" s="6"/>
      <c r="P707" s="6"/>
      <c r="Q707" s="42"/>
      <c r="R707" s="42"/>
      <c r="S707" s="6"/>
    </row>
    <row r="708" spans="11:19" x14ac:dyDescent="0.2">
      <c r="K708" s="43"/>
      <c r="L708" s="43"/>
      <c r="M708" s="43"/>
      <c r="N708" s="9"/>
      <c r="O708" s="6"/>
      <c r="P708" s="6"/>
      <c r="Q708" s="42"/>
      <c r="R708" s="42"/>
      <c r="S708" s="6"/>
    </row>
    <row r="709" spans="11:19" x14ac:dyDescent="0.2">
      <c r="K709" s="43"/>
      <c r="L709" s="43"/>
      <c r="M709" s="43"/>
      <c r="N709" s="9"/>
      <c r="O709" s="6"/>
      <c r="P709" s="6"/>
      <c r="Q709" s="42"/>
      <c r="R709" s="42"/>
      <c r="S709" s="6"/>
    </row>
    <row r="710" spans="11:19" x14ac:dyDescent="0.2">
      <c r="K710" s="43"/>
      <c r="L710" s="43"/>
      <c r="M710" s="43"/>
      <c r="N710" s="9"/>
      <c r="O710" s="6"/>
      <c r="P710" s="6"/>
      <c r="Q710" s="42"/>
      <c r="R710" s="42"/>
      <c r="S710" s="6"/>
    </row>
    <row r="711" spans="11:19" x14ac:dyDescent="0.2">
      <c r="K711" s="43"/>
      <c r="L711" s="43"/>
      <c r="M711" s="43"/>
      <c r="N711" s="9"/>
      <c r="O711" s="6"/>
      <c r="P711" s="6"/>
      <c r="Q711" s="42"/>
      <c r="R711" s="42"/>
      <c r="S711" s="6"/>
    </row>
    <row r="712" spans="11:19" x14ac:dyDescent="0.2">
      <c r="K712" s="43"/>
      <c r="L712" s="43"/>
      <c r="M712" s="43"/>
      <c r="N712" s="9"/>
      <c r="O712" s="6"/>
      <c r="P712" s="6"/>
      <c r="Q712" s="42"/>
      <c r="R712" s="42"/>
      <c r="S712" s="6"/>
    </row>
    <row r="713" spans="11:19" x14ac:dyDescent="0.2">
      <c r="K713" s="43"/>
      <c r="L713" s="43"/>
      <c r="M713" s="43"/>
      <c r="N713" s="9"/>
      <c r="O713" s="6"/>
      <c r="P713" s="6"/>
      <c r="Q713" s="42"/>
      <c r="R713" s="42"/>
      <c r="S713" s="6"/>
    </row>
    <row r="714" spans="11:19" x14ac:dyDescent="0.2">
      <c r="K714" s="43"/>
      <c r="L714" s="43"/>
      <c r="M714" s="43"/>
      <c r="N714" s="9"/>
      <c r="O714" s="6"/>
      <c r="P714" s="6"/>
      <c r="Q714" s="42"/>
      <c r="R714" s="42"/>
      <c r="S714" s="6"/>
    </row>
    <row r="715" spans="11:19" x14ac:dyDescent="0.2">
      <c r="K715" s="43"/>
      <c r="L715" s="43"/>
      <c r="M715" s="43"/>
      <c r="N715" s="9"/>
      <c r="O715" s="6"/>
      <c r="P715" s="6"/>
      <c r="Q715" s="42"/>
      <c r="R715" s="42"/>
      <c r="S715" s="6"/>
    </row>
    <row r="716" spans="11:19" x14ac:dyDescent="0.2">
      <c r="K716" s="43"/>
      <c r="L716" s="43"/>
      <c r="M716" s="43"/>
      <c r="N716" s="9"/>
      <c r="O716" s="6"/>
      <c r="P716" s="6"/>
      <c r="Q716" s="42"/>
      <c r="R716" s="42"/>
      <c r="S716" s="6"/>
    </row>
    <row r="717" spans="11:19" x14ac:dyDescent="0.2">
      <c r="K717" s="43"/>
      <c r="L717" s="43"/>
      <c r="M717" s="43"/>
      <c r="N717" s="9"/>
      <c r="O717" s="6"/>
      <c r="P717" s="6"/>
      <c r="Q717" s="42"/>
      <c r="R717" s="42"/>
      <c r="S717" s="6"/>
    </row>
    <row r="718" spans="11:19" x14ac:dyDescent="0.2">
      <c r="K718" s="43"/>
      <c r="L718" s="43"/>
      <c r="M718" s="43"/>
      <c r="N718" s="9"/>
      <c r="O718" s="6"/>
      <c r="P718" s="6"/>
      <c r="Q718" s="42"/>
      <c r="R718" s="42"/>
      <c r="S718" s="6"/>
    </row>
    <row r="719" spans="11:19" x14ac:dyDescent="0.2">
      <c r="K719" s="43"/>
      <c r="L719" s="43"/>
      <c r="M719" s="43"/>
      <c r="N719" s="9"/>
      <c r="O719" s="6"/>
      <c r="P719" s="6"/>
      <c r="Q719" s="42"/>
      <c r="R719" s="42"/>
      <c r="S719" s="6"/>
    </row>
    <row r="720" spans="11:19" x14ac:dyDescent="0.2">
      <c r="K720" s="43"/>
      <c r="L720" s="43"/>
      <c r="M720" s="43"/>
      <c r="N720" s="9"/>
      <c r="O720" s="6"/>
      <c r="P720" s="6"/>
      <c r="Q720" s="42"/>
      <c r="R720" s="42"/>
      <c r="S720" s="6"/>
    </row>
    <row r="721" spans="11:19" x14ac:dyDescent="0.2">
      <c r="K721" s="43"/>
      <c r="L721" s="43"/>
      <c r="M721" s="43"/>
      <c r="N721" s="9"/>
      <c r="O721" s="6"/>
      <c r="P721" s="6"/>
      <c r="Q721" s="42"/>
      <c r="R721" s="42"/>
      <c r="S721" s="6"/>
    </row>
    <row r="722" spans="11:19" x14ac:dyDescent="0.2">
      <c r="K722" s="43"/>
      <c r="L722" s="43"/>
      <c r="M722" s="43"/>
      <c r="N722" s="9"/>
      <c r="O722" s="6"/>
      <c r="P722" s="6"/>
      <c r="Q722" s="42"/>
      <c r="R722" s="42"/>
      <c r="S722" s="6"/>
    </row>
    <row r="723" spans="11:19" x14ac:dyDescent="0.2">
      <c r="K723" s="43"/>
      <c r="L723" s="43"/>
      <c r="M723" s="43"/>
      <c r="N723" s="9"/>
      <c r="O723" s="6"/>
      <c r="P723" s="6"/>
      <c r="Q723" s="42"/>
      <c r="R723" s="42"/>
      <c r="S723" s="6"/>
    </row>
    <row r="724" spans="11:19" x14ac:dyDescent="0.2">
      <c r="K724" s="43"/>
      <c r="L724" s="43"/>
      <c r="M724" s="43"/>
      <c r="N724" s="9"/>
      <c r="O724" s="6"/>
      <c r="P724" s="6"/>
      <c r="Q724" s="42"/>
      <c r="R724" s="42"/>
      <c r="S724" s="6"/>
    </row>
    <row r="725" spans="11:19" x14ac:dyDescent="0.2">
      <c r="K725" s="43"/>
      <c r="L725" s="43"/>
      <c r="M725" s="43"/>
      <c r="N725" s="9"/>
      <c r="O725" s="6"/>
      <c r="P725" s="6"/>
      <c r="Q725" s="42"/>
      <c r="R725" s="42"/>
      <c r="S725" s="6"/>
    </row>
    <row r="726" spans="11:19" x14ac:dyDescent="0.2">
      <c r="K726" s="43"/>
      <c r="L726" s="43"/>
      <c r="M726" s="43"/>
      <c r="N726" s="9"/>
      <c r="O726" s="6"/>
      <c r="P726" s="6"/>
      <c r="Q726" s="42"/>
      <c r="R726" s="42"/>
      <c r="S726" s="6"/>
    </row>
    <row r="727" spans="11:19" x14ac:dyDescent="0.2">
      <c r="K727" s="43"/>
      <c r="L727" s="43"/>
      <c r="M727" s="43"/>
      <c r="N727" s="9"/>
      <c r="O727" s="6"/>
      <c r="P727" s="6"/>
      <c r="Q727" s="42"/>
      <c r="R727" s="42"/>
      <c r="S727" s="6"/>
    </row>
    <row r="728" spans="11:19" x14ac:dyDescent="0.2">
      <c r="K728" s="43"/>
      <c r="L728" s="43"/>
      <c r="M728" s="43"/>
      <c r="N728" s="9"/>
      <c r="O728" s="6"/>
      <c r="P728" s="6"/>
      <c r="Q728" s="42"/>
      <c r="R728" s="42"/>
      <c r="S728" s="6"/>
    </row>
    <row r="729" spans="11:19" x14ac:dyDescent="0.2">
      <c r="K729" s="43"/>
      <c r="L729" s="43"/>
      <c r="M729" s="43"/>
      <c r="N729" s="9"/>
      <c r="O729" s="6"/>
      <c r="P729" s="6"/>
      <c r="Q729" s="42"/>
      <c r="R729" s="42"/>
      <c r="S729" s="6"/>
    </row>
    <row r="730" spans="11:19" x14ac:dyDescent="0.2">
      <c r="K730" s="43"/>
      <c r="L730" s="43"/>
      <c r="M730" s="43"/>
      <c r="N730" s="9"/>
      <c r="O730" s="6"/>
      <c r="P730" s="6"/>
      <c r="Q730" s="42"/>
      <c r="R730" s="42"/>
      <c r="S730" s="6"/>
    </row>
    <row r="731" spans="11:19" x14ac:dyDescent="0.2">
      <c r="K731" s="43"/>
      <c r="L731" s="43"/>
      <c r="M731" s="43"/>
      <c r="N731" s="9"/>
      <c r="O731" s="6"/>
      <c r="P731" s="6"/>
      <c r="Q731" s="42"/>
      <c r="R731" s="42"/>
      <c r="S731" s="6"/>
    </row>
    <row r="732" spans="11:19" x14ac:dyDescent="0.2">
      <c r="K732" s="43"/>
      <c r="L732" s="43"/>
      <c r="M732" s="43"/>
      <c r="N732" s="9"/>
      <c r="O732" s="6"/>
      <c r="P732" s="6"/>
      <c r="Q732" s="42"/>
      <c r="R732" s="42"/>
      <c r="S732" s="6"/>
    </row>
    <row r="733" spans="11:19" x14ac:dyDescent="0.2">
      <c r="K733" s="43"/>
      <c r="L733" s="43"/>
      <c r="M733" s="43"/>
      <c r="N733" s="9"/>
      <c r="O733" s="6"/>
      <c r="P733" s="6"/>
      <c r="Q733" s="42"/>
      <c r="R733" s="42"/>
      <c r="S733" s="6"/>
    </row>
    <row r="734" spans="11:19" x14ac:dyDescent="0.2">
      <c r="K734" s="43"/>
      <c r="L734" s="43"/>
      <c r="M734" s="43"/>
      <c r="N734" s="9"/>
      <c r="O734" s="6"/>
      <c r="P734" s="6"/>
      <c r="Q734" s="42"/>
      <c r="R734" s="42"/>
      <c r="S734" s="6"/>
    </row>
    <row r="735" spans="11:19" x14ac:dyDescent="0.2">
      <c r="K735" s="43"/>
      <c r="L735" s="43"/>
      <c r="M735" s="43"/>
      <c r="N735" s="9"/>
      <c r="O735" s="6"/>
      <c r="P735" s="6"/>
      <c r="Q735" s="42"/>
      <c r="R735" s="42"/>
      <c r="S735" s="6"/>
    </row>
    <row r="736" spans="11:19" x14ac:dyDescent="0.2">
      <c r="K736" s="43"/>
      <c r="L736" s="43"/>
      <c r="M736" s="43"/>
      <c r="N736" s="9"/>
      <c r="O736" s="6"/>
      <c r="P736" s="6"/>
      <c r="Q736" s="42"/>
      <c r="R736" s="42"/>
      <c r="S736" s="6"/>
    </row>
    <row r="737" spans="11:19" x14ac:dyDescent="0.2">
      <c r="K737" s="43"/>
      <c r="L737" s="43"/>
      <c r="M737" s="43"/>
      <c r="N737" s="9"/>
      <c r="O737" s="6"/>
      <c r="P737" s="6"/>
      <c r="Q737" s="42"/>
      <c r="R737" s="42"/>
      <c r="S737" s="6"/>
    </row>
    <row r="738" spans="11:19" x14ac:dyDescent="0.2">
      <c r="K738" s="43"/>
      <c r="L738" s="43"/>
      <c r="M738" s="43"/>
      <c r="N738" s="9"/>
      <c r="O738" s="6"/>
      <c r="P738" s="6"/>
      <c r="Q738" s="42"/>
      <c r="R738" s="42"/>
      <c r="S738" s="6"/>
    </row>
    <row r="739" spans="11:19" x14ac:dyDescent="0.2">
      <c r="K739" s="43"/>
      <c r="L739" s="43"/>
      <c r="M739" s="43"/>
      <c r="N739" s="9"/>
      <c r="O739" s="6"/>
      <c r="P739" s="6"/>
      <c r="Q739" s="42"/>
      <c r="R739" s="42"/>
      <c r="S739" s="6"/>
    </row>
    <row r="740" spans="11:19" x14ac:dyDescent="0.2">
      <c r="K740" s="43"/>
      <c r="L740" s="43"/>
      <c r="M740" s="43"/>
      <c r="N740" s="9"/>
      <c r="O740" s="6"/>
      <c r="P740" s="6"/>
      <c r="Q740" s="42"/>
      <c r="R740" s="42"/>
      <c r="S740" s="6"/>
    </row>
    <row r="741" spans="11:19" x14ac:dyDescent="0.2">
      <c r="K741" s="43"/>
      <c r="L741" s="43"/>
      <c r="M741" s="43"/>
      <c r="N741" s="9"/>
      <c r="O741" s="6"/>
      <c r="P741" s="6"/>
      <c r="Q741" s="42"/>
      <c r="R741" s="42"/>
      <c r="S741" s="6"/>
    </row>
    <row r="742" spans="11:19" x14ac:dyDescent="0.2">
      <c r="K742" s="43"/>
      <c r="L742" s="43"/>
      <c r="M742" s="43"/>
      <c r="N742" s="9"/>
      <c r="O742" s="6"/>
      <c r="P742" s="6"/>
      <c r="Q742" s="42"/>
      <c r="R742" s="42"/>
      <c r="S742" s="6"/>
    </row>
    <row r="743" spans="11:19" x14ac:dyDescent="0.2">
      <c r="K743" s="43"/>
      <c r="L743" s="43"/>
      <c r="M743" s="43"/>
      <c r="N743" s="9"/>
      <c r="O743" s="6"/>
      <c r="P743" s="6"/>
      <c r="Q743" s="42"/>
      <c r="R743" s="42"/>
      <c r="S743" s="6"/>
    </row>
    <row r="744" spans="11:19" x14ac:dyDescent="0.2">
      <c r="K744" s="43"/>
      <c r="L744" s="43"/>
      <c r="M744" s="43"/>
      <c r="N744" s="9"/>
      <c r="O744" s="6"/>
      <c r="P744" s="6"/>
      <c r="Q744" s="42"/>
      <c r="R744" s="42"/>
      <c r="S744" s="6"/>
    </row>
    <row r="745" spans="11:19" x14ac:dyDescent="0.2">
      <c r="K745" s="43"/>
      <c r="L745" s="43"/>
      <c r="M745" s="43"/>
      <c r="N745" s="9"/>
      <c r="O745" s="6"/>
      <c r="P745" s="6"/>
      <c r="Q745" s="42"/>
      <c r="R745" s="42"/>
      <c r="S745" s="6"/>
    </row>
    <row r="746" spans="11:19" x14ac:dyDescent="0.2">
      <c r="K746" s="43"/>
      <c r="L746" s="43"/>
      <c r="M746" s="43"/>
      <c r="N746" s="9"/>
      <c r="O746" s="6"/>
      <c r="P746" s="6"/>
      <c r="Q746" s="42"/>
      <c r="R746" s="42"/>
      <c r="S746" s="6"/>
    </row>
    <row r="747" spans="11:19" x14ac:dyDescent="0.2">
      <c r="K747" s="43"/>
      <c r="L747" s="43"/>
      <c r="M747" s="43"/>
      <c r="N747" s="9"/>
      <c r="O747" s="6"/>
      <c r="P747" s="6"/>
      <c r="Q747" s="42"/>
      <c r="R747" s="42"/>
      <c r="S747" s="6"/>
    </row>
    <row r="748" spans="11:19" x14ac:dyDescent="0.2">
      <c r="K748" s="43"/>
      <c r="L748" s="43"/>
      <c r="M748" s="43"/>
      <c r="N748" s="9"/>
      <c r="O748" s="6"/>
      <c r="P748" s="6"/>
      <c r="Q748" s="42"/>
      <c r="R748" s="42"/>
      <c r="S748" s="6"/>
    </row>
    <row r="749" spans="11:19" x14ac:dyDescent="0.2">
      <c r="K749" s="43"/>
      <c r="L749" s="43"/>
      <c r="M749" s="43"/>
      <c r="N749" s="9"/>
      <c r="O749" s="6"/>
      <c r="P749" s="6"/>
      <c r="Q749" s="42"/>
      <c r="R749" s="42"/>
      <c r="S749" s="6"/>
    </row>
    <row r="750" spans="11:19" x14ac:dyDescent="0.2">
      <c r="K750" s="43"/>
      <c r="L750" s="43"/>
      <c r="M750" s="43"/>
      <c r="N750" s="9"/>
      <c r="O750" s="6"/>
      <c r="P750" s="6"/>
      <c r="Q750" s="42"/>
      <c r="R750" s="42"/>
      <c r="S750" s="6"/>
    </row>
    <row r="751" spans="11:19" x14ac:dyDescent="0.2">
      <c r="K751" s="43"/>
      <c r="L751" s="43"/>
      <c r="M751" s="43"/>
      <c r="N751" s="9"/>
      <c r="O751" s="6"/>
      <c r="P751" s="6"/>
      <c r="Q751" s="42"/>
      <c r="R751" s="42"/>
      <c r="S751" s="6"/>
    </row>
    <row r="752" spans="11:19" x14ac:dyDescent="0.2">
      <c r="K752" s="43"/>
      <c r="L752" s="43"/>
      <c r="M752" s="43"/>
      <c r="N752" s="9"/>
      <c r="O752" s="6"/>
      <c r="P752" s="6"/>
      <c r="Q752" s="42"/>
      <c r="R752" s="42"/>
      <c r="S752" s="6"/>
    </row>
    <row r="753" spans="11:19" x14ac:dyDescent="0.2">
      <c r="K753" s="43"/>
      <c r="L753" s="43"/>
      <c r="M753" s="43"/>
      <c r="N753" s="9"/>
      <c r="O753" s="6"/>
      <c r="P753" s="6"/>
      <c r="Q753" s="42"/>
      <c r="R753" s="42"/>
      <c r="S753" s="6"/>
    </row>
    <row r="754" spans="11:19" x14ac:dyDescent="0.2">
      <c r="K754" s="43"/>
      <c r="L754" s="43"/>
      <c r="M754" s="43"/>
      <c r="N754" s="9"/>
      <c r="O754" s="6"/>
      <c r="P754" s="6"/>
      <c r="Q754" s="42"/>
      <c r="R754" s="42"/>
      <c r="S754" s="6"/>
    </row>
    <row r="755" spans="11:19" x14ac:dyDescent="0.2">
      <c r="K755" s="43"/>
      <c r="L755" s="43"/>
      <c r="M755" s="43"/>
      <c r="N755" s="9"/>
      <c r="O755" s="6"/>
      <c r="P755" s="6"/>
      <c r="Q755" s="42"/>
      <c r="R755" s="42"/>
      <c r="S755" s="6"/>
    </row>
    <row r="756" spans="11:19" x14ac:dyDescent="0.2">
      <c r="K756" s="43"/>
      <c r="L756" s="43"/>
      <c r="M756" s="43"/>
      <c r="N756" s="9"/>
      <c r="O756" s="6"/>
      <c r="P756" s="6"/>
      <c r="Q756" s="42"/>
      <c r="R756" s="42"/>
      <c r="S756" s="6"/>
    </row>
    <row r="757" spans="11:19" x14ac:dyDescent="0.2">
      <c r="K757" s="43"/>
      <c r="L757" s="43"/>
      <c r="M757" s="43"/>
      <c r="N757" s="9"/>
      <c r="O757" s="6"/>
      <c r="P757" s="6"/>
      <c r="Q757" s="42"/>
      <c r="R757" s="42"/>
      <c r="S757" s="6"/>
    </row>
    <row r="758" spans="11:19" x14ac:dyDescent="0.2">
      <c r="K758" s="43"/>
      <c r="L758" s="43"/>
      <c r="M758" s="43"/>
      <c r="N758" s="9"/>
      <c r="O758" s="6"/>
      <c r="P758" s="6"/>
      <c r="Q758" s="42"/>
      <c r="R758" s="42"/>
      <c r="S758" s="6"/>
    </row>
    <row r="759" spans="11:19" x14ac:dyDescent="0.2">
      <c r="K759" s="43"/>
      <c r="L759" s="43"/>
      <c r="M759" s="43"/>
      <c r="N759" s="9"/>
      <c r="O759" s="6"/>
      <c r="P759" s="6"/>
      <c r="Q759" s="42"/>
      <c r="R759" s="42"/>
      <c r="S759" s="6"/>
    </row>
    <row r="760" spans="11:19" x14ac:dyDescent="0.2">
      <c r="K760" s="43"/>
      <c r="L760" s="43"/>
      <c r="M760" s="43"/>
      <c r="N760" s="9"/>
      <c r="O760" s="6"/>
      <c r="P760" s="6"/>
      <c r="Q760" s="42"/>
      <c r="R760" s="42"/>
      <c r="S760" s="6"/>
    </row>
    <row r="761" spans="11:19" x14ac:dyDescent="0.2">
      <c r="K761" s="43"/>
      <c r="L761" s="43"/>
      <c r="M761" s="43"/>
      <c r="N761" s="9"/>
      <c r="O761" s="6"/>
      <c r="P761" s="6"/>
      <c r="Q761" s="42"/>
      <c r="R761" s="42"/>
      <c r="S761" s="6"/>
    </row>
    <row r="762" spans="11:19" x14ac:dyDescent="0.2">
      <c r="K762" s="43"/>
      <c r="L762" s="43"/>
      <c r="M762" s="43"/>
      <c r="N762" s="9"/>
      <c r="O762" s="6"/>
      <c r="P762" s="6"/>
      <c r="Q762" s="42"/>
      <c r="R762" s="42"/>
      <c r="S762" s="6"/>
    </row>
    <row r="763" spans="11:19" x14ac:dyDescent="0.2">
      <c r="K763" s="43"/>
      <c r="L763" s="43"/>
      <c r="M763" s="43"/>
      <c r="N763" s="9"/>
      <c r="O763" s="6"/>
      <c r="P763" s="6"/>
      <c r="Q763" s="42"/>
      <c r="R763" s="42"/>
      <c r="S763" s="6"/>
    </row>
    <row r="764" spans="11:19" x14ac:dyDescent="0.2">
      <c r="K764" s="43"/>
      <c r="L764" s="43"/>
      <c r="M764" s="43"/>
      <c r="N764" s="9"/>
      <c r="O764" s="6"/>
      <c r="P764" s="6"/>
      <c r="Q764" s="42"/>
      <c r="R764" s="42"/>
      <c r="S764" s="6"/>
    </row>
    <row r="765" spans="11:19" x14ac:dyDescent="0.2">
      <c r="K765" s="43"/>
      <c r="L765" s="43"/>
      <c r="M765" s="43"/>
      <c r="N765" s="9"/>
      <c r="O765" s="6"/>
      <c r="P765" s="6"/>
      <c r="Q765" s="42"/>
      <c r="R765" s="42"/>
      <c r="S765" s="6"/>
    </row>
    <row r="766" spans="11:19" x14ac:dyDescent="0.2">
      <c r="K766" s="43"/>
      <c r="L766" s="43"/>
      <c r="M766" s="43"/>
      <c r="N766" s="9"/>
      <c r="O766" s="6"/>
      <c r="P766" s="6"/>
      <c r="Q766" s="42"/>
      <c r="R766" s="42"/>
      <c r="S766" s="6"/>
    </row>
    <row r="767" spans="11:19" x14ac:dyDescent="0.2">
      <c r="K767" s="43"/>
      <c r="L767" s="43"/>
      <c r="M767" s="43"/>
      <c r="N767" s="9"/>
      <c r="O767" s="6"/>
      <c r="P767" s="6"/>
      <c r="Q767" s="42"/>
      <c r="R767" s="42"/>
      <c r="S767" s="6"/>
    </row>
    <row r="768" spans="11:19" x14ac:dyDescent="0.2">
      <c r="K768" s="43"/>
      <c r="L768" s="43"/>
      <c r="M768" s="43"/>
      <c r="N768" s="9"/>
      <c r="O768" s="6"/>
      <c r="P768" s="6"/>
      <c r="Q768" s="42"/>
      <c r="R768" s="42"/>
      <c r="S768" s="6"/>
    </row>
    <row r="769" spans="11:19" x14ac:dyDescent="0.2">
      <c r="K769" s="43"/>
      <c r="L769" s="43"/>
      <c r="M769" s="43"/>
      <c r="N769" s="9"/>
      <c r="O769" s="6"/>
      <c r="P769" s="6"/>
      <c r="Q769" s="42"/>
      <c r="R769" s="42"/>
      <c r="S769" s="6"/>
    </row>
    <row r="770" spans="11:19" x14ac:dyDescent="0.2">
      <c r="K770" s="43"/>
      <c r="L770" s="43"/>
      <c r="M770" s="43"/>
      <c r="N770" s="9"/>
      <c r="O770" s="6"/>
      <c r="P770" s="6"/>
      <c r="Q770" s="42"/>
      <c r="R770" s="42"/>
      <c r="S770" s="6"/>
    </row>
    <row r="771" spans="11:19" x14ac:dyDescent="0.2">
      <c r="K771" s="43"/>
      <c r="L771" s="43"/>
      <c r="M771" s="43"/>
      <c r="N771" s="9"/>
      <c r="O771" s="6"/>
      <c r="P771" s="6"/>
      <c r="Q771" s="42"/>
      <c r="R771" s="42"/>
      <c r="S771" s="6"/>
    </row>
    <row r="772" spans="11:19" x14ac:dyDescent="0.2">
      <c r="K772" s="43"/>
      <c r="L772" s="43"/>
      <c r="M772" s="43"/>
      <c r="N772" s="9"/>
      <c r="O772" s="6"/>
      <c r="P772" s="6"/>
      <c r="Q772" s="42"/>
      <c r="R772" s="42"/>
      <c r="S772" s="6"/>
    </row>
    <row r="773" spans="11:19" x14ac:dyDescent="0.2">
      <c r="K773" s="43"/>
      <c r="L773" s="43"/>
      <c r="M773" s="43"/>
      <c r="N773" s="9"/>
      <c r="O773" s="6"/>
      <c r="P773" s="6"/>
      <c r="Q773" s="42"/>
      <c r="R773" s="42"/>
      <c r="S773" s="6"/>
    </row>
    <row r="774" spans="11:19" x14ac:dyDescent="0.2">
      <c r="K774" s="43"/>
      <c r="L774" s="43"/>
      <c r="M774" s="43"/>
      <c r="N774" s="9"/>
      <c r="O774" s="6"/>
      <c r="P774" s="6"/>
      <c r="Q774" s="42"/>
      <c r="R774" s="42"/>
      <c r="S774" s="6"/>
    </row>
    <row r="775" spans="11:19" x14ac:dyDescent="0.2">
      <c r="K775" s="43"/>
      <c r="L775" s="43"/>
      <c r="M775" s="43"/>
      <c r="N775" s="9"/>
      <c r="O775" s="6"/>
      <c r="P775" s="6"/>
      <c r="Q775" s="42"/>
      <c r="R775" s="42"/>
      <c r="S775" s="6"/>
    </row>
    <row r="776" spans="11:19" x14ac:dyDescent="0.2">
      <c r="K776" s="43"/>
      <c r="L776" s="43"/>
      <c r="M776" s="43"/>
      <c r="N776" s="9"/>
      <c r="O776" s="6"/>
      <c r="P776" s="6"/>
      <c r="Q776" s="42"/>
      <c r="R776" s="42"/>
      <c r="S776" s="6"/>
    </row>
    <row r="777" spans="11:19" x14ac:dyDescent="0.2">
      <c r="K777" s="43"/>
      <c r="L777" s="43"/>
      <c r="M777" s="43"/>
      <c r="N777" s="9"/>
      <c r="O777" s="6"/>
      <c r="P777" s="6"/>
      <c r="Q777" s="42"/>
      <c r="R777" s="42"/>
      <c r="S777" s="6"/>
    </row>
    <row r="778" spans="11:19" x14ac:dyDescent="0.2">
      <c r="K778" s="43"/>
      <c r="L778" s="43"/>
      <c r="M778" s="43"/>
      <c r="N778" s="9"/>
      <c r="O778" s="6"/>
      <c r="P778" s="6"/>
      <c r="Q778" s="42"/>
      <c r="R778" s="42"/>
      <c r="S778" s="6"/>
    </row>
    <row r="779" spans="11:19" x14ac:dyDescent="0.2">
      <c r="K779" s="43"/>
      <c r="L779" s="43"/>
      <c r="M779" s="43"/>
      <c r="N779" s="9"/>
      <c r="O779" s="6"/>
      <c r="P779" s="6"/>
      <c r="Q779" s="42"/>
      <c r="R779" s="42"/>
      <c r="S779" s="6"/>
    </row>
    <row r="780" spans="11:19" x14ac:dyDescent="0.2">
      <c r="K780" s="43"/>
      <c r="L780" s="43"/>
      <c r="M780" s="43"/>
      <c r="N780" s="9"/>
      <c r="O780" s="6"/>
      <c r="P780" s="6"/>
      <c r="Q780" s="42"/>
      <c r="R780" s="42"/>
      <c r="S780" s="6"/>
    </row>
    <row r="781" spans="11:19" x14ac:dyDescent="0.2">
      <c r="K781" s="43"/>
      <c r="L781" s="43"/>
      <c r="M781" s="43"/>
      <c r="N781" s="9"/>
      <c r="O781" s="6"/>
      <c r="P781" s="6"/>
      <c r="Q781" s="42"/>
      <c r="R781" s="42"/>
      <c r="S781" s="6"/>
    </row>
    <row r="782" spans="11:19" x14ac:dyDescent="0.2">
      <c r="K782" s="43"/>
      <c r="L782" s="43"/>
      <c r="M782" s="43"/>
      <c r="N782" s="9"/>
      <c r="O782" s="6"/>
      <c r="P782" s="6"/>
      <c r="Q782" s="42"/>
      <c r="R782" s="42"/>
      <c r="S782" s="6"/>
    </row>
    <row r="783" spans="11:19" x14ac:dyDescent="0.2">
      <c r="K783" s="43"/>
      <c r="L783" s="43"/>
      <c r="M783" s="43"/>
      <c r="N783" s="9"/>
      <c r="O783" s="6"/>
      <c r="P783" s="6"/>
      <c r="Q783" s="42"/>
      <c r="R783" s="42"/>
      <c r="S783" s="6"/>
    </row>
    <row r="784" spans="11:19" x14ac:dyDescent="0.2">
      <c r="K784" s="43"/>
      <c r="L784" s="43"/>
      <c r="M784" s="43"/>
      <c r="N784" s="9"/>
      <c r="O784" s="6"/>
      <c r="P784" s="6"/>
      <c r="Q784" s="42"/>
      <c r="R784" s="42"/>
      <c r="S784" s="6"/>
    </row>
    <row r="785" spans="11:19" x14ac:dyDescent="0.2">
      <c r="K785" s="43"/>
      <c r="L785" s="43"/>
      <c r="M785" s="43"/>
      <c r="N785" s="9"/>
      <c r="O785" s="6"/>
      <c r="P785" s="6"/>
      <c r="Q785" s="42"/>
      <c r="R785" s="42"/>
      <c r="S785" s="6"/>
    </row>
    <row r="786" spans="11:19" x14ac:dyDescent="0.2">
      <c r="K786" s="43"/>
      <c r="L786" s="43"/>
      <c r="M786" s="43"/>
      <c r="N786" s="9"/>
      <c r="O786" s="6"/>
      <c r="P786" s="6"/>
      <c r="Q786" s="42"/>
      <c r="R786" s="42"/>
      <c r="S786" s="6"/>
    </row>
    <row r="787" spans="11:19" x14ac:dyDescent="0.2">
      <c r="K787" s="43"/>
      <c r="L787" s="43"/>
      <c r="M787" s="43"/>
      <c r="N787" s="9"/>
      <c r="O787" s="6"/>
      <c r="P787" s="6"/>
      <c r="Q787" s="42"/>
      <c r="R787" s="42"/>
      <c r="S787" s="6"/>
    </row>
    <row r="788" spans="11:19" x14ac:dyDescent="0.2">
      <c r="K788" s="43"/>
      <c r="L788" s="43"/>
      <c r="M788" s="43"/>
      <c r="N788" s="9"/>
      <c r="O788" s="6"/>
      <c r="P788" s="6"/>
      <c r="Q788" s="42"/>
      <c r="R788" s="42"/>
      <c r="S788" s="6"/>
    </row>
    <row r="789" spans="11:19" x14ac:dyDescent="0.2">
      <c r="K789" s="43"/>
      <c r="L789" s="43"/>
      <c r="M789" s="43"/>
      <c r="N789" s="9"/>
      <c r="O789" s="6"/>
      <c r="P789" s="6"/>
      <c r="Q789" s="42"/>
      <c r="R789" s="42"/>
      <c r="S789" s="6"/>
    </row>
    <row r="790" spans="11:19" x14ac:dyDescent="0.2">
      <c r="K790" s="43"/>
      <c r="L790" s="43"/>
      <c r="M790" s="43"/>
      <c r="N790" s="9"/>
      <c r="O790" s="6"/>
      <c r="P790" s="6"/>
      <c r="Q790" s="42"/>
      <c r="R790" s="42"/>
      <c r="S790" s="6"/>
    </row>
    <row r="791" spans="11:19" x14ac:dyDescent="0.2">
      <c r="K791" s="43"/>
      <c r="L791" s="43"/>
      <c r="M791" s="43"/>
      <c r="N791" s="9"/>
      <c r="O791" s="6"/>
      <c r="P791" s="6"/>
      <c r="Q791" s="42"/>
      <c r="R791" s="42"/>
      <c r="S791" s="6"/>
    </row>
    <row r="792" spans="11:19" x14ac:dyDescent="0.2">
      <c r="K792" s="43"/>
      <c r="L792" s="43"/>
      <c r="M792" s="43"/>
      <c r="N792" s="9"/>
      <c r="O792" s="6"/>
      <c r="P792" s="6"/>
      <c r="Q792" s="42"/>
      <c r="R792" s="42"/>
      <c r="S792" s="6"/>
    </row>
    <row r="793" spans="11:19" x14ac:dyDescent="0.2">
      <c r="K793" s="43"/>
      <c r="L793" s="43"/>
      <c r="M793" s="43"/>
      <c r="N793" s="9"/>
      <c r="O793" s="6"/>
      <c r="P793" s="6"/>
      <c r="Q793" s="42"/>
      <c r="R793" s="42"/>
      <c r="S793" s="6"/>
    </row>
    <row r="794" spans="11:19" x14ac:dyDescent="0.2">
      <c r="K794" s="43"/>
      <c r="L794" s="43"/>
      <c r="M794" s="43"/>
      <c r="N794" s="9"/>
      <c r="O794" s="6"/>
      <c r="P794" s="6"/>
      <c r="Q794" s="42"/>
      <c r="R794" s="42"/>
      <c r="S794" s="6"/>
    </row>
    <row r="795" spans="11:19" x14ac:dyDescent="0.2">
      <c r="K795" s="43"/>
      <c r="L795" s="43"/>
      <c r="M795" s="43"/>
      <c r="N795" s="9"/>
      <c r="O795" s="6"/>
      <c r="P795" s="6"/>
      <c r="Q795" s="42"/>
      <c r="R795" s="42"/>
      <c r="S795" s="6"/>
    </row>
    <row r="796" spans="11:19" x14ac:dyDescent="0.2">
      <c r="K796" s="43"/>
      <c r="L796" s="43"/>
      <c r="M796" s="43"/>
      <c r="N796" s="9"/>
      <c r="O796" s="6"/>
      <c r="P796" s="6"/>
      <c r="Q796" s="42"/>
      <c r="R796" s="42"/>
      <c r="S796" s="6"/>
    </row>
    <row r="797" spans="11:19" x14ac:dyDescent="0.2">
      <c r="K797" s="43"/>
      <c r="L797" s="43"/>
      <c r="M797" s="43"/>
      <c r="N797" s="9"/>
      <c r="O797" s="6"/>
      <c r="P797" s="6"/>
      <c r="Q797" s="42"/>
      <c r="R797" s="42"/>
      <c r="S797" s="6"/>
    </row>
    <row r="798" spans="11:19" x14ac:dyDescent="0.2">
      <c r="K798" s="43"/>
      <c r="L798" s="43"/>
      <c r="M798" s="43"/>
      <c r="N798" s="9"/>
      <c r="O798" s="6"/>
      <c r="P798" s="6"/>
      <c r="Q798" s="42"/>
      <c r="R798" s="42"/>
      <c r="S798" s="6"/>
    </row>
    <row r="799" spans="11:19" x14ac:dyDescent="0.2">
      <c r="K799" s="43"/>
      <c r="L799" s="43"/>
      <c r="M799" s="43"/>
      <c r="N799" s="9"/>
      <c r="O799" s="6"/>
      <c r="P799" s="6"/>
      <c r="Q799" s="42"/>
      <c r="R799" s="42"/>
      <c r="S799" s="6"/>
    </row>
    <row r="800" spans="11:19" x14ac:dyDescent="0.2">
      <c r="K800" s="43"/>
      <c r="L800" s="43"/>
      <c r="M800" s="43"/>
      <c r="N800" s="9"/>
      <c r="O800" s="6"/>
      <c r="P800" s="6"/>
      <c r="Q800" s="42"/>
      <c r="R800" s="42"/>
      <c r="S800" s="6"/>
    </row>
    <row r="801" spans="11:19" x14ac:dyDescent="0.2">
      <c r="K801" s="43"/>
      <c r="L801" s="43"/>
      <c r="M801" s="43"/>
      <c r="N801" s="9"/>
      <c r="O801" s="6"/>
      <c r="P801" s="6"/>
      <c r="Q801" s="42"/>
      <c r="R801" s="42"/>
      <c r="S801" s="6"/>
    </row>
    <row r="802" spans="11:19" x14ac:dyDescent="0.2">
      <c r="K802" s="43"/>
      <c r="L802" s="43"/>
      <c r="M802" s="43"/>
      <c r="N802" s="9"/>
      <c r="O802" s="6"/>
      <c r="P802" s="6"/>
      <c r="Q802" s="42"/>
      <c r="R802" s="42"/>
      <c r="S802" s="6"/>
    </row>
    <row r="803" spans="11:19" x14ac:dyDescent="0.2">
      <c r="K803" s="43"/>
      <c r="L803" s="43"/>
      <c r="M803" s="43"/>
      <c r="N803" s="9"/>
      <c r="O803" s="6"/>
      <c r="P803" s="6"/>
      <c r="Q803" s="42"/>
      <c r="R803" s="42"/>
      <c r="S803" s="6"/>
    </row>
    <row r="804" spans="11:19" x14ac:dyDescent="0.2">
      <c r="K804" s="43"/>
      <c r="L804" s="43"/>
      <c r="M804" s="43"/>
      <c r="N804" s="9"/>
      <c r="O804" s="6"/>
      <c r="P804" s="6"/>
      <c r="Q804" s="42"/>
      <c r="R804" s="42"/>
      <c r="S804" s="6"/>
    </row>
    <row r="805" spans="11:19" x14ac:dyDescent="0.2">
      <c r="K805" s="43"/>
      <c r="L805" s="43"/>
      <c r="M805" s="43"/>
      <c r="N805" s="9"/>
      <c r="O805" s="6"/>
      <c r="P805" s="6"/>
      <c r="Q805" s="42"/>
      <c r="R805" s="42"/>
      <c r="S805" s="6"/>
    </row>
    <row r="806" spans="11:19" x14ac:dyDescent="0.2">
      <c r="K806" s="43"/>
      <c r="L806" s="43"/>
      <c r="M806" s="43"/>
      <c r="N806" s="9"/>
      <c r="O806" s="6"/>
      <c r="P806" s="6"/>
      <c r="Q806" s="42"/>
      <c r="R806" s="42"/>
      <c r="S806" s="6"/>
    </row>
    <row r="807" spans="11:19" x14ac:dyDescent="0.2">
      <c r="K807" s="43"/>
      <c r="L807" s="43"/>
      <c r="M807" s="43"/>
      <c r="N807" s="9"/>
      <c r="O807" s="6"/>
      <c r="P807" s="6"/>
      <c r="Q807" s="42"/>
      <c r="R807" s="42"/>
      <c r="S807" s="6"/>
    </row>
    <row r="808" spans="11:19" x14ac:dyDescent="0.2">
      <c r="K808" s="43"/>
      <c r="L808" s="43"/>
      <c r="M808" s="43"/>
      <c r="N808" s="9"/>
      <c r="O808" s="6"/>
      <c r="P808" s="6"/>
      <c r="Q808" s="42"/>
      <c r="R808" s="42"/>
      <c r="S808" s="6"/>
    </row>
    <row r="809" spans="11:19" x14ac:dyDescent="0.2">
      <c r="K809" s="43"/>
      <c r="L809" s="43"/>
      <c r="M809" s="43"/>
      <c r="N809" s="9"/>
      <c r="O809" s="6"/>
      <c r="P809" s="6"/>
      <c r="Q809" s="42"/>
      <c r="R809" s="42"/>
      <c r="S809" s="6"/>
    </row>
    <row r="810" spans="11:19" x14ac:dyDescent="0.2">
      <c r="K810" s="43"/>
      <c r="L810" s="43"/>
      <c r="M810" s="43"/>
      <c r="N810" s="9"/>
      <c r="O810" s="6"/>
      <c r="P810" s="6"/>
      <c r="Q810" s="42"/>
      <c r="R810" s="42"/>
      <c r="S810" s="6"/>
    </row>
    <row r="811" spans="11:19" x14ac:dyDescent="0.2">
      <c r="K811" s="43"/>
      <c r="L811" s="43"/>
      <c r="M811" s="43"/>
      <c r="N811" s="9"/>
      <c r="O811" s="6"/>
      <c r="P811" s="6"/>
      <c r="Q811" s="42"/>
      <c r="R811" s="42"/>
      <c r="S811" s="6"/>
    </row>
    <row r="812" spans="11:19" x14ac:dyDescent="0.2">
      <c r="K812" s="43"/>
      <c r="L812" s="43"/>
      <c r="M812" s="43"/>
      <c r="N812" s="9"/>
      <c r="O812" s="6"/>
      <c r="P812" s="6"/>
      <c r="Q812" s="42"/>
      <c r="R812" s="42"/>
      <c r="S812" s="6"/>
    </row>
    <row r="813" spans="11:19" x14ac:dyDescent="0.2">
      <c r="K813" s="43"/>
      <c r="L813" s="43"/>
      <c r="M813" s="43"/>
      <c r="N813" s="9"/>
      <c r="O813" s="6"/>
      <c r="P813" s="6"/>
      <c r="Q813" s="42"/>
      <c r="R813" s="42"/>
      <c r="S813" s="6"/>
    </row>
    <row r="814" spans="11:19" x14ac:dyDescent="0.2">
      <c r="K814" s="43"/>
      <c r="L814" s="43"/>
      <c r="M814" s="43"/>
      <c r="N814" s="9"/>
      <c r="O814" s="6"/>
      <c r="P814" s="6"/>
      <c r="Q814" s="42"/>
      <c r="R814" s="42"/>
      <c r="S814" s="6"/>
    </row>
    <row r="815" spans="11:19" x14ac:dyDescent="0.2">
      <c r="K815" s="43"/>
      <c r="L815" s="43"/>
      <c r="M815" s="43"/>
      <c r="N815" s="9"/>
      <c r="O815" s="6"/>
      <c r="P815" s="6"/>
      <c r="Q815" s="42"/>
      <c r="R815" s="42"/>
      <c r="S815" s="6"/>
    </row>
    <row r="816" spans="11:19" x14ac:dyDescent="0.2">
      <c r="K816" s="43"/>
      <c r="L816" s="43"/>
      <c r="M816" s="43"/>
      <c r="N816" s="9"/>
      <c r="O816" s="6"/>
      <c r="P816" s="6"/>
      <c r="Q816" s="42"/>
      <c r="R816" s="42"/>
      <c r="S816" s="6"/>
    </row>
    <row r="817" spans="11:19" x14ac:dyDescent="0.2">
      <c r="K817" s="43"/>
      <c r="L817" s="43"/>
      <c r="M817" s="43"/>
      <c r="N817" s="9"/>
      <c r="O817" s="6"/>
      <c r="P817" s="6"/>
      <c r="Q817" s="42"/>
      <c r="R817" s="42"/>
      <c r="S817" s="6"/>
    </row>
    <row r="818" spans="11:19" x14ac:dyDescent="0.2">
      <c r="K818" s="43"/>
      <c r="L818" s="43"/>
      <c r="M818" s="43"/>
      <c r="N818" s="9"/>
      <c r="O818" s="6"/>
      <c r="P818" s="6"/>
      <c r="Q818" s="42"/>
      <c r="R818" s="42"/>
      <c r="S818" s="6"/>
    </row>
    <row r="819" spans="11:19" x14ac:dyDescent="0.2">
      <c r="K819" s="43"/>
      <c r="L819" s="43"/>
      <c r="M819" s="43"/>
      <c r="N819" s="9"/>
      <c r="O819" s="6"/>
      <c r="P819" s="6"/>
      <c r="Q819" s="42"/>
      <c r="R819" s="42"/>
      <c r="S819" s="6"/>
    </row>
    <row r="820" spans="11:19" x14ac:dyDescent="0.2">
      <c r="K820" s="43"/>
      <c r="L820" s="43"/>
      <c r="M820" s="43"/>
      <c r="N820" s="9"/>
      <c r="O820" s="6"/>
      <c r="P820" s="6"/>
      <c r="Q820" s="42"/>
      <c r="R820" s="42"/>
      <c r="S820" s="6"/>
    </row>
    <row r="821" spans="11:19" x14ac:dyDescent="0.2">
      <c r="K821" s="43"/>
      <c r="L821" s="43"/>
      <c r="M821" s="43"/>
      <c r="N821" s="9"/>
      <c r="O821" s="6"/>
      <c r="P821" s="6"/>
      <c r="Q821" s="42"/>
      <c r="R821" s="42"/>
      <c r="S821" s="6"/>
    </row>
    <row r="822" spans="11:19" x14ac:dyDescent="0.2">
      <c r="K822" s="43"/>
      <c r="L822" s="43"/>
      <c r="M822" s="43"/>
      <c r="N822" s="9"/>
      <c r="O822" s="6"/>
      <c r="P822" s="6"/>
      <c r="Q822" s="42"/>
      <c r="R822" s="42"/>
      <c r="S822" s="6"/>
    </row>
    <row r="823" spans="11:19" x14ac:dyDescent="0.2">
      <c r="K823" s="43"/>
      <c r="L823" s="43"/>
      <c r="M823" s="43"/>
      <c r="N823" s="9"/>
      <c r="O823" s="6"/>
      <c r="P823" s="6"/>
      <c r="Q823" s="42"/>
      <c r="R823" s="42"/>
      <c r="S823" s="6"/>
    </row>
    <row r="824" spans="11:19" x14ac:dyDescent="0.2">
      <c r="K824" s="43"/>
      <c r="L824" s="43"/>
      <c r="M824" s="43"/>
      <c r="N824" s="9"/>
      <c r="O824" s="6"/>
      <c r="P824" s="6"/>
      <c r="Q824" s="42"/>
      <c r="R824" s="42"/>
      <c r="S824" s="6"/>
    </row>
    <row r="825" spans="11:19" x14ac:dyDescent="0.2">
      <c r="K825" s="43"/>
      <c r="L825" s="43"/>
      <c r="M825" s="43"/>
      <c r="N825" s="9"/>
      <c r="O825" s="6"/>
      <c r="P825" s="6"/>
      <c r="Q825" s="42"/>
      <c r="R825" s="42"/>
      <c r="S825" s="6"/>
    </row>
    <row r="826" spans="11:19" x14ac:dyDescent="0.2">
      <c r="K826" s="43"/>
      <c r="L826" s="43"/>
      <c r="M826" s="43"/>
      <c r="N826" s="9"/>
      <c r="O826" s="6"/>
      <c r="P826" s="6"/>
      <c r="Q826" s="42"/>
      <c r="R826" s="42"/>
      <c r="S826" s="6"/>
    </row>
    <row r="827" spans="11:19" x14ac:dyDescent="0.2">
      <c r="K827" s="43"/>
      <c r="L827" s="43"/>
      <c r="M827" s="43"/>
      <c r="N827" s="9"/>
      <c r="O827" s="6"/>
      <c r="P827" s="6"/>
      <c r="Q827" s="42"/>
      <c r="R827" s="42"/>
      <c r="S827" s="6"/>
    </row>
    <row r="828" spans="11:19" x14ac:dyDescent="0.2">
      <c r="K828" s="43"/>
      <c r="L828" s="43"/>
      <c r="M828" s="43"/>
      <c r="N828" s="9"/>
      <c r="O828" s="6"/>
      <c r="P828" s="6"/>
      <c r="Q828" s="42"/>
      <c r="R828" s="42"/>
      <c r="S828" s="6"/>
    </row>
    <row r="829" spans="11:19" x14ac:dyDescent="0.2">
      <c r="K829" s="43"/>
      <c r="L829" s="43"/>
      <c r="M829" s="43"/>
      <c r="N829" s="9"/>
      <c r="O829" s="6"/>
      <c r="P829" s="6"/>
      <c r="Q829" s="42"/>
      <c r="R829" s="42"/>
      <c r="S829" s="6"/>
    </row>
    <row r="830" spans="11:19" x14ac:dyDescent="0.2">
      <c r="K830" s="43"/>
      <c r="L830" s="43"/>
      <c r="M830" s="43"/>
      <c r="N830" s="9"/>
      <c r="O830" s="6"/>
      <c r="P830" s="6"/>
      <c r="Q830" s="42"/>
      <c r="R830" s="42"/>
      <c r="S830" s="6"/>
    </row>
    <row r="831" spans="11:19" x14ac:dyDescent="0.2">
      <c r="K831" s="43"/>
      <c r="L831" s="43"/>
      <c r="M831" s="43"/>
      <c r="N831" s="9"/>
      <c r="O831" s="6"/>
      <c r="P831" s="6"/>
      <c r="Q831" s="42"/>
      <c r="R831" s="42"/>
      <c r="S831" s="6"/>
    </row>
    <row r="832" spans="11:19" x14ac:dyDescent="0.2">
      <c r="K832" s="43"/>
      <c r="L832" s="43"/>
      <c r="M832" s="43"/>
      <c r="N832" s="9"/>
      <c r="O832" s="6"/>
      <c r="P832" s="6"/>
      <c r="Q832" s="42"/>
      <c r="R832" s="42"/>
      <c r="S832" s="6"/>
    </row>
    <row r="833" spans="11:19" x14ac:dyDescent="0.2">
      <c r="K833" s="43"/>
      <c r="L833" s="43"/>
      <c r="M833" s="43"/>
      <c r="N833" s="9"/>
      <c r="O833" s="6"/>
      <c r="P833" s="6"/>
      <c r="Q833" s="42"/>
      <c r="R833" s="42"/>
      <c r="S833" s="6"/>
    </row>
    <row r="834" spans="11:19" x14ac:dyDescent="0.2">
      <c r="K834" s="43"/>
      <c r="L834" s="43"/>
      <c r="M834" s="43"/>
      <c r="N834" s="9"/>
      <c r="O834" s="6"/>
      <c r="P834" s="6"/>
      <c r="Q834" s="42"/>
      <c r="R834" s="42"/>
      <c r="S834" s="6"/>
    </row>
    <row r="835" spans="11:19" x14ac:dyDescent="0.2">
      <c r="K835" s="43"/>
      <c r="L835" s="43"/>
      <c r="M835" s="43"/>
      <c r="N835" s="9"/>
      <c r="O835" s="6"/>
      <c r="P835" s="6"/>
      <c r="Q835" s="42"/>
      <c r="R835" s="42"/>
      <c r="S835" s="6"/>
    </row>
    <row r="836" spans="11:19" x14ac:dyDescent="0.2">
      <c r="K836" s="43"/>
      <c r="L836" s="43"/>
      <c r="M836" s="43"/>
      <c r="N836" s="9"/>
      <c r="O836" s="6"/>
      <c r="P836" s="6"/>
      <c r="Q836" s="42"/>
      <c r="R836" s="42"/>
      <c r="S836" s="6"/>
    </row>
    <row r="837" spans="11:19" x14ac:dyDescent="0.2">
      <c r="K837" s="43"/>
      <c r="L837" s="43"/>
      <c r="M837" s="43"/>
      <c r="N837" s="9"/>
      <c r="O837" s="6"/>
      <c r="P837" s="6"/>
      <c r="Q837" s="42"/>
      <c r="R837" s="42"/>
      <c r="S837" s="6"/>
    </row>
    <row r="838" spans="11:19" x14ac:dyDescent="0.2">
      <c r="K838" s="43"/>
      <c r="L838" s="43"/>
      <c r="M838" s="43"/>
      <c r="N838" s="9"/>
      <c r="O838" s="6"/>
      <c r="P838" s="6"/>
      <c r="Q838" s="42"/>
      <c r="R838" s="42"/>
      <c r="S838" s="6"/>
    </row>
    <row r="839" spans="11:19" x14ac:dyDescent="0.2">
      <c r="K839" s="43"/>
      <c r="L839" s="43"/>
      <c r="M839" s="43"/>
      <c r="N839" s="9"/>
      <c r="O839" s="6"/>
      <c r="P839" s="6"/>
      <c r="Q839" s="42"/>
      <c r="R839" s="42"/>
      <c r="S839" s="6"/>
    </row>
    <row r="840" spans="11:19" x14ac:dyDescent="0.2">
      <c r="K840" s="43"/>
      <c r="L840" s="43"/>
      <c r="M840" s="43"/>
      <c r="N840" s="9"/>
      <c r="O840" s="6"/>
      <c r="P840" s="6"/>
      <c r="Q840" s="42"/>
      <c r="R840" s="42"/>
      <c r="S840" s="6"/>
    </row>
    <row r="841" spans="11:19" x14ac:dyDescent="0.2">
      <c r="K841" s="43"/>
      <c r="L841" s="43"/>
      <c r="M841" s="43"/>
      <c r="N841" s="9"/>
      <c r="O841" s="6"/>
      <c r="P841" s="6"/>
      <c r="Q841" s="42"/>
      <c r="R841" s="42"/>
      <c r="S841" s="6"/>
    </row>
    <row r="842" spans="11:19" x14ac:dyDescent="0.2">
      <c r="K842" s="43"/>
      <c r="L842" s="43"/>
      <c r="M842" s="43"/>
      <c r="N842" s="9"/>
      <c r="O842" s="6"/>
      <c r="P842" s="6"/>
      <c r="Q842" s="42"/>
      <c r="R842" s="42"/>
      <c r="S842" s="6"/>
    </row>
    <row r="843" spans="11:19" x14ac:dyDescent="0.2">
      <c r="K843" s="43"/>
      <c r="L843" s="43"/>
      <c r="M843" s="43"/>
      <c r="N843" s="9"/>
      <c r="O843" s="6"/>
      <c r="P843" s="6"/>
      <c r="Q843" s="42"/>
      <c r="R843" s="42"/>
      <c r="S843" s="6"/>
    </row>
    <row r="844" spans="11:19" x14ac:dyDescent="0.2">
      <c r="K844" s="43"/>
      <c r="L844" s="43"/>
      <c r="M844" s="43"/>
      <c r="N844" s="9"/>
      <c r="O844" s="6"/>
      <c r="P844" s="6"/>
      <c r="Q844" s="42"/>
      <c r="R844" s="42"/>
      <c r="S844" s="6"/>
    </row>
    <row r="845" spans="11:19" x14ac:dyDescent="0.2">
      <c r="K845" s="43"/>
      <c r="L845" s="43"/>
      <c r="M845" s="43"/>
      <c r="N845" s="9"/>
      <c r="O845" s="6"/>
      <c r="P845" s="6"/>
      <c r="Q845" s="42"/>
      <c r="R845" s="42"/>
      <c r="S845" s="6"/>
    </row>
    <row r="846" spans="11:19" x14ac:dyDescent="0.2">
      <c r="K846" s="43"/>
      <c r="L846" s="43"/>
      <c r="M846" s="43"/>
      <c r="N846" s="9"/>
      <c r="O846" s="6"/>
      <c r="P846" s="6"/>
      <c r="Q846" s="42"/>
      <c r="R846" s="42"/>
      <c r="S846" s="6"/>
    </row>
    <row r="847" spans="11:19" x14ac:dyDescent="0.2">
      <c r="K847" s="43"/>
      <c r="L847" s="43"/>
      <c r="M847" s="43"/>
      <c r="N847" s="9"/>
      <c r="O847" s="6"/>
      <c r="P847" s="6"/>
      <c r="Q847" s="42"/>
      <c r="R847" s="42"/>
      <c r="S847" s="6"/>
    </row>
    <row r="848" spans="11:19" x14ac:dyDescent="0.2">
      <c r="K848" s="43"/>
      <c r="L848" s="43"/>
      <c r="M848" s="43"/>
      <c r="N848" s="9"/>
      <c r="O848" s="6"/>
      <c r="P848" s="6"/>
      <c r="Q848" s="42"/>
      <c r="R848" s="42"/>
      <c r="S848" s="6"/>
    </row>
    <row r="849" spans="11:19" x14ac:dyDescent="0.2">
      <c r="K849" s="43"/>
      <c r="L849" s="43"/>
      <c r="M849" s="43"/>
      <c r="N849" s="9"/>
      <c r="O849" s="6"/>
      <c r="P849" s="6"/>
      <c r="Q849" s="42"/>
      <c r="R849" s="42"/>
      <c r="S849" s="6"/>
    </row>
    <row r="850" spans="11:19" x14ac:dyDescent="0.2">
      <c r="K850" s="43"/>
      <c r="L850" s="43"/>
      <c r="M850" s="43"/>
      <c r="N850" s="9"/>
      <c r="O850" s="6"/>
      <c r="P850" s="6"/>
      <c r="Q850" s="42"/>
      <c r="R850" s="42"/>
      <c r="S850" s="6"/>
    </row>
    <row r="851" spans="11:19" x14ac:dyDescent="0.2">
      <c r="K851" s="43"/>
      <c r="L851" s="43"/>
      <c r="M851" s="43"/>
      <c r="N851" s="9"/>
      <c r="O851" s="6"/>
      <c r="P851" s="6"/>
      <c r="Q851" s="42"/>
      <c r="R851" s="42"/>
      <c r="S851" s="6"/>
    </row>
    <row r="852" spans="11:19" x14ac:dyDescent="0.2">
      <c r="K852" s="43"/>
      <c r="L852" s="43"/>
      <c r="M852" s="43"/>
      <c r="N852" s="9"/>
      <c r="O852" s="6"/>
      <c r="P852" s="6"/>
      <c r="Q852" s="42"/>
      <c r="R852" s="42"/>
      <c r="S852" s="6"/>
    </row>
    <row r="853" spans="11:19" x14ac:dyDescent="0.2">
      <c r="K853" s="43"/>
      <c r="L853" s="43"/>
      <c r="M853" s="43"/>
      <c r="N853" s="9"/>
      <c r="O853" s="6"/>
      <c r="P853" s="6"/>
      <c r="Q853" s="42"/>
      <c r="R853" s="42"/>
      <c r="S853" s="6"/>
    </row>
    <row r="854" spans="11:19" x14ac:dyDescent="0.2">
      <c r="K854" s="43"/>
      <c r="L854" s="43"/>
      <c r="M854" s="43"/>
      <c r="N854" s="9"/>
      <c r="O854" s="6"/>
      <c r="P854" s="6"/>
      <c r="Q854" s="42"/>
      <c r="R854" s="42"/>
      <c r="S854" s="6"/>
    </row>
    <row r="855" spans="11:19" x14ac:dyDescent="0.2">
      <c r="K855" s="43"/>
      <c r="L855" s="43"/>
      <c r="M855" s="43"/>
      <c r="N855" s="9"/>
      <c r="O855" s="6"/>
      <c r="P855" s="6"/>
      <c r="Q855" s="42"/>
      <c r="R855" s="42"/>
      <c r="S855" s="6"/>
    </row>
    <row r="856" spans="11:19" x14ac:dyDescent="0.2">
      <c r="K856" s="43"/>
      <c r="L856" s="43"/>
      <c r="M856" s="43"/>
      <c r="N856" s="9"/>
      <c r="O856" s="6"/>
      <c r="P856" s="6"/>
      <c r="Q856" s="42"/>
      <c r="R856" s="42"/>
      <c r="S856" s="6"/>
    </row>
    <row r="857" spans="11:19" x14ac:dyDescent="0.2">
      <c r="K857" s="43"/>
      <c r="L857" s="43"/>
      <c r="M857" s="43"/>
      <c r="N857" s="9"/>
      <c r="O857" s="6"/>
      <c r="P857" s="6"/>
      <c r="Q857" s="42"/>
      <c r="R857" s="42"/>
      <c r="S857" s="6"/>
    </row>
    <row r="858" spans="11:19" x14ac:dyDescent="0.2">
      <c r="K858" s="43"/>
      <c r="L858" s="43"/>
      <c r="M858" s="43"/>
      <c r="N858" s="9"/>
      <c r="O858" s="6"/>
      <c r="P858" s="6"/>
      <c r="Q858" s="42"/>
      <c r="R858" s="42"/>
      <c r="S858" s="6"/>
    </row>
    <row r="859" spans="11:19" x14ac:dyDescent="0.2">
      <c r="K859" s="43"/>
      <c r="L859" s="43"/>
      <c r="M859" s="43"/>
      <c r="N859" s="9"/>
      <c r="O859" s="6"/>
      <c r="P859" s="6"/>
      <c r="Q859" s="42"/>
      <c r="R859" s="42"/>
      <c r="S859" s="6"/>
    </row>
    <row r="860" spans="11:19" x14ac:dyDescent="0.2">
      <c r="K860" s="43"/>
      <c r="L860" s="43"/>
      <c r="M860" s="43"/>
      <c r="N860" s="9"/>
      <c r="O860" s="6"/>
      <c r="P860" s="6"/>
      <c r="Q860" s="42"/>
      <c r="R860" s="42"/>
      <c r="S860" s="6"/>
    </row>
    <row r="861" spans="11:19" x14ac:dyDescent="0.2">
      <c r="K861" s="43"/>
      <c r="L861" s="43"/>
      <c r="M861" s="43"/>
      <c r="N861" s="9"/>
      <c r="O861" s="6"/>
      <c r="P861" s="6"/>
      <c r="Q861" s="42"/>
      <c r="R861" s="42"/>
      <c r="S861" s="6"/>
    </row>
    <row r="862" spans="11:19" x14ac:dyDescent="0.2">
      <c r="K862" s="43"/>
      <c r="L862" s="43"/>
      <c r="M862" s="43"/>
      <c r="N862" s="9"/>
      <c r="O862" s="6"/>
      <c r="P862" s="6"/>
      <c r="Q862" s="42"/>
      <c r="R862" s="42"/>
      <c r="S862" s="6"/>
    </row>
    <row r="863" spans="11:19" x14ac:dyDescent="0.2">
      <c r="K863" s="43"/>
      <c r="L863" s="43"/>
      <c r="M863" s="43"/>
      <c r="N863" s="9"/>
      <c r="O863" s="6"/>
      <c r="P863" s="6"/>
      <c r="Q863" s="42"/>
      <c r="R863" s="42"/>
      <c r="S863" s="6"/>
    </row>
    <row r="864" spans="11:19" x14ac:dyDescent="0.2">
      <c r="K864" s="43"/>
      <c r="L864" s="43"/>
      <c r="M864" s="43"/>
      <c r="N864" s="9"/>
      <c r="O864" s="6"/>
      <c r="P864" s="6"/>
      <c r="Q864" s="42"/>
      <c r="R864" s="42"/>
      <c r="S864" s="6"/>
    </row>
    <row r="865" spans="11:19" x14ac:dyDescent="0.2">
      <c r="K865" s="43"/>
      <c r="L865" s="43"/>
      <c r="M865" s="43"/>
      <c r="N865" s="9"/>
      <c r="O865" s="6"/>
      <c r="P865" s="6"/>
      <c r="Q865" s="42"/>
      <c r="R865" s="42"/>
      <c r="S865" s="6"/>
    </row>
    <row r="866" spans="11:19" x14ac:dyDescent="0.2">
      <c r="K866" s="43"/>
      <c r="L866" s="43"/>
      <c r="M866" s="43"/>
      <c r="N866" s="9"/>
      <c r="O866" s="6"/>
      <c r="P866" s="6"/>
      <c r="Q866" s="42"/>
      <c r="R866" s="42"/>
      <c r="S866" s="6"/>
    </row>
    <row r="867" spans="11:19" x14ac:dyDescent="0.2">
      <c r="K867" s="43"/>
      <c r="L867" s="43"/>
      <c r="M867" s="43"/>
      <c r="N867" s="9"/>
      <c r="O867" s="6"/>
      <c r="P867" s="6"/>
      <c r="Q867" s="42"/>
      <c r="R867" s="42"/>
      <c r="S867" s="6"/>
    </row>
    <row r="868" spans="11:19" x14ac:dyDescent="0.2">
      <c r="K868" s="43"/>
      <c r="L868" s="43"/>
      <c r="M868" s="43"/>
      <c r="N868" s="9"/>
      <c r="O868" s="6"/>
      <c r="P868" s="6"/>
      <c r="Q868" s="42"/>
      <c r="R868" s="42"/>
      <c r="S868" s="6"/>
    </row>
    <row r="869" spans="11:19" x14ac:dyDescent="0.2">
      <c r="K869" s="43"/>
      <c r="L869" s="43"/>
      <c r="M869" s="43"/>
      <c r="N869" s="9"/>
      <c r="O869" s="6"/>
      <c r="P869" s="6"/>
      <c r="Q869" s="42"/>
      <c r="R869" s="42"/>
      <c r="S869" s="6"/>
    </row>
    <row r="870" spans="11:19" x14ac:dyDescent="0.2">
      <c r="K870" s="43"/>
      <c r="L870" s="43"/>
      <c r="M870" s="43"/>
      <c r="N870" s="9"/>
      <c r="O870" s="6"/>
      <c r="P870" s="6"/>
      <c r="Q870" s="42"/>
      <c r="R870" s="42"/>
      <c r="S870" s="6"/>
    </row>
    <row r="871" spans="11:19" x14ac:dyDescent="0.2">
      <c r="K871" s="43"/>
      <c r="L871" s="43"/>
      <c r="M871" s="43"/>
      <c r="N871" s="9"/>
      <c r="O871" s="6"/>
      <c r="P871" s="6"/>
      <c r="Q871" s="42"/>
      <c r="R871" s="42"/>
      <c r="S871" s="6"/>
    </row>
    <row r="872" spans="11:19" x14ac:dyDescent="0.2">
      <c r="K872" s="43"/>
      <c r="L872" s="43"/>
      <c r="M872" s="43"/>
      <c r="N872" s="9"/>
      <c r="O872" s="6"/>
      <c r="P872" s="6"/>
      <c r="Q872" s="42"/>
      <c r="R872" s="42"/>
      <c r="S872" s="6"/>
    </row>
    <row r="873" spans="11:19" x14ac:dyDescent="0.2">
      <c r="K873" s="43"/>
      <c r="L873" s="43"/>
      <c r="M873" s="43"/>
      <c r="N873" s="9"/>
      <c r="O873" s="6"/>
      <c r="P873" s="6"/>
      <c r="Q873" s="42"/>
      <c r="R873" s="42"/>
      <c r="S873" s="6"/>
    </row>
    <row r="874" spans="11:19" x14ac:dyDescent="0.2">
      <c r="K874" s="43"/>
      <c r="L874" s="43"/>
      <c r="M874" s="43"/>
      <c r="N874" s="9"/>
      <c r="O874" s="6"/>
      <c r="P874" s="6"/>
      <c r="Q874" s="42"/>
      <c r="R874" s="42"/>
      <c r="S874" s="6"/>
    </row>
    <row r="875" spans="11:19" x14ac:dyDescent="0.2">
      <c r="K875" s="43"/>
      <c r="L875" s="43"/>
      <c r="M875" s="43"/>
      <c r="N875" s="9"/>
      <c r="O875" s="6"/>
      <c r="P875" s="6"/>
      <c r="Q875" s="42"/>
      <c r="R875" s="42"/>
      <c r="S875" s="6"/>
    </row>
    <row r="876" spans="11:19" x14ac:dyDescent="0.2">
      <c r="K876" s="43"/>
      <c r="L876" s="43"/>
      <c r="M876" s="43"/>
      <c r="N876" s="9"/>
      <c r="O876" s="6"/>
      <c r="P876" s="6"/>
      <c r="Q876" s="42"/>
      <c r="R876" s="42"/>
      <c r="S876" s="6"/>
    </row>
    <row r="877" spans="11:19" x14ac:dyDescent="0.2">
      <c r="K877" s="43"/>
      <c r="L877" s="43"/>
      <c r="M877" s="43"/>
      <c r="N877" s="9"/>
      <c r="O877" s="6"/>
      <c r="P877" s="6"/>
      <c r="Q877" s="42"/>
      <c r="R877" s="42"/>
      <c r="S877" s="6"/>
    </row>
    <row r="878" spans="11:19" x14ac:dyDescent="0.2">
      <c r="K878" s="43"/>
      <c r="L878" s="43"/>
      <c r="M878" s="43"/>
      <c r="N878" s="9"/>
      <c r="O878" s="6"/>
      <c r="P878" s="6"/>
      <c r="Q878" s="42"/>
      <c r="R878" s="42"/>
      <c r="S878" s="6"/>
    </row>
    <row r="879" spans="11:19" x14ac:dyDescent="0.2">
      <c r="K879" s="43"/>
      <c r="L879" s="43"/>
      <c r="M879" s="43"/>
      <c r="N879" s="9"/>
      <c r="O879" s="6"/>
      <c r="P879" s="6"/>
      <c r="Q879" s="42"/>
      <c r="R879" s="42"/>
      <c r="S879" s="6"/>
    </row>
    <row r="880" spans="11:19" x14ac:dyDescent="0.2">
      <c r="K880" s="43"/>
      <c r="L880" s="43"/>
      <c r="M880" s="43"/>
      <c r="N880" s="9"/>
      <c r="O880" s="6"/>
      <c r="P880" s="6"/>
      <c r="Q880" s="42"/>
      <c r="R880" s="42"/>
      <c r="S880" s="6"/>
    </row>
    <row r="881" spans="11:19" x14ac:dyDescent="0.2">
      <c r="K881" s="43"/>
      <c r="L881" s="43"/>
      <c r="M881" s="43"/>
      <c r="N881" s="9"/>
      <c r="O881" s="6"/>
      <c r="P881" s="6"/>
      <c r="Q881" s="42"/>
      <c r="R881" s="42"/>
      <c r="S881" s="6"/>
    </row>
    <row r="882" spans="11:19" x14ac:dyDescent="0.2">
      <c r="K882" s="43"/>
      <c r="L882" s="43"/>
      <c r="M882" s="43"/>
      <c r="N882" s="9"/>
      <c r="O882" s="6"/>
      <c r="P882" s="6"/>
      <c r="Q882" s="42"/>
      <c r="R882" s="42"/>
      <c r="S882" s="6"/>
    </row>
    <row r="883" spans="11:19" x14ac:dyDescent="0.2">
      <c r="K883" s="43"/>
      <c r="L883" s="43"/>
      <c r="M883" s="43"/>
      <c r="N883" s="9"/>
      <c r="O883" s="6"/>
      <c r="P883" s="6"/>
      <c r="Q883" s="42"/>
      <c r="R883" s="42"/>
      <c r="S883" s="6"/>
    </row>
    <row r="884" spans="11:19" x14ac:dyDescent="0.2">
      <c r="K884" s="43"/>
      <c r="L884" s="43"/>
      <c r="M884" s="43"/>
      <c r="N884" s="9"/>
      <c r="O884" s="6"/>
      <c r="P884" s="6"/>
      <c r="Q884" s="42"/>
      <c r="R884" s="42"/>
      <c r="S884" s="6"/>
    </row>
    <row r="885" spans="11:19" x14ac:dyDescent="0.2">
      <c r="K885" s="43"/>
      <c r="L885" s="43"/>
      <c r="M885" s="43"/>
      <c r="N885" s="9"/>
      <c r="O885" s="6"/>
      <c r="P885" s="6"/>
      <c r="Q885" s="42"/>
      <c r="R885" s="42"/>
      <c r="S885" s="6"/>
    </row>
    <row r="886" spans="11:19" x14ac:dyDescent="0.2">
      <c r="K886" s="43"/>
      <c r="L886" s="43"/>
      <c r="M886" s="43"/>
      <c r="N886" s="9"/>
      <c r="O886" s="6"/>
      <c r="P886" s="6"/>
      <c r="Q886" s="42"/>
      <c r="R886" s="42"/>
      <c r="S886" s="6"/>
    </row>
    <row r="887" spans="11:19" x14ac:dyDescent="0.2">
      <c r="K887" s="43"/>
      <c r="L887" s="43"/>
      <c r="M887" s="43"/>
      <c r="N887" s="9"/>
      <c r="O887" s="6"/>
      <c r="P887" s="6"/>
      <c r="Q887" s="42"/>
      <c r="R887" s="42"/>
      <c r="S887" s="6"/>
    </row>
    <row r="888" spans="11:19" x14ac:dyDescent="0.2">
      <c r="K888" s="43"/>
      <c r="L888" s="43"/>
      <c r="M888" s="43"/>
      <c r="N888" s="9"/>
      <c r="O888" s="6"/>
      <c r="P888" s="6"/>
      <c r="Q888" s="42"/>
      <c r="R888" s="42"/>
      <c r="S888" s="6"/>
    </row>
    <row r="889" spans="11:19" x14ac:dyDescent="0.2">
      <c r="K889" s="43"/>
      <c r="L889" s="43"/>
      <c r="M889" s="43"/>
      <c r="N889" s="9"/>
      <c r="O889" s="6"/>
      <c r="P889" s="6"/>
      <c r="Q889" s="42"/>
      <c r="R889" s="42"/>
      <c r="S889" s="6"/>
    </row>
    <row r="890" spans="11:19" x14ac:dyDescent="0.2">
      <c r="K890" s="43"/>
      <c r="L890" s="43"/>
      <c r="M890" s="43"/>
      <c r="N890" s="9"/>
      <c r="O890" s="6"/>
      <c r="P890" s="6"/>
      <c r="Q890" s="42"/>
      <c r="R890" s="42"/>
      <c r="S890" s="6"/>
    </row>
    <row r="891" spans="11:19" x14ac:dyDescent="0.2">
      <c r="K891" s="43"/>
      <c r="L891" s="43"/>
      <c r="M891" s="43"/>
      <c r="N891" s="9"/>
      <c r="O891" s="6"/>
      <c r="P891" s="6"/>
      <c r="Q891" s="42"/>
      <c r="R891" s="42"/>
      <c r="S891" s="6"/>
    </row>
    <row r="892" spans="11:19" x14ac:dyDescent="0.2">
      <c r="K892" s="43"/>
      <c r="L892" s="43"/>
      <c r="M892" s="43"/>
      <c r="N892" s="9"/>
      <c r="O892" s="6"/>
      <c r="P892" s="6"/>
      <c r="Q892" s="42"/>
      <c r="R892" s="42"/>
      <c r="S892" s="6"/>
    </row>
    <row r="893" spans="11:19" x14ac:dyDescent="0.2">
      <c r="K893" s="43"/>
      <c r="L893" s="43"/>
      <c r="M893" s="43"/>
      <c r="N893" s="9"/>
      <c r="O893" s="6"/>
      <c r="P893" s="6"/>
      <c r="Q893" s="42"/>
      <c r="R893" s="42"/>
      <c r="S893" s="6"/>
    </row>
    <row r="894" spans="11:19" x14ac:dyDescent="0.2">
      <c r="K894" s="43"/>
      <c r="L894" s="43"/>
      <c r="M894" s="43"/>
      <c r="N894" s="9"/>
      <c r="O894" s="6"/>
      <c r="P894" s="6"/>
      <c r="Q894" s="42"/>
      <c r="R894" s="42"/>
      <c r="S894" s="6"/>
    </row>
    <row r="895" spans="11:19" x14ac:dyDescent="0.2">
      <c r="K895" s="43"/>
      <c r="L895" s="43"/>
      <c r="M895" s="43"/>
      <c r="N895" s="9"/>
      <c r="O895" s="6"/>
      <c r="P895" s="6"/>
      <c r="Q895" s="42"/>
      <c r="R895" s="42"/>
      <c r="S895" s="6"/>
    </row>
    <row r="896" spans="11:19" x14ac:dyDescent="0.2">
      <c r="K896" s="43"/>
      <c r="L896" s="43"/>
      <c r="M896" s="43"/>
      <c r="N896" s="9"/>
      <c r="O896" s="6"/>
      <c r="P896" s="6"/>
      <c r="Q896" s="42"/>
      <c r="R896" s="42"/>
      <c r="S896" s="6"/>
    </row>
    <row r="897" spans="11:19" x14ac:dyDescent="0.2">
      <c r="K897" s="43"/>
      <c r="L897" s="43"/>
      <c r="M897" s="43"/>
      <c r="N897" s="9"/>
      <c r="O897" s="6"/>
      <c r="P897" s="6"/>
      <c r="Q897" s="42"/>
      <c r="R897" s="42"/>
      <c r="S897" s="6"/>
    </row>
    <row r="898" spans="11:19" x14ac:dyDescent="0.2">
      <c r="K898" s="43"/>
      <c r="L898" s="43"/>
      <c r="M898" s="43"/>
      <c r="N898" s="9"/>
      <c r="O898" s="6"/>
      <c r="P898" s="6"/>
      <c r="Q898" s="42"/>
      <c r="R898" s="42"/>
      <c r="S898" s="6"/>
    </row>
    <row r="899" spans="11:19" x14ac:dyDescent="0.2">
      <c r="K899" s="43"/>
      <c r="L899" s="43"/>
      <c r="M899" s="43"/>
      <c r="N899" s="9"/>
      <c r="O899" s="6"/>
      <c r="P899" s="6"/>
      <c r="Q899" s="42"/>
      <c r="R899" s="42"/>
      <c r="S899" s="6"/>
    </row>
    <row r="900" spans="11:19" x14ac:dyDescent="0.2">
      <c r="K900" s="43"/>
      <c r="L900" s="43"/>
      <c r="M900" s="43"/>
      <c r="N900" s="9"/>
      <c r="O900" s="6"/>
      <c r="P900" s="6"/>
      <c r="Q900" s="42"/>
      <c r="R900" s="42"/>
      <c r="S900" s="6"/>
    </row>
    <row r="901" spans="11:19" x14ac:dyDescent="0.2">
      <c r="K901" s="43"/>
      <c r="L901" s="43"/>
      <c r="M901" s="43"/>
      <c r="N901" s="9"/>
      <c r="O901" s="6"/>
      <c r="P901" s="6"/>
      <c r="Q901" s="42"/>
      <c r="R901" s="42"/>
      <c r="S901" s="6"/>
    </row>
    <row r="902" spans="11:19" x14ac:dyDescent="0.2">
      <c r="K902" s="43"/>
      <c r="L902" s="43"/>
      <c r="M902" s="43"/>
      <c r="N902" s="9"/>
      <c r="O902" s="6"/>
      <c r="P902" s="6"/>
      <c r="Q902" s="42"/>
      <c r="R902" s="42"/>
      <c r="S902" s="6"/>
    </row>
    <row r="903" spans="11:19" x14ac:dyDescent="0.2">
      <c r="K903" s="43"/>
      <c r="L903" s="43"/>
      <c r="M903" s="43"/>
      <c r="N903" s="9"/>
      <c r="O903" s="6"/>
      <c r="P903" s="6"/>
      <c r="Q903" s="42"/>
      <c r="R903" s="42"/>
      <c r="S903" s="6"/>
    </row>
    <row r="904" spans="11:19" x14ac:dyDescent="0.2">
      <c r="K904" s="43"/>
      <c r="L904" s="43"/>
      <c r="M904" s="43"/>
      <c r="N904" s="9"/>
      <c r="O904" s="6"/>
      <c r="P904" s="6"/>
      <c r="Q904" s="42"/>
      <c r="R904" s="42"/>
      <c r="S904" s="6"/>
    </row>
    <row r="905" spans="11:19" x14ac:dyDescent="0.2">
      <c r="K905" s="43"/>
      <c r="L905" s="43"/>
      <c r="M905" s="43"/>
      <c r="N905" s="9"/>
      <c r="O905" s="6"/>
      <c r="P905" s="6"/>
      <c r="Q905" s="42"/>
      <c r="R905" s="42"/>
      <c r="S905" s="6"/>
    </row>
    <row r="906" spans="11:19" x14ac:dyDescent="0.2">
      <c r="K906" s="43"/>
      <c r="L906" s="43"/>
      <c r="M906" s="43"/>
      <c r="N906" s="9"/>
      <c r="O906" s="6"/>
      <c r="P906" s="6"/>
      <c r="Q906" s="42"/>
      <c r="R906" s="42"/>
      <c r="S906" s="6"/>
    </row>
    <row r="907" spans="11:19" x14ac:dyDescent="0.2">
      <c r="K907" s="43"/>
      <c r="L907" s="43"/>
      <c r="M907" s="43"/>
      <c r="N907" s="9"/>
      <c r="O907" s="6"/>
      <c r="P907" s="6"/>
      <c r="Q907" s="42"/>
      <c r="R907" s="42"/>
      <c r="S907" s="6"/>
    </row>
    <row r="908" spans="11:19" x14ac:dyDescent="0.2">
      <c r="K908" s="43"/>
      <c r="L908" s="43"/>
      <c r="M908" s="43"/>
      <c r="N908" s="9"/>
      <c r="O908" s="6"/>
      <c r="P908" s="6"/>
      <c r="Q908" s="42"/>
      <c r="R908" s="42"/>
      <c r="S908" s="6"/>
    </row>
    <row r="909" spans="11:19" x14ac:dyDescent="0.2">
      <c r="K909" s="43"/>
      <c r="L909" s="43"/>
      <c r="M909" s="43"/>
      <c r="N909" s="9"/>
      <c r="O909" s="6"/>
      <c r="P909" s="6"/>
      <c r="Q909" s="42"/>
      <c r="R909" s="42"/>
      <c r="S909" s="6"/>
    </row>
    <row r="910" spans="11:19" x14ac:dyDescent="0.2">
      <c r="K910" s="43"/>
      <c r="L910" s="43"/>
      <c r="M910" s="43"/>
      <c r="N910" s="9"/>
      <c r="O910" s="6"/>
      <c r="P910" s="6"/>
      <c r="Q910" s="42"/>
      <c r="R910" s="42"/>
      <c r="S910" s="6"/>
    </row>
    <row r="911" spans="11:19" x14ac:dyDescent="0.2">
      <c r="K911" s="43"/>
      <c r="L911" s="43"/>
      <c r="M911" s="43"/>
      <c r="N911" s="9"/>
      <c r="O911" s="6"/>
      <c r="P911" s="6"/>
      <c r="Q911" s="42"/>
      <c r="R911" s="42"/>
      <c r="S911" s="6"/>
    </row>
    <row r="912" spans="11:19" x14ac:dyDescent="0.2">
      <c r="K912" s="43"/>
      <c r="L912" s="43"/>
      <c r="M912" s="43"/>
      <c r="N912" s="9"/>
      <c r="O912" s="6"/>
      <c r="P912" s="6"/>
      <c r="Q912" s="42"/>
      <c r="R912" s="42"/>
      <c r="S912" s="6"/>
    </row>
    <row r="913" spans="11:19" x14ac:dyDescent="0.2">
      <c r="K913" s="43"/>
      <c r="L913" s="43"/>
      <c r="M913" s="43"/>
      <c r="N913" s="9"/>
      <c r="O913" s="6"/>
      <c r="P913" s="6"/>
      <c r="Q913" s="42"/>
      <c r="R913" s="42"/>
      <c r="S913" s="6"/>
    </row>
    <row r="914" spans="11:19" x14ac:dyDescent="0.2">
      <c r="K914" s="43"/>
      <c r="L914" s="43"/>
      <c r="M914" s="43"/>
      <c r="N914" s="9"/>
      <c r="O914" s="6"/>
      <c r="P914" s="6"/>
      <c r="Q914" s="42"/>
      <c r="R914" s="42"/>
      <c r="S914" s="6"/>
    </row>
    <row r="915" spans="11:19" x14ac:dyDescent="0.2">
      <c r="K915" s="43"/>
      <c r="L915" s="43"/>
      <c r="M915" s="43"/>
      <c r="N915" s="9"/>
      <c r="O915" s="6"/>
      <c r="P915" s="6"/>
      <c r="Q915" s="42"/>
      <c r="R915" s="42"/>
      <c r="S915" s="6"/>
    </row>
    <row r="916" spans="11:19" x14ac:dyDescent="0.2">
      <c r="K916" s="43"/>
      <c r="L916" s="43"/>
      <c r="M916" s="43"/>
      <c r="N916" s="9"/>
      <c r="O916" s="6"/>
      <c r="P916" s="6"/>
      <c r="Q916" s="42"/>
      <c r="R916" s="42"/>
      <c r="S916" s="6"/>
    </row>
    <row r="917" spans="11:19" x14ac:dyDescent="0.2">
      <c r="K917" s="43"/>
      <c r="L917" s="43"/>
      <c r="M917" s="43"/>
      <c r="N917" s="9"/>
      <c r="O917" s="6"/>
      <c r="P917" s="6"/>
      <c r="Q917" s="42"/>
      <c r="R917" s="42"/>
      <c r="S917" s="6"/>
    </row>
    <row r="918" spans="11:19" x14ac:dyDescent="0.2">
      <c r="K918" s="43"/>
      <c r="L918" s="43"/>
      <c r="M918" s="43"/>
      <c r="N918" s="9"/>
      <c r="O918" s="6"/>
      <c r="P918" s="6"/>
      <c r="Q918" s="42"/>
      <c r="R918" s="42"/>
      <c r="S918" s="6"/>
    </row>
    <row r="919" spans="11:19" x14ac:dyDescent="0.2">
      <c r="K919" s="43"/>
      <c r="L919" s="43"/>
      <c r="M919" s="43"/>
      <c r="N919" s="9"/>
      <c r="O919" s="6"/>
      <c r="P919" s="6"/>
      <c r="Q919" s="42"/>
      <c r="R919" s="42"/>
      <c r="S919" s="6"/>
    </row>
    <row r="920" spans="11:19" x14ac:dyDescent="0.2">
      <c r="K920" s="43"/>
      <c r="L920" s="43"/>
      <c r="M920" s="43"/>
      <c r="N920" s="9"/>
      <c r="O920" s="6"/>
      <c r="P920" s="6"/>
      <c r="Q920" s="42"/>
      <c r="R920" s="42"/>
      <c r="S920" s="6"/>
    </row>
    <row r="921" spans="11:19" x14ac:dyDescent="0.2">
      <c r="K921" s="43"/>
      <c r="L921" s="43"/>
      <c r="M921" s="43"/>
      <c r="N921" s="9"/>
      <c r="O921" s="6"/>
      <c r="P921" s="6"/>
      <c r="Q921" s="42"/>
      <c r="R921" s="42"/>
      <c r="S921" s="6"/>
    </row>
    <row r="922" spans="11:19" x14ac:dyDescent="0.2">
      <c r="K922" s="43"/>
      <c r="L922" s="43"/>
      <c r="M922" s="43"/>
      <c r="N922" s="9"/>
      <c r="O922" s="6"/>
      <c r="P922" s="6"/>
      <c r="Q922" s="42"/>
      <c r="R922" s="42"/>
      <c r="S922" s="6"/>
    </row>
    <row r="923" spans="11:19" x14ac:dyDescent="0.2">
      <c r="K923" s="43"/>
      <c r="L923" s="43"/>
      <c r="M923" s="43"/>
      <c r="N923" s="9"/>
      <c r="O923" s="6"/>
      <c r="P923" s="6"/>
      <c r="Q923" s="42"/>
      <c r="R923" s="42"/>
      <c r="S923" s="6"/>
    </row>
    <row r="924" spans="11:19" x14ac:dyDescent="0.2">
      <c r="K924" s="43"/>
      <c r="L924" s="43"/>
      <c r="M924" s="43"/>
      <c r="N924" s="9"/>
      <c r="O924" s="6"/>
      <c r="P924" s="6"/>
      <c r="Q924" s="42"/>
      <c r="R924" s="42"/>
      <c r="S924" s="6"/>
    </row>
    <row r="925" spans="11:19" x14ac:dyDescent="0.2">
      <c r="K925" s="43"/>
      <c r="L925" s="43"/>
      <c r="M925" s="43"/>
      <c r="N925" s="9"/>
      <c r="O925" s="6"/>
      <c r="P925" s="6"/>
      <c r="Q925" s="42"/>
      <c r="R925" s="42"/>
      <c r="S925" s="6"/>
    </row>
    <row r="926" spans="11:19" x14ac:dyDescent="0.2">
      <c r="K926" s="43"/>
      <c r="L926" s="43"/>
      <c r="M926" s="43"/>
      <c r="N926" s="9"/>
      <c r="O926" s="6"/>
      <c r="P926" s="6"/>
      <c r="Q926" s="42"/>
      <c r="R926" s="42"/>
      <c r="S926" s="6"/>
    </row>
    <row r="927" spans="11:19" x14ac:dyDescent="0.2">
      <c r="K927" s="43"/>
      <c r="L927" s="43"/>
      <c r="M927" s="43"/>
      <c r="N927" s="9"/>
      <c r="O927" s="6"/>
      <c r="P927" s="6"/>
      <c r="Q927" s="42"/>
      <c r="R927" s="42"/>
      <c r="S927" s="6"/>
    </row>
    <row r="928" spans="11:19" x14ac:dyDescent="0.2">
      <c r="K928" s="43"/>
      <c r="L928" s="43"/>
      <c r="M928" s="43"/>
      <c r="N928" s="9"/>
      <c r="O928" s="6"/>
      <c r="P928" s="6"/>
      <c r="Q928" s="42"/>
      <c r="R928" s="42"/>
      <c r="S928" s="6"/>
    </row>
    <row r="929" spans="11:19" x14ac:dyDescent="0.2">
      <c r="K929" s="43"/>
      <c r="L929" s="43"/>
      <c r="M929" s="43"/>
      <c r="N929" s="9"/>
      <c r="O929" s="6"/>
      <c r="P929" s="6"/>
      <c r="Q929" s="42"/>
      <c r="R929" s="42"/>
      <c r="S929" s="6"/>
    </row>
    <row r="930" spans="11:19" x14ac:dyDescent="0.2">
      <c r="K930" s="43"/>
      <c r="L930" s="43"/>
      <c r="M930" s="43"/>
      <c r="N930" s="9"/>
      <c r="O930" s="6"/>
      <c r="P930" s="6"/>
      <c r="Q930" s="42"/>
      <c r="R930" s="42"/>
      <c r="S930" s="6"/>
    </row>
    <row r="931" spans="11:19" x14ac:dyDescent="0.2">
      <c r="K931" s="43"/>
      <c r="L931" s="43"/>
      <c r="M931" s="43"/>
      <c r="N931" s="9"/>
      <c r="O931" s="6"/>
      <c r="P931" s="6"/>
      <c r="Q931" s="42"/>
      <c r="R931" s="42"/>
      <c r="S931" s="6"/>
    </row>
    <row r="932" spans="11:19" x14ac:dyDescent="0.2">
      <c r="K932" s="43"/>
      <c r="L932" s="43"/>
      <c r="M932" s="43"/>
      <c r="N932" s="9"/>
      <c r="O932" s="6"/>
      <c r="P932" s="6"/>
      <c r="Q932" s="42"/>
      <c r="R932" s="42"/>
      <c r="S932" s="6"/>
    </row>
    <row r="933" spans="11:19" x14ac:dyDescent="0.2">
      <c r="K933" s="43"/>
      <c r="L933" s="43"/>
      <c r="M933" s="43"/>
      <c r="N933" s="9"/>
      <c r="O933" s="6"/>
      <c r="P933" s="6"/>
      <c r="Q933" s="42"/>
      <c r="R933" s="42"/>
      <c r="S933" s="6"/>
    </row>
    <row r="934" spans="11:19" x14ac:dyDescent="0.2">
      <c r="K934" s="43"/>
      <c r="L934" s="43"/>
      <c r="M934" s="43"/>
      <c r="N934" s="9"/>
      <c r="O934" s="6"/>
      <c r="P934" s="6"/>
      <c r="Q934" s="42"/>
      <c r="R934" s="42"/>
      <c r="S934" s="6"/>
    </row>
    <row r="935" spans="11:19" x14ac:dyDescent="0.2">
      <c r="K935" s="43"/>
      <c r="L935" s="43"/>
      <c r="M935" s="43"/>
      <c r="N935" s="9"/>
      <c r="O935" s="6"/>
      <c r="P935" s="6"/>
      <c r="Q935" s="42"/>
      <c r="R935" s="42"/>
      <c r="S935" s="6"/>
    </row>
    <row r="936" spans="11:19" x14ac:dyDescent="0.2">
      <c r="K936" s="43"/>
      <c r="L936" s="43"/>
      <c r="M936" s="43"/>
      <c r="N936" s="9"/>
      <c r="O936" s="6"/>
      <c r="P936" s="6"/>
      <c r="Q936" s="42"/>
      <c r="R936" s="42"/>
      <c r="S936" s="6"/>
    </row>
    <row r="937" spans="11:19" x14ac:dyDescent="0.2">
      <c r="K937" s="43"/>
      <c r="L937" s="43"/>
      <c r="M937" s="43"/>
      <c r="N937" s="9"/>
      <c r="O937" s="6"/>
      <c r="P937" s="6"/>
      <c r="Q937" s="42"/>
      <c r="R937" s="42"/>
      <c r="S937" s="6"/>
    </row>
    <row r="938" spans="11:19" x14ac:dyDescent="0.2">
      <c r="K938" s="43"/>
      <c r="L938" s="43"/>
      <c r="M938" s="43"/>
      <c r="N938" s="9"/>
      <c r="O938" s="6"/>
      <c r="P938" s="6"/>
      <c r="Q938" s="42"/>
      <c r="R938" s="42"/>
      <c r="S938" s="6"/>
    </row>
    <row r="939" spans="11:19" x14ac:dyDescent="0.2">
      <c r="K939" s="43"/>
      <c r="L939" s="43"/>
      <c r="M939" s="43"/>
      <c r="N939" s="9"/>
      <c r="O939" s="6"/>
      <c r="P939" s="6"/>
      <c r="Q939" s="42"/>
      <c r="R939" s="42"/>
      <c r="S939" s="6"/>
    </row>
    <row r="940" spans="11:19" x14ac:dyDescent="0.2">
      <c r="K940" s="43"/>
      <c r="L940" s="43"/>
      <c r="M940" s="43"/>
      <c r="N940" s="9"/>
      <c r="O940" s="6"/>
      <c r="P940" s="6"/>
      <c r="Q940" s="42"/>
      <c r="R940" s="42"/>
      <c r="S940" s="6"/>
    </row>
    <row r="941" spans="11:19" x14ac:dyDescent="0.2">
      <c r="K941" s="43"/>
      <c r="L941" s="43"/>
      <c r="M941" s="43"/>
      <c r="N941" s="9"/>
      <c r="O941" s="6"/>
      <c r="P941" s="6"/>
      <c r="Q941" s="42"/>
      <c r="R941" s="42"/>
      <c r="S941" s="6"/>
    </row>
    <row r="942" spans="11:19" x14ac:dyDescent="0.2">
      <c r="K942" s="43"/>
      <c r="L942" s="43"/>
      <c r="M942" s="43"/>
      <c r="N942" s="9"/>
      <c r="O942" s="6"/>
      <c r="P942" s="6"/>
      <c r="Q942" s="42"/>
      <c r="R942" s="42"/>
      <c r="S942" s="6"/>
    </row>
    <row r="943" spans="11:19" x14ac:dyDescent="0.2">
      <c r="K943" s="43"/>
      <c r="L943" s="43"/>
      <c r="M943" s="43"/>
      <c r="N943" s="9"/>
      <c r="O943" s="6"/>
      <c r="P943" s="6"/>
      <c r="Q943" s="42"/>
      <c r="R943" s="42"/>
      <c r="S943" s="6"/>
    </row>
    <row r="944" spans="11:19" x14ac:dyDescent="0.2">
      <c r="K944" s="43"/>
      <c r="L944" s="43"/>
      <c r="M944" s="43"/>
      <c r="N944" s="9"/>
      <c r="O944" s="6"/>
      <c r="P944" s="6"/>
      <c r="Q944" s="42"/>
      <c r="R944" s="42"/>
      <c r="S944" s="6"/>
    </row>
    <row r="945" spans="11:19" x14ac:dyDescent="0.2">
      <c r="K945" s="43"/>
      <c r="L945" s="43"/>
      <c r="M945" s="43"/>
      <c r="N945" s="9"/>
      <c r="O945" s="6"/>
      <c r="P945" s="6"/>
      <c r="Q945" s="42"/>
      <c r="R945" s="42"/>
      <c r="S945" s="6"/>
    </row>
    <row r="946" spans="11:19" x14ac:dyDescent="0.2">
      <c r="K946" s="43"/>
      <c r="L946" s="43"/>
      <c r="M946" s="43"/>
      <c r="N946" s="9"/>
      <c r="O946" s="6"/>
      <c r="P946" s="6"/>
      <c r="Q946" s="42"/>
      <c r="R946" s="42"/>
      <c r="S946" s="6"/>
    </row>
    <row r="947" spans="11:19" x14ac:dyDescent="0.2">
      <c r="K947" s="43"/>
      <c r="L947" s="43"/>
      <c r="M947" s="43"/>
      <c r="N947" s="9"/>
      <c r="O947" s="6"/>
      <c r="P947" s="6"/>
      <c r="Q947" s="42"/>
      <c r="R947" s="42"/>
      <c r="S947" s="6"/>
    </row>
    <row r="948" spans="11:19" x14ac:dyDescent="0.2">
      <c r="K948" s="43"/>
      <c r="L948" s="43"/>
      <c r="M948" s="43"/>
      <c r="N948" s="9"/>
      <c r="O948" s="6"/>
      <c r="P948" s="6"/>
      <c r="Q948" s="42"/>
      <c r="R948" s="42"/>
      <c r="S948" s="6"/>
    </row>
    <row r="949" spans="11:19" x14ac:dyDescent="0.2">
      <c r="K949" s="43"/>
      <c r="L949" s="43"/>
      <c r="M949" s="43"/>
      <c r="N949" s="9"/>
      <c r="O949" s="6"/>
      <c r="P949" s="6"/>
      <c r="Q949" s="42"/>
      <c r="R949" s="42"/>
      <c r="S949" s="6"/>
    </row>
    <row r="950" spans="11:19" x14ac:dyDescent="0.2">
      <c r="K950" s="43"/>
      <c r="L950" s="43"/>
      <c r="M950" s="43"/>
      <c r="N950" s="9"/>
      <c r="O950" s="6"/>
      <c r="P950" s="6"/>
      <c r="Q950" s="42"/>
      <c r="R950" s="42"/>
      <c r="S950" s="6"/>
    </row>
    <row r="951" spans="11:19" x14ac:dyDescent="0.2">
      <c r="K951" s="43"/>
      <c r="L951" s="43"/>
      <c r="M951" s="43"/>
      <c r="N951" s="9"/>
      <c r="O951" s="6"/>
      <c r="P951" s="6"/>
      <c r="Q951" s="42"/>
      <c r="R951" s="42"/>
      <c r="S951" s="6"/>
    </row>
    <row r="952" spans="11:19" x14ac:dyDescent="0.2">
      <c r="K952" s="43"/>
      <c r="L952" s="43"/>
      <c r="M952" s="43"/>
      <c r="N952" s="9"/>
      <c r="O952" s="6"/>
      <c r="P952" s="6"/>
      <c r="Q952" s="42"/>
      <c r="R952" s="42"/>
      <c r="S952" s="6"/>
    </row>
    <row r="953" spans="11:19" x14ac:dyDescent="0.2">
      <c r="K953" s="43"/>
      <c r="L953" s="43"/>
      <c r="M953" s="43"/>
      <c r="N953" s="9"/>
      <c r="O953" s="6"/>
      <c r="P953" s="6"/>
      <c r="Q953" s="42"/>
      <c r="R953" s="42"/>
      <c r="S953" s="6"/>
    </row>
    <row r="954" spans="11:19" x14ac:dyDescent="0.2">
      <c r="K954" s="43"/>
      <c r="L954" s="43"/>
      <c r="M954" s="43"/>
      <c r="N954" s="9"/>
      <c r="O954" s="6"/>
      <c r="P954" s="6"/>
      <c r="Q954" s="42"/>
      <c r="R954" s="42"/>
      <c r="S954" s="6"/>
    </row>
    <row r="955" spans="11:19" x14ac:dyDescent="0.2">
      <c r="K955" s="43"/>
      <c r="L955" s="43"/>
      <c r="M955" s="43"/>
      <c r="N955" s="9"/>
      <c r="O955" s="6"/>
      <c r="P955" s="6"/>
      <c r="Q955" s="42"/>
      <c r="R955" s="42"/>
      <c r="S955" s="6"/>
    </row>
    <row r="956" spans="11:19" x14ac:dyDescent="0.2">
      <c r="K956" s="43"/>
      <c r="L956" s="43"/>
      <c r="M956" s="43"/>
      <c r="N956" s="9"/>
      <c r="O956" s="6"/>
      <c r="P956" s="6"/>
      <c r="Q956" s="42"/>
      <c r="R956" s="42"/>
      <c r="S956" s="6"/>
    </row>
    <row r="957" spans="11:19" x14ac:dyDescent="0.2">
      <c r="K957" s="43"/>
      <c r="L957" s="43"/>
      <c r="M957" s="43"/>
      <c r="N957" s="9"/>
      <c r="O957" s="6"/>
      <c r="P957" s="6"/>
      <c r="Q957" s="42"/>
      <c r="R957" s="42"/>
      <c r="S957" s="6"/>
    </row>
    <row r="958" spans="11:19" x14ac:dyDescent="0.2">
      <c r="K958" s="43"/>
      <c r="L958" s="43"/>
      <c r="M958" s="43"/>
      <c r="N958" s="9"/>
      <c r="O958" s="6"/>
      <c r="P958" s="6"/>
      <c r="Q958" s="42"/>
      <c r="R958" s="42"/>
      <c r="S958" s="6"/>
    </row>
    <row r="959" spans="11:19" x14ac:dyDescent="0.2">
      <c r="K959" s="43"/>
      <c r="L959" s="43"/>
      <c r="M959" s="43"/>
      <c r="N959" s="9"/>
      <c r="O959" s="6"/>
      <c r="P959" s="6"/>
      <c r="Q959" s="42"/>
      <c r="R959" s="42"/>
      <c r="S959" s="6"/>
    </row>
    <row r="960" spans="11:19" x14ac:dyDescent="0.2">
      <c r="K960" s="43"/>
      <c r="L960" s="43"/>
      <c r="M960" s="43"/>
      <c r="N960" s="9"/>
      <c r="O960" s="6"/>
      <c r="P960" s="6"/>
      <c r="Q960" s="42"/>
      <c r="R960" s="42"/>
      <c r="S960" s="6"/>
    </row>
    <row r="961" spans="11:19" x14ac:dyDescent="0.2">
      <c r="K961" s="43"/>
      <c r="L961" s="43"/>
      <c r="M961" s="43"/>
      <c r="N961" s="9"/>
      <c r="O961" s="6"/>
      <c r="P961" s="6"/>
      <c r="Q961" s="42"/>
      <c r="R961" s="42"/>
      <c r="S961" s="6"/>
    </row>
    <row r="962" spans="11:19" x14ac:dyDescent="0.2">
      <c r="K962" s="43"/>
      <c r="L962" s="43"/>
      <c r="M962" s="43"/>
      <c r="N962" s="9"/>
      <c r="O962" s="6"/>
      <c r="P962" s="6"/>
      <c r="Q962" s="42"/>
      <c r="R962" s="42"/>
      <c r="S962" s="6"/>
    </row>
    <row r="963" spans="11:19" x14ac:dyDescent="0.2">
      <c r="K963" s="43"/>
      <c r="L963" s="43"/>
      <c r="M963" s="43"/>
      <c r="N963" s="9"/>
      <c r="O963" s="6"/>
      <c r="P963" s="6"/>
      <c r="Q963" s="42"/>
      <c r="R963" s="42"/>
      <c r="S963" s="6"/>
    </row>
    <row r="964" spans="11:19" x14ac:dyDescent="0.2">
      <c r="K964" s="43"/>
      <c r="L964" s="43"/>
      <c r="M964" s="43"/>
      <c r="N964" s="9"/>
      <c r="O964" s="6"/>
      <c r="P964" s="6"/>
      <c r="Q964" s="42"/>
      <c r="R964" s="42"/>
      <c r="S964" s="6"/>
    </row>
    <row r="965" spans="11:19" x14ac:dyDescent="0.2">
      <c r="K965" s="43"/>
      <c r="L965" s="43"/>
      <c r="M965" s="43"/>
      <c r="N965" s="9"/>
      <c r="O965" s="6"/>
      <c r="P965" s="6"/>
      <c r="Q965" s="42"/>
      <c r="R965" s="42"/>
      <c r="S965" s="6"/>
    </row>
    <row r="966" spans="11:19" x14ac:dyDescent="0.2">
      <c r="K966" s="43"/>
      <c r="L966" s="43"/>
      <c r="M966" s="43"/>
      <c r="N966" s="9"/>
      <c r="O966" s="6"/>
      <c r="P966" s="6"/>
      <c r="Q966" s="42"/>
      <c r="R966" s="42"/>
      <c r="S966" s="6"/>
    </row>
    <row r="967" spans="11:19" x14ac:dyDescent="0.2">
      <c r="K967" s="43"/>
      <c r="L967" s="43"/>
      <c r="M967" s="43"/>
      <c r="N967" s="9"/>
      <c r="O967" s="6"/>
      <c r="P967" s="6"/>
      <c r="Q967" s="42"/>
      <c r="R967" s="42"/>
      <c r="S967" s="6"/>
    </row>
    <row r="968" spans="11:19" x14ac:dyDescent="0.2">
      <c r="K968" s="43"/>
      <c r="L968" s="43"/>
      <c r="M968" s="43"/>
      <c r="N968" s="9"/>
      <c r="O968" s="6"/>
      <c r="P968" s="6"/>
      <c r="Q968" s="42"/>
      <c r="R968" s="42"/>
      <c r="S968" s="6"/>
    </row>
    <row r="969" spans="11:19" x14ac:dyDescent="0.2">
      <c r="K969" s="43"/>
      <c r="L969" s="43"/>
      <c r="M969" s="43"/>
      <c r="N969" s="9"/>
      <c r="O969" s="6"/>
      <c r="P969" s="6"/>
      <c r="Q969" s="42"/>
      <c r="R969" s="42"/>
      <c r="S969" s="6"/>
    </row>
    <row r="970" spans="11:19" x14ac:dyDescent="0.2">
      <c r="K970" s="43"/>
      <c r="L970" s="43"/>
      <c r="M970" s="43"/>
      <c r="N970" s="9"/>
      <c r="O970" s="6"/>
      <c r="P970" s="6"/>
      <c r="Q970" s="42"/>
      <c r="R970" s="42"/>
      <c r="S970" s="6"/>
    </row>
    <row r="971" spans="11:19" x14ac:dyDescent="0.2">
      <c r="K971" s="43"/>
      <c r="L971" s="43"/>
      <c r="M971" s="43"/>
      <c r="N971" s="9"/>
      <c r="O971" s="6"/>
      <c r="P971" s="6"/>
      <c r="Q971" s="42"/>
      <c r="R971" s="42"/>
      <c r="S971" s="6"/>
    </row>
    <row r="972" spans="11:19" x14ac:dyDescent="0.2">
      <c r="K972" s="43"/>
      <c r="L972" s="43"/>
      <c r="M972" s="43"/>
      <c r="N972" s="9"/>
      <c r="O972" s="6"/>
      <c r="P972" s="6"/>
      <c r="Q972" s="42"/>
      <c r="R972" s="42"/>
      <c r="S972" s="6"/>
    </row>
    <row r="973" spans="11:19" x14ac:dyDescent="0.2">
      <c r="K973" s="43"/>
      <c r="L973" s="43"/>
      <c r="M973" s="43"/>
      <c r="N973" s="9"/>
      <c r="O973" s="6"/>
      <c r="P973" s="6"/>
      <c r="Q973" s="42"/>
      <c r="R973" s="42"/>
      <c r="S973" s="6"/>
    </row>
    <row r="974" spans="11:19" x14ac:dyDescent="0.2">
      <c r="K974" s="43"/>
      <c r="L974" s="43"/>
      <c r="M974" s="43"/>
      <c r="N974" s="9"/>
      <c r="O974" s="6"/>
      <c r="P974" s="6"/>
      <c r="Q974" s="42"/>
      <c r="R974" s="42"/>
      <c r="S974" s="6"/>
    </row>
    <row r="975" spans="11:19" x14ac:dyDescent="0.2">
      <c r="K975" s="43"/>
      <c r="L975" s="43"/>
      <c r="M975" s="43"/>
      <c r="N975" s="9"/>
      <c r="O975" s="6"/>
      <c r="P975" s="6"/>
      <c r="Q975" s="42"/>
      <c r="R975" s="42"/>
      <c r="S975" s="6"/>
    </row>
    <row r="976" spans="11:19" x14ac:dyDescent="0.2">
      <c r="K976" s="43"/>
      <c r="L976" s="43"/>
      <c r="M976" s="43"/>
      <c r="N976" s="9"/>
      <c r="O976" s="6"/>
      <c r="P976" s="6"/>
      <c r="Q976" s="42"/>
      <c r="R976" s="42"/>
      <c r="S976" s="6"/>
    </row>
    <row r="977" spans="11:19" x14ac:dyDescent="0.2">
      <c r="K977" s="43"/>
      <c r="L977" s="43"/>
      <c r="M977" s="43"/>
      <c r="N977" s="9"/>
      <c r="O977" s="6"/>
      <c r="P977" s="6"/>
      <c r="Q977" s="42"/>
      <c r="R977" s="42"/>
      <c r="S977" s="6"/>
    </row>
    <row r="978" spans="11:19" x14ac:dyDescent="0.2">
      <c r="K978" s="43"/>
      <c r="L978" s="43"/>
      <c r="M978" s="43"/>
      <c r="N978" s="9"/>
      <c r="O978" s="6"/>
      <c r="P978" s="6"/>
      <c r="Q978" s="42"/>
      <c r="R978" s="42"/>
      <c r="S978" s="6"/>
    </row>
    <row r="979" spans="11:19" x14ac:dyDescent="0.2">
      <c r="K979" s="43"/>
      <c r="L979" s="43"/>
      <c r="M979" s="43"/>
      <c r="N979" s="9"/>
      <c r="O979" s="6"/>
      <c r="P979" s="6"/>
      <c r="Q979" s="42"/>
      <c r="R979" s="42"/>
      <c r="S979" s="6"/>
    </row>
    <row r="980" spans="11:19" x14ac:dyDescent="0.2">
      <c r="K980" s="43"/>
      <c r="L980" s="43"/>
      <c r="M980" s="43"/>
      <c r="N980" s="9"/>
      <c r="O980" s="6"/>
      <c r="P980" s="6"/>
      <c r="Q980" s="42"/>
      <c r="R980" s="42"/>
      <c r="S980" s="6"/>
    </row>
    <row r="981" spans="11:19" x14ac:dyDescent="0.2">
      <c r="K981" s="43"/>
      <c r="L981" s="43"/>
      <c r="M981" s="43"/>
      <c r="N981" s="9"/>
      <c r="O981" s="6"/>
      <c r="P981" s="6"/>
      <c r="Q981" s="42"/>
      <c r="R981" s="42"/>
      <c r="S981" s="6"/>
    </row>
    <row r="982" spans="11:19" x14ac:dyDescent="0.2">
      <c r="K982" s="43"/>
      <c r="L982" s="43"/>
      <c r="M982" s="43"/>
      <c r="N982" s="9"/>
      <c r="O982" s="6"/>
      <c r="P982" s="6"/>
      <c r="Q982" s="42"/>
      <c r="R982" s="42"/>
      <c r="S982" s="6"/>
    </row>
    <row r="983" spans="11:19" x14ac:dyDescent="0.2">
      <c r="K983" s="43"/>
      <c r="L983" s="43"/>
      <c r="M983" s="43"/>
      <c r="N983" s="9"/>
      <c r="O983" s="6"/>
      <c r="P983" s="6"/>
      <c r="Q983" s="42"/>
      <c r="R983" s="42"/>
      <c r="S983" s="6"/>
    </row>
    <row r="984" spans="11:19" x14ac:dyDescent="0.2">
      <c r="K984" s="43"/>
      <c r="L984" s="43"/>
      <c r="M984" s="43"/>
      <c r="N984" s="9"/>
      <c r="O984" s="6"/>
      <c r="P984" s="6"/>
      <c r="Q984" s="42"/>
      <c r="R984" s="42"/>
      <c r="S984" s="6"/>
    </row>
    <row r="985" spans="11:19" x14ac:dyDescent="0.2">
      <c r="K985" s="43"/>
      <c r="L985" s="43"/>
      <c r="M985" s="43"/>
      <c r="N985" s="9"/>
      <c r="O985" s="6"/>
      <c r="P985" s="6"/>
      <c r="Q985" s="42"/>
      <c r="R985" s="42"/>
      <c r="S985" s="6"/>
    </row>
    <row r="986" spans="11:19" x14ac:dyDescent="0.2">
      <c r="K986" s="43"/>
      <c r="L986" s="43"/>
      <c r="M986" s="43"/>
      <c r="N986" s="9"/>
      <c r="O986" s="6"/>
      <c r="P986" s="6"/>
      <c r="Q986" s="42"/>
      <c r="R986" s="42"/>
      <c r="S986" s="6"/>
    </row>
    <row r="987" spans="11:19" x14ac:dyDescent="0.2">
      <c r="K987" s="43"/>
      <c r="L987" s="43"/>
      <c r="M987" s="43"/>
      <c r="N987" s="9"/>
      <c r="O987" s="6"/>
      <c r="P987" s="6"/>
      <c r="Q987" s="42"/>
      <c r="R987" s="42"/>
      <c r="S987" s="6"/>
    </row>
    <row r="988" spans="11:19" x14ac:dyDescent="0.2">
      <c r="K988" s="43"/>
      <c r="L988" s="43"/>
      <c r="M988" s="43"/>
      <c r="N988" s="9"/>
      <c r="O988" s="6"/>
      <c r="P988" s="6"/>
      <c r="Q988" s="42"/>
      <c r="R988" s="42"/>
      <c r="S988" s="6"/>
    </row>
    <row r="989" spans="11:19" x14ac:dyDescent="0.2">
      <c r="K989" s="43"/>
      <c r="L989" s="43"/>
      <c r="M989" s="43"/>
      <c r="N989" s="9"/>
      <c r="O989" s="6"/>
      <c r="P989" s="6"/>
      <c r="Q989" s="42"/>
      <c r="R989" s="42"/>
      <c r="S989" s="6"/>
    </row>
  </sheetData>
  <autoFilter ref="A4:T23" xr:uid="{DBCA6F81-D33A-48FF-9208-E4CEE590C5F1}"/>
  <mergeCells count="4">
    <mergeCell ref="A1:E1"/>
    <mergeCell ref="A2:E2"/>
    <mergeCell ref="K3:S3"/>
    <mergeCell ref="A3:E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6331AE-1BF0-471D-9CF9-DD0D960BC6F9}">
  <dimension ref="A1:BP153"/>
  <sheetViews>
    <sheetView topLeftCell="A3" zoomScale="75" zoomScaleNormal="60" workbookViewId="0">
      <pane xSplit="5" ySplit="3" topLeftCell="BI6" activePane="bottomRight" state="frozen"/>
      <selection activeCell="A3" sqref="A3"/>
      <selection pane="topRight" activeCell="F3" sqref="F3"/>
      <selection pane="bottomLeft" activeCell="A6" sqref="A6"/>
      <selection pane="bottomRight" activeCell="BN152" sqref="BN152:BN153"/>
    </sheetView>
  </sheetViews>
  <sheetFormatPr baseColWidth="10" defaultColWidth="11.5" defaultRowHeight="16" x14ac:dyDescent="0.2"/>
  <cols>
    <col min="1" max="1" width="9.33203125" style="1" customWidth="1"/>
    <col min="2" max="2" width="43.5" style="1" customWidth="1"/>
    <col min="3" max="3" width="59.5" style="1" customWidth="1"/>
    <col min="4" max="4" width="18.1640625" style="1" customWidth="1"/>
    <col min="5" max="5" width="15.6640625" style="47" customWidth="1"/>
    <col min="6" max="7" width="22.6640625" style="1" customWidth="1"/>
    <col min="8" max="8" width="30.33203125" style="1" customWidth="1"/>
    <col min="9" max="9" width="24.6640625" style="1" customWidth="1"/>
    <col min="10" max="10" width="17" style="1" customWidth="1"/>
    <col min="11" max="11" width="21.6640625" style="1" customWidth="1"/>
    <col min="12" max="12" width="15.5" style="1" customWidth="1"/>
    <col min="13" max="13" width="20.33203125" style="1" customWidth="1"/>
    <col min="14" max="14" width="14.6640625" style="1" customWidth="1"/>
    <col min="15" max="15" width="17.6640625" style="1" customWidth="1"/>
    <col min="16" max="16" width="15" style="1" customWidth="1"/>
    <col min="17" max="17" width="16.33203125" style="1" customWidth="1"/>
    <col min="18" max="18" width="13.33203125" style="1" customWidth="1"/>
    <col min="19" max="19" width="21" style="1" customWidth="1"/>
    <col min="20" max="20" width="15.33203125" style="1" customWidth="1"/>
    <col min="21" max="21" width="14" style="1" customWidth="1"/>
    <col min="22" max="22" width="18.6640625" style="1" customWidth="1"/>
    <col min="23" max="23" width="21" style="1" customWidth="1"/>
    <col min="24" max="24" width="14" style="1" customWidth="1"/>
    <col min="25" max="25" width="21.5" style="1" customWidth="1"/>
    <col min="26" max="26" width="14.6640625" style="1" customWidth="1"/>
    <col min="27" max="28" width="15.33203125" style="1" customWidth="1"/>
    <col min="29" max="30" width="14.6640625" style="1" customWidth="1"/>
    <col min="31" max="31" width="15.33203125" style="1" customWidth="1"/>
    <col min="32" max="32" width="14.6640625" style="1" customWidth="1"/>
    <col min="33" max="33" width="14.33203125" style="1" customWidth="1"/>
    <col min="34" max="34" width="14.6640625" style="1" customWidth="1"/>
    <col min="35" max="35" width="14" style="1" customWidth="1"/>
    <col min="36" max="37" width="14.6640625" style="1" customWidth="1"/>
    <col min="38" max="38" width="14.5" style="1" customWidth="1"/>
    <col min="39" max="39" width="14" style="1" customWidth="1"/>
    <col min="40" max="40" width="20.6640625" style="1" customWidth="1"/>
    <col min="41" max="41" width="32.83203125" style="1" customWidth="1"/>
    <col min="42" max="49" width="20.6640625" style="1" customWidth="1"/>
    <col min="50" max="50" width="28.5" style="1" customWidth="1"/>
    <col min="51" max="51" width="20.6640625" style="1" customWidth="1"/>
    <col min="52" max="58" width="26.5" style="1" customWidth="1"/>
    <col min="59" max="60" width="12.5" style="1" bestFit="1" customWidth="1"/>
    <col min="61" max="61" width="16" style="1" customWidth="1"/>
    <col min="62" max="62" width="11.5" style="1" bestFit="1" customWidth="1"/>
    <col min="63" max="63" width="13" style="1" bestFit="1" customWidth="1"/>
    <col min="64" max="64" width="12.5" style="1" bestFit="1" customWidth="1"/>
    <col min="65" max="65" width="19.6640625" style="1" bestFit="1" customWidth="1"/>
    <col min="66" max="66" width="30.83203125" style="1" customWidth="1"/>
    <col min="67" max="67" width="35.5" style="1" customWidth="1"/>
    <col min="68" max="68" width="47.1640625" style="1" customWidth="1"/>
    <col min="69" max="16384" width="11.5" style="1"/>
  </cols>
  <sheetData>
    <row r="1" spans="1:67" ht="15.5" customHeight="1" x14ac:dyDescent="0.2">
      <c r="A1" s="172" t="s">
        <v>0</v>
      </c>
      <c r="B1" s="173"/>
      <c r="C1" s="173"/>
      <c r="D1" s="173"/>
      <c r="E1" s="173"/>
    </row>
    <row r="2" spans="1:67" x14ac:dyDescent="0.2">
      <c r="A2" s="174" t="s">
        <v>1162</v>
      </c>
      <c r="B2" s="175"/>
      <c r="C2" s="175"/>
      <c r="D2" s="175"/>
      <c r="E2" s="175"/>
    </row>
    <row r="3" spans="1:67" s="2" customFormat="1" ht="34.25" customHeight="1" x14ac:dyDescent="0.2">
      <c r="A3" s="176" t="s">
        <v>1161</v>
      </c>
      <c r="B3" s="176"/>
      <c r="C3" s="176"/>
      <c r="D3" s="176"/>
      <c r="E3" s="176"/>
      <c r="F3" s="167" t="s">
        <v>904</v>
      </c>
      <c r="G3" s="167"/>
      <c r="H3" s="166" t="s">
        <v>905</v>
      </c>
      <c r="I3" s="166"/>
      <c r="J3" s="167" t="s">
        <v>908</v>
      </c>
      <c r="K3" s="167"/>
      <c r="L3" s="166" t="s">
        <v>909</v>
      </c>
      <c r="M3" s="166"/>
      <c r="N3" s="167" t="s">
        <v>910</v>
      </c>
      <c r="O3" s="167"/>
      <c r="P3" s="166" t="s">
        <v>911</v>
      </c>
      <c r="Q3" s="166"/>
      <c r="R3" s="166" t="s">
        <v>912</v>
      </c>
      <c r="S3" s="166"/>
      <c r="T3" s="167" t="s">
        <v>913</v>
      </c>
      <c r="U3" s="167"/>
      <c r="V3" s="166" t="s">
        <v>914</v>
      </c>
      <c r="W3" s="166"/>
      <c r="X3" s="167" t="s">
        <v>915</v>
      </c>
      <c r="Y3" s="167"/>
      <c r="Z3" s="166" t="s">
        <v>916</v>
      </c>
      <c r="AA3" s="166"/>
      <c r="AB3" s="167" t="s">
        <v>917</v>
      </c>
      <c r="AC3" s="167"/>
      <c r="AD3" s="166" t="s">
        <v>918</v>
      </c>
      <c r="AE3" s="166"/>
      <c r="AF3" s="168" t="s">
        <v>919</v>
      </c>
      <c r="AG3" s="168"/>
      <c r="AH3" s="166" t="s">
        <v>920</v>
      </c>
      <c r="AI3" s="166"/>
      <c r="AJ3" s="168" t="s">
        <v>921</v>
      </c>
      <c r="AK3" s="168"/>
      <c r="AL3" s="166" t="s">
        <v>922</v>
      </c>
      <c r="AM3" s="166"/>
      <c r="AN3" s="187" t="s">
        <v>996</v>
      </c>
      <c r="AO3" s="188"/>
      <c r="AP3" s="183" t="s">
        <v>1000</v>
      </c>
      <c r="AQ3" s="184"/>
      <c r="AR3" s="168" t="s">
        <v>1010</v>
      </c>
      <c r="AS3" s="183" t="s">
        <v>1030</v>
      </c>
      <c r="AT3" s="184"/>
      <c r="AU3" s="187" t="s">
        <v>1027</v>
      </c>
      <c r="AV3" s="188"/>
      <c r="AW3" s="183" t="s">
        <v>1181</v>
      </c>
      <c r="AX3" s="184"/>
      <c r="AY3" s="187" t="s">
        <v>1182</v>
      </c>
      <c r="AZ3" s="188"/>
      <c r="BA3" s="183" t="s">
        <v>1183</v>
      </c>
      <c r="BB3" s="184"/>
      <c r="BC3" s="191" t="s">
        <v>1322</v>
      </c>
      <c r="BD3" s="192"/>
      <c r="BE3" s="162" t="s">
        <v>1323</v>
      </c>
      <c r="BF3" s="163"/>
      <c r="BG3" s="177" t="s">
        <v>893</v>
      </c>
      <c r="BH3" s="178"/>
      <c r="BI3" s="178"/>
      <c r="BJ3" s="178"/>
      <c r="BK3" s="178"/>
      <c r="BL3" s="178"/>
      <c r="BM3" s="178"/>
      <c r="BN3" s="178"/>
      <c r="BO3" s="179"/>
    </row>
    <row r="4" spans="1:67" ht="23.25" customHeight="1" x14ac:dyDescent="0.2">
      <c r="A4" s="176"/>
      <c r="B4" s="176"/>
      <c r="C4" s="176"/>
      <c r="D4" s="176"/>
      <c r="E4" s="176"/>
      <c r="F4" s="167"/>
      <c r="G4" s="167"/>
      <c r="H4" s="166"/>
      <c r="I4" s="166"/>
      <c r="J4" s="167"/>
      <c r="K4" s="167"/>
      <c r="L4" s="166"/>
      <c r="M4" s="166"/>
      <c r="N4" s="167"/>
      <c r="O4" s="167"/>
      <c r="P4" s="166"/>
      <c r="Q4" s="166"/>
      <c r="R4" s="166"/>
      <c r="S4" s="166"/>
      <c r="T4" s="167"/>
      <c r="U4" s="167"/>
      <c r="V4" s="166"/>
      <c r="W4" s="166"/>
      <c r="X4" s="167"/>
      <c r="Y4" s="167"/>
      <c r="Z4" s="166"/>
      <c r="AA4" s="166"/>
      <c r="AB4" s="167"/>
      <c r="AC4" s="167"/>
      <c r="AD4" s="166"/>
      <c r="AE4" s="166"/>
      <c r="AF4" s="168"/>
      <c r="AG4" s="168"/>
      <c r="AH4" s="166"/>
      <c r="AI4" s="166"/>
      <c r="AJ4" s="168"/>
      <c r="AK4" s="168"/>
      <c r="AL4" s="166"/>
      <c r="AM4" s="166"/>
      <c r="AN4" s="189"/>
      <c r="AO4" s="190"/>
      <c r="AP4" s="185"/>
      <c r="AQ4" s="186"/>
      <c r="AR4" s="168"/>
      <c r="AS4" s="185"/>
      <c r="AT4" s="186"/>
      <c r="AU4" s="189"/>
      <c r="AV4" s="190"/>
      <c r="AW4" s="185"/>
      <c r="AX4" s="186"/>
      <c r="AY4" s="189"/>
      <c r="AZ4" s="190"/>
      <c r="BA4" s="185"/>
      <c r="BB4" s="186"/>
      <c r="BC4" s="193"/>
      <c r="BD4" s="194"/>
      <c r="BE4" s="164"/>
      <c r="BF4" s="165"/>
      <c r="BG4" s="180"/>
      <c r="BH4" s="181"/>
      <c r="BI4" s="181"/>
      <c r="BJ4" s="181"/>
      <c r="BK4" s="181"/>
      <c r="BL4" s="181"/>
      <c r="BM4" s="181"/>
      <c r="BN4" s="181"/>
      <c r="BO4" s="182"/>
    </row>
    <row r="5" spans="1:67" s="48" customFormat="1" ht="57" customHeight="1" x14ac:dyDescent="0.2">
      <c r="A5" s="3" t="s">
        <v>1</v>
      </c>
      <c r="B5" s="3" t="s">
        <v>2</v>
      </c>
      <c r="C5" s="5" t="s">
        <v>3</v>
      </c>
      <c r="D5" s="4" t="s">
        <v>4</v>
      </c>
      <c r="E5" s="4" t="s">
        <v>889</v>
      </c>
      <c r="F5" s="12" t="s">
        <v>906</v>
      </c>
      <c r="G5" s="12" t="s">
        <v>907</v>
      </c>
      <c r="H5" s="12" t="s">
        <v>906</v>
      </c>
      <c r="I5" s="19" t="s">
        <v>907</v>
      </c>
      <c r="J5" s="12" t="s">
        <v>906</v>
      </c>
      <c r="K5" s="19" t="s">
        <v>907</v>
      </c>
      <c r="L5" s="12" t="s">
        <v>906</v>
      </c>
      <c r="M5" s="19" t="s">
        <v>907</v>
      </c>
      <c r="N5" s="12" t="s">
        <v>906</v>
      </c>
      <c r="O5" s="19" t="s">
        <v>907</v>
      </c>
      <c r="P5" s="12" t="s">
        <v>906</v>
      </c>
      <c r="Q5" s="19" t="s">
        <v>907</v>
      </c>
      <c r="R5" s="15" t="s">
        <v>5</v>
      </c>
      <c r="S5" s="12" t="s">
        <v>1184</v>
      </c>
      <c r="T5" s="12" t="s">
        <v>906</v>
      </c>
      <c r="U5" s="19" t="s">
        <v>907</v>
      </c>
      <c r="V5" s="12" t="s">
        <v>906</v>
      </c>
      <c r="W5" s="19" t="s">
        <v>907</v>
      </c>
      <c r="X5" s="12" t="s">
        <v>906</v>
      </c>
      <c r="Y5" s="19" t="s">
        <v>907</v>
      </c>
      <c r="Z5" s="12" t="s">
        <v>906</v>
      </c>
      <c r="AA5" s="19" t="s">
        <v>907</v>
      </c>
      <c r="AB5" s="12" t="s">
        <v>906</v>
      </c>
      <c r="AC5" s="19" t="s">
        <v>907</v>
      </c>
      <c r="AD5" s="12" t="s">
        <v>906</v>
      </c>
      <c r="AE5" s="19" t="s">
        <v>907</v>
      </c>
      <c r="AF5" s="12" t="s">
        <v>906</v>
      </c>
      <c r="AG5" s="19" t="s">
        <v>907</v>
      </c>
      <c r="AH5" s="12" t="s">
        <v>906</v>
      </c>
      <c r="AI5" s="19" t="s">
        <v>907</v>
      </c>
      <c r="AJ5" s="12" t="s">
        <v>906</v>
      </c>
      <c r="AK5" s="19" t="s">
        <v>907</v>
      </c>
      <c r="AL5" s="12" t="s">
        <v>906</v>
      </c>
      <c r="AM5" s="19" t="s">
        <v>907</v>
      </c>
      <c r="AN5" s="12" t="s">
        <v>906</v>
      </c>
      <c r="AO5" s="18" t="s">
        <v>1321</v>
      </c>
      <c r="AP5" s="12" t="s">
        <v>906</v>
      </c>
      <c r="AQ5" s="18" t="s">
        <v>1321</v>
      </c>
      <c r="AR5" s="12" t="s">
        <v>906</v>
      </c>
      <c r="AS5" s="12" t="s">
        <v>906</v>
      </c>
      <c r="AT5" s="18" t="s">
        <v>1321</v>
      </c>
      <c r="AU5" s="12" t="s">
        <v>906</v>
      </c>
      <c r="AV5" s="18" t="s">
        <v>1321</v>
      </c>
      <c r="AW5" s="12" t="s">
        <v>906</v>
      </c>
      <c r="AX5" s="12" t="s">
        <v>1184</v>
      </c>
      <c r="AY5" s="12" t="s">
        <v>906</v>
      </c>
      <c r="AZ5" s="12" t="s">
        <v>1184</v>
      </c>
      <c r="BA5" s="12" t="s">
        <v>906</v>
      </c>
      <c r="BB5" s="12" t="s">
        <v>1184</v>
      </c>
      <c r="BC5" s="53" t="s">
        <v>1038</v>
      </c>
      <c r="BD5" s="18" t="s">
        <v>1321</v>
      </c>
      <c r="BE5" s="53" t="s">
        <v>1038</v>
      </c>
      <c r="BF5" s="18" t="s">
        <v>1321</v>
      </c>
      <c r="BG5" s="36" t="s">
        <v>894</v>
      </c>
      <c r="BH5" s="36" t="s">
        <v>895</v>
      </c>
      <c r="BI5" s="36" t="s">
        <v>923</v>
      </c>
      <c r="BJ5" s="40" t="s">
        <v>897</v>
      </c>
      <c r="BK5" s="41" t="s">
        <v>899</v>
      </c>
      <c r="BL5" s="41" t="s">
        <v>900</v>
      </c>
      <c r="BM5" s="39" t="s">
        <v>1111</v>
      </c>
      <c r="BN5" s="39" t="s">
        <v>1110</v>
      </c>
      <c r="BO5" s="41" t="s">
        <v>901</v>
      </c>
    </row>
    <row r="6" spans="1:67" ht="47.25" customHeight="1" x14ac:dyDescent="0.2">
      <c r="A6" s="105">
        <v>1</v>
      </c>
      <c r="B6" s="106" t="s">
        <v>22</v>
      </c>
      <c r="C6" s="106" t="s">
        <v>23</v>
      </c>
      <c r="D6" s="105" t="s">
        <v>7</v>
      </c>
      <c r="E6" s="105">
        <v>100</v>
      </c>
      <c r="F6" s="13">
        <v>7200</v>
      </c>
      <c r="G6" s="13">
        <f>F6+(F6*22.1%)</f>
        <v>8791.2000000000007</v>
      </c>
      <c r="H6" s="13">
        <v>6500</v>
      </c>
      <c r="I6" s="13">
        <f>H6+(H6*22.1%)</f>
        <v>7936.5</v>
      </c>
      <c r="J6" s="27"/>
      <c r="K6" s="27"/>
      <c r="L6" s="27"/>
      <c r="M6" s="27"/>
      <c r="N6" s="27"/>
      <c r="O6" s="27"/>
      <c r="P6" s="27"/>
      <c r="Q6" s="27"/>
      <c r="R6" s="27"/>
      <c r="S6" s="27"/>
      <c r="T6" s="27"/>
      <c r="U6" s="27"/>
      <c r="V6" s="27"/>
      <c r="W6" s="27"/>
      <c r="X6" s="27"/>
      <c r="Y6" s="27"/>
      <c r="Z6" s="27"/>
      <c r="AA6" s="27"/>
      <c r="AB6" s="27"/>
      <c r="AC6" s="27"/>
      <c r="AD6" s="27"/>
      <c r="AE6" s="27"/>
      <c r="AF6" s="27"/>
      <c r="AG6" s="27"/>
      <c r="AH6" s="27"/>
      <c r="AI6" s="27"/>
      <c r="AJ6" s="27"/>
      <c r="AK6" s="27"/>
      <c r="AL6" s="27"/>
      <c r="AM6" s="27"/>
      <c r="AN6" s="27"/>
      <c r="AO6" s="27"/>
      <c r="AP6" s="27"/>
      <c r="AQ6" s="27"/>
      <c r="AR6" s="27"/>
      <c r="AS6" s="27"/>
      <c r="AT6" s="27"/>
      <c r="AU6" s="27"/>
      <c r="AV6" s="27"/>
      <c r="AW6" s="27"/>
      <c r="AX6" s="27"/>
      <c r="AY6" s="27"/>
      <c r="AZ6" s="27"/>
      <c r="BA6" s="27"/>
      <c r="BB6" s="27"/>
      <c r="BC6" s="27"/>
      <c r="BD6" s="27"/>
      <c r="BE6" s="27"/>
      <c r="BF6" s="27"/>
      <c r="BG6" s="107">
        <f t="shared" ref="BG6:BG37" si="0">MEDIAN(G6,I6,K6,M6,O6,Q6,S6,U6,W6,Y6,AA6,AC6,AE6,AG6,AI6,AK6,AM6,AN6,AP6,AR6,AS6,AU6,AX6,AZ6,BB6)</f>
        <v>8363.85</v>
      </c>
      <c r="BH6" s="107">
        <f t="shared" ref="BH6:BH37" si="1">AVERAGE(G6,I6,K6,M6,O6,Q6,S6,U6,W6,Y6,AA6,AC6,AE6,AG6,AI6,AK6,AM6,AN6,AP6,AR6,AS6,AU6:AX6,AZ6,BB6)</f>
        <v>8363.85</v>
      </c>
      <c r="BI6" s="108">
        <f t="shared" ref="BI6:BI37" si="2">STDEV(G6,I6,K6,M6,O6,Q6,S6,U6,W6,Y6,AA6,AC6,AE6,AG6,AI6,AK6,AM6,AN6,AP6,AR6,AS6,AU6,AX6,AZ6,BB6)</f>
        <v>604.36416588014265</v>
      </c>
      <c r="BJ6" s="65">
        <f t="shared" ref="BJ6" si="3">BI6/BH6</f>
        <v>7.2259087128552363E-2</v>
      </c>
      <c r="BK6" s="66">
        <f>BM6</f>
        <v>8364</v>
      </c>
      <c r="BL6" s="66">
        <v>0</v>
      </c>
      <c r="BM6" s="109">
        <f>ROUNDUP(IF(BJ6&lt;15%,BH6,BG6),0)</f>
        <v>8364</v>
      </c>
      <c r="BN6" s="109">
        <f t="shared" ref="BN6:BN37" si="4">BM6*E6</f>
        <v>836400</v>
      </c>
      <c r="BO6" s="110" t="s">
        <v>903</v>
      </c>
    </row>
    <row r="7" spans="1:67" ht="34" x14ac:dyDescent="0.2">
      <c r="A7" s="105">
        <v>2</v>
      </c>
      <c r="B7" s="106" t="s">
        <v>24</v>
      </c>
      <c r="C7" s="111" t="s">
        <v>834</v>
      </c>
      <c r="D7" s="105" t="s">
        <v>7</v>
      </c>
      <c r="E7" s="105">
        <v>1000</v>
      </c>
      <c r="F7" s="13">
        <v>2200</v>
      </c>
      <c r="G7" s="13">
        <f t="shared" ref="G7:G8" si="5">((F7*5.1%)+F7)</f>
        <v>2312.1999999999998</v>
      </c>
      <c r="H7" s="13">
        <v>2200</v>
      </c>
      <c r="I7" s="13">
        <f t="shared" ref="I7:I9" si="6">((H7*5.1%)+H7)</f>
        <v>2312.1999999999998</v>
      </c>
      <c r="J7" s="27"/>
      <c r="K7" s="27"/>
      <c r="L7" s="27"/>
      <c r="M7" s="27"/>
      <c r="N7" s="27"/>
      <c r="O7" s="27"/>
      <c r="P7" s="27"/>
      <c r="Q7" s="27"/>
      <c r="R7" s="27"/>
      <c r="S7" s="27"/>
      <c r="T7" s="27"/>
      <c r="U7" s="27"/>
      <c r="V7" s="27"/>
      <c r="W7" s="27"/>
      <c r="X7" s="27"/>
      <c r="Y7" s="27"/>
      <c r="Z7" s="27"/>
      <c r="AA7" s="27"/>
      <c r="AB7" s="27"/>
      <c r="AC7" s="27"/>
      <c r="AD7" s="27"/>
      <c r="AE7" s="27"/>
      <c r="AF7" s="27"/>
      <c r="AG7" s="27"/>
      <c r="AH7" s="27"/>
      <c r="AI7" s="27"/>
      <c r="AJ7" s="27"/>
      <c r="AK7" s="27"/>
      <c r="AL7" s="27"/>
      <c r="AM7" s="27"/>
      <c r="AN7" s="27"/>
      <c r="AO7" s="27"/>
      <c r="AP7" s="27"/>
      <c r="AQ7" s="27"/>
      <c r="AR7" s="27"/>
      <c r="AS7" s="27"/>
      <c r="AT7" s="27"/>
      <c r="AU7" s="27"/>
      <c r="AV7" s="27"/>
      <c r="AW7" s="27"/>
      <c r="AX7" s="27"/>
      <c r="AY7" s="27"/>
      <c r="AZ7" s="27"/>
      <c r="BA7" s="27"/>
      <c r="BB7" s="27"/>
      <c r="BC7" s="27"/>
      <c r="BD7" s="27"/>
      <c r="BE7" s="27"/>
      <c r="BF7" s="27"/>
      <c r="BG7" s="107">
        <f t="shared" si="0"/>
        <v>2312.1999999999998</v>
      </c>
      <c r="BH7" s="107">
        <f t="shared" si="1"/>
        <v>2312.1999999999998</v>
      </c>
      <c r="BI7" s="108">
        <f t="shared" si="2"/>
        <v>0</v>
      </c>
      <c r="BJ7" s="65">
        <f t="shared" ref="BJ7:BJ22" si="7">BI7/BH7</f>
        <v>0</v>
      </c>
      <c r="BK7" s="66">
        <f>BM7</f>
        <v>2313</v>
      </c>
      <c r="BL7" s="66">
        <v>0</v>
      </c>
      <c r="BM7" s="109">
        <f t="shared" ref="BM7:BM36" si="8">ROUNDUP(IF(BJ7&lt;15%,BH7,BG7),0)</f>
        <v>2313</v>
      </c>
      <c r="BN7" s="109">
        <f t="shared" si="4"/>
        <v>2313000</v>
      </c>
      <c r="BO7" s="110" t="s">
        <v>903</v>
      </c>
    </row>
    <row r="8" spans="1:67" ht="34" x14ac:dyDescent="0.2">
      <c r="A8" s="105">
        <v>3</v>
      </c>
      <c r="B8" s="106" t="s">
        <v>26</v>
      </c>
      <c r="C8" s="106" t="s">
        <v>1178</v>
      </c>
      <c r="D8" s="105" t="s">
        <v>7</v>
      </c>
      <c r="E8" s="105">
        <v>150</v>
      </c>
      <c r="F8" s="13">
        <v>4000</v>
      </c>
      <c r="G8" s="13">
        <f t="shared" si="5"/>
        <v>4204</v>
      </c>
      <c r="H8" s="13">
        <v>3200</v>
      </c>
      <c r="I8" s="13">
        <f t="shared" si="6"/>
        <v>3363.2</v>
      </c>
      <c r="J8" s="27"/>
      <c r="K8" s="27"/>
      <c r="L8" s="27"/>
      <c r="M8" s="27"/>
      <c r="N8" s="27"/>
      <c r="O8" s="27"/>
      <c r="P8" s="27"/>
      <c r="Q8" s="27"/>
      <c r="R8" s="27"/>
      <c r="S8" s="27"/>
      <c r="T8" s="27"/>
      <c r="U8" s="27"/>
      <c r="V8" s="27"/>
      <c r="W8" s="27"/>
      <c r="X8" s="27"/>
      <c r="Y8" s="27"/>
      <c r="Z8" s="27"/>
      <c r="AA8" s="27"/>
      <c r="AB8" s="27"/>
      <c r="AC8" s="27"/>
      <c r="AD8" s="27"/>
      <c r="AE8" s="27"/>
      <c r="AF8" s="27"/>
      <c r="AG8" s="27"/>
      <c r="AH8" s="27"/>
      <c r="AI8" s="27"/>
      <c r="AJ8" s="27"/>
      <c r="AK8" s="27"/>
      <c r="AL8" s="27"/>
      <c r="AM8" s="27"/>
      <c r="AN8" s="27"/>
      <c r="AO8" s="27"/>
      <c r="AP8" s="27"/>
      <c r="AQ8" s="27"/>
      <c r="AR8" s="27"/>
      <c r="AS8" s="27"/>
      <c r="AT8" s="27"/>
      <c r="AU8" s="27"/>
      <c r="AV8" s="27"/>
      <c r="AW8" s="27"/>
      <c r="AX8" s="27"/>
      <c r="AY8" s="27"/>
      <c r="AZ8" s="27"/>
      <c r="BA8" s="27"/>
      <c r="BB8" s="27"/>
      <c r="BC8" s="27"/>
      <c r="BD8" s="27"/>
      <c r="BE8" s="27"/>
      <c r="BF8" s="27"/>
      <c r="BG8" s="107">
        <f t="shared" si="0"/>
        <v>3783.6</v>
      </c>
      <c r="BH8" s="107">
        <f t="shared" si="1"/>
        <v>3783.6</v>
      </c>
      <c r="BI8" s="108">
        <f t="shared" si="2"/>
        <v>594.53538162164944</v>
      </c>
      <c r="BJ8" s="65">
        <f t="shared" si="7"/>
        <v>0.1571348402636773</v>
      </c>
      <c r="BK8" s="66">
        <f t="shared" ref="BK8:BK16" si="9">BM8</f>
        <v>3784</v>
      </c>
      <c r="BL8" s="66">
        <v>0</v>
      </c>
      <c r="BM8" s="109">
        <f t="shared" si="8"/>
        <v>3784</v>
      </c>
      <c r="BN8" s="109">
        <f t="shared" si="4"/>
        <v>567600</v>
      </c>
      <c r="BO8" s="110" t="s">
        <v>902</v>
      </c>
    </row>
    <row r="9" spans="1:67" ht="34" x14ac:dyDescent="0.2">
      <c r="A9" s="105">
        <v>4</v>
      </c>
      <c r="B9" s="106" t="s">
        <v>27</v>
      </c>
      <c r="C9" s="106" t="s">
        <v>1179</v>
      </c>
      <c r="D9" s="105" t="s">
        <v>7</v>
      </c>
      <c r="E9" s="105">
        <v>150</v>
      </c>
      <c r="F9" s="13">
        <v>3900</v>
      </c>
      <c r="G9" s="13">
        <f>((F9*5.1%)+F9)</f>
        <v>4098.8999999999996</v>
      </c>
      <c r="H9" s="13">
        <v>4000</v>
      </c>
      <c r="I9" s="13">
        <f t="shared" si="6"/>
        <v>4204</v>
      </c>
      <c r="J9" s="27"/>
      <c r="K9" s="27"/>
      <c r="L9" s="27"/>
      <c r="M9" s="27"/>
      <c r="N9" s="27"/>
      <c r="O9" s="27"/>
      <c r="P9" s="27"/>
      <c r="Q9" s="27"/>
      <c r="R9" s="27"/>
      <c r="S9" s="27"/>
      <c r="T9" s="27"/>
      <c r="U9" s="27"/>
      <c r="V9" s="27"/>
      <c r="W9" s="27"/>
      <c r="X9" s="27"/>
      <c r="Y9" s="27"/>
      <c r="Z9" s="27"/>
      <c r="AA9" s="27"/>
      <c r="AB9" s="27"/>
      <c r="AC9" s="27"/>
      <c r="AD9" s="27"/>
      <c r="AE9" s="27"/>
      <c r="AF9" s="27"/>
      <c r="AG9" s="27"/>
      <c r="AH9" s="27"/>
      <c r="AI9" s="27"/>
      <c r="AJ9" s="27"/>
      <c r="AK9" s="27"/>
      <c r="AL9" s="27"/>
      <c r="AM9" s="27"/>
      <c r="AN9" s="27"/>
      <c r="AO9" s="27"/>
      <c r="AP9" s="27"/>
      <c r="AQ9" s="27"/>
      <c r="AR9" s="27"/>
      <c r="AS9" s="27"/>
      <c r="AT9" s="27"/>
      <c r="AU9" s="27"/>
      <c r="AV9" s="27"/>
      <c r="AW9" s="27"/>
      <c r="AX9" s="27"/>
      <c r="AY9" s="27"/>
      <c r="AZ9" s="27"/>
      <c r="BA9" s="27"/>
      <c r="BB9" s="27"/>
      <c r="BC9" s="27"/>
      <c r="BD9" s="27"/>
      <c r="BE9" s="27"/>
      <c r="BF9" s="27"/>
      <c r="BG9" s="107">
        <f t="shared" si="0"/>
        <v>4151.45</v>
      </c>
      <c r="BH9" s="107">
        <f t="shared" si="1"/>
        <v>4151.45</v>
      </c>
      <c r="BI9" s="108">
        <f t="shared" si="2"/>
        <v>74.316922702706407</v>
      </c>
      <c r="BJ9" s="65">
        <f t="shared" si="7"/>
        <v>1.7901437498393673E-2</v>
      </c>
      <c r="BK9" s="66">
        <f t="shared" si="9"/>
        <v>4152</v>
      </c>
      <c r="BL9" s="66">
        <v>0</v>
      </c>
      <c r="BM9" s="109">
        <f t="shared" si="8"/>
        <v>4152</v>
      </c>
      <c r="BN9" s="109">
        <f t="shared" si="4"/>
        <v>622800</v>
      </c>
      <c r="BO9" s="110" t="s">
        <v>903</v>
      </c>
    </row>
    <row r="10" spans="1:67" ht="34" x14ac:dyDescent="0.2">
      <c r="A10" s="105">
        <v>5</v>
      </c>
      <c r="B10" s="106" t="s">
        <v>28</v>
      </c>
      <c r="C10" s="106" t="s">
        <v>1205</v>
      </c>
      <c r="D10" s="105" t="s">
        <v>29</v>
      </c>
      <c r="E10" s="105">
        <v>1</v>
      </c>
      <c r="F10" s="13">
        <v>46000</v>
      </c>
      <c r="G10" s="13">
        <f>((F10*5.1%)+F10)</f>
        <v>48346</v>
      </c>
      <c r="H10" s="13">
        <v>41800</v>
      </c>
      <c r="I10" s="13">
        <f>((H10*5.1%)+H10)</f>
        <v>43931.8</v>
      </c>
      <c r="J10" s="13">
        <v>54600</v>
      </c>
      <c r="K10" s="13">
        <f>((J10*5.1%)+J10)</f>
        <v>57384.6</v>
      </c>
      <c r="L10" s="14">
        <v>46000</v>
      </c>
      <c r="M10" s="13">
        <f>((L10*5.1%)+L10)</f>
        <v>48346</v>
      </c>
      <c r="N10" s="13">
        <v>44000</v>
      </c>
      <c r="O10" s="13">
        <f>((N10*5.1%)+N10)</f>
        <v>46244</v>
      </c>
      <c r="P10" s="27"/>
      <c r="Q10" s="27"/>
      <c r="R10" s="27"/>
      <c r="S10" s="27"/>
      <c r="T10" s="27"/>
      <c r="U10" s="27"/>
      <c r="V10" s="27"/>
      <c r="W10" s="27"/>
      <c r="X10" s="27"/>
      <c r="Y10" s="27"/>
      <c r="Z10" s="27"/>
      <c r="AA10" s="27"/>
      <c r="AB10" s="27"/>
      <c r="AC10" s="27"/>
      <c r="AD10" s="27"/>
      <c r="AE10" s="27"/>
      <c r="AF10" s="27"/>
      <c r="AG10" s="27"/>
      <c r="AH10" s="27"/>
      <c r="AI10" s="27"/>
      <c r="AJ10" s="27"/>
      <c r="AK10" s="27"/>
      <c r="AL10" s="27"/>
      <c r="AM10" s="27"/>
      <c r="AN10" s="27"/>
      <c r="AO10" s="27"/>
      <c r="AP10" s="27"/>
      <c r="AQ10" s="27"/>
      <c r="AR10" s="27"/>
      <c r="AS10" s="27"/>
      <c r="AT10" s="27"/>
      <c r="AU10" s="27"/>
      <c r="AV10" s="27"/>
      <c r="AW10" s="27"/>
      <c r="AX10" s="27"/>
      <c r="AY10" s="27"/>
      <c r="AZ10" s="27"/>
      <c r="BA10" s="27"/>
      <c r="BB10" s="27"/>
      <c r="BC10" s="27"/>
      <c r="BD10" s="27"/>
      <c r="BE10" s="27"/>
      <c r="BF10" s="27"/>
      <c r="BG10" s="107">
        <f t="shared" si="0"/>
        <v>48346</v>
      </c>
      <c r="BH10" s="107">
        <f t="shared" si="1"/>
        <v>48850.479999999996</v>
      </c>
      <c r="BI10" s="108">
        <f t="shared" si="2"/>
        <v>5107.0381643375249</v>
      </c>
      <c r="BJ10" s="65">
        <f t="shared" si="7"/>
        <v>0.10454427805699197</v>
      </c>
      <c r="BK10" s="66">
        <f>BM10</f>
        <v>48851</v>
      </c>
      <c r="BL10" s="66">
        <v>0</v>
      </c>
      <c r="BM10" s="109">
        <f t="shared" si="8"/>
        <v>48851</v>
      </c>
      <c r="BN10" s="109">
        <f t="shared" si="4"/>
        <v>48851</v>
      </c>
      <c r="BO10" s="110" t="s">
        <v>903</v>
      </c>
    </row>
    <row r="11" spans="1:67" ht="34" x14ac:dyDescent="0.2">
      <c r="A11" s="105">
        <v>6</v>
      </c>
      <c r="B11" s="106" t="s">
        <v>30</v>
      </c>
      <c r="C11" s="106" t="s">
        <v>1206</v>
      </c>
      <c r="D11" s="105" t="s">
        <v>31</v>
      </c>
      <c r="E11" s="105">
        <v>20</v>
      </c>
      <c r="F11" s="13">
        <v>6000</v>
      </c>
      <c r="G11" s="13">
        <f>((F11*5.1%)+F11)</f>
        <v>6306</v>
      </c>
      <c r="H11" s="13">
        <v>7200</v>
      </c>
      <c r="I11" s="13">
        <f>((H11*5.1%)+H11)</f>
        <v>7567.2</v>
      </c>
      <c r="J11" s="27"/>
      <c r="K11" s="27"/>
      <c r="L11" s="27"/>
      <c r="M11" s="27"/>
      <c r="N11" s="13">
        <v>6800</v>
      </c>
      <c r="O11" s="13">
        <f>((N11*5.1%)+N11)</f>
        <v>7146.8</v>
      </c>
      <c r="P11" s="27"/>
      <c r="Q11" s="27"/>
      <c r="R11" s="27"/>
      <c r="S11" s="27"/>
      <c r="T11" s="27"/>
      <c r="U11" s="27"/>
      <c r="V11" s="27"/>
      <c r="W11" s="27"/>
      <c r="X11" s="27"/>
      <c r="Y11" s="27"/>
      <c r="Z11" s="27"/>
      <c r="AA11" s="27"/>
      <c r="AB11" s="27"/>
      <c r="AC11" s="27"/>
      <c r="AD11" s="27"/>
      <c r="AE11" s="27"/>
      <c r="AF11" s="27"/>
      <c r="AG11" s="27"/>
      <c r="AH11" s="27"/>
      <c r="AI11" s="27"/>
      <c r="AJ11" s="27"/>
      <c r="AK11" s="27"/>
      <c r="AL11" s="27"/>
      <c r="AM11" s="27"/>
      <c r="AN11" s="27"/>
      <c r="AO11" s="27"/>
      <c r="AP11" s="27"/>
      <c r="AQ11" s="27"/>
      <c r="AR11" s="27"/>
      <c r="AS11" s="27"/>
      <c r="AT11" s="27"/>
      <c r="AU11" s="27"/>
      <c r="AV11" s="27"/>
      <c r="AW11" s="27"/>
      <c r="AX11" s="27"/>
      <c r="AY11" s="27"/>
      <c r="AZ11" s="27"/>
      <c r="BA11" s="27"/>
      <c r="BB11" s="27"/>
      <c r="BC11" s="27"/>
      <c r="BD11" s="27"/>
      <c r="BE11" s="27"/>
      <c r="BF11" s="27"/>
      <c r="BG11" s="107">
        <f t="shared" si="0"/>
        <v>7146.8</v>
      </c>
      <c r="BH11" s="107">
        <f t="shared" si="1"/>
        <v>7006.666666666667</v>
      </c>
      <c r="BI11" s="108">
        <f t="shared" si="2"/>
        <v>642.1716073864784</v>
      </c>
      <c r="BJ11" s="65">
        <f t="shared" si="7"/>
        <v>9.1651513899116799E-2</v>
      </c>
      <c r="BK11" s="66">
        <f t="shared" si="9"/>
        <v>7007</v>
      </c>
      <c r="BL11" s="66">
        <v>0</v>
      </c>
      <c r="BM11" s="109">
        <f t="shared" si="8"/>
        <v>7007</v>
      </c>
      <c r="BN11" s="109">
        <f t="shared" si="4"/>
        <v>140140</v>
      </c>
      <c r="BO11" s="110" t="s">
        <v>903</v>
      </c>
    </row>
    <row r="12" spans="1:67" ht="34" x14ac:dyDescent="0.2">
      <c r="A12" s="105">
        <v>7</v>
      </c>
      <c r="B12" s="112" t="s">
        <v>32</v>
      </c>
      <c r="C12" s="112" t="s">
        <v>1207</v>
      </c>
      <c r="D12" s="105" t="s">
        <v>31</v>
      </c>
      <c r="E12" s="113">
        <v>1</v>
      </c>
      <c r="F12" s="28">
        <v>6000</v>
      </c>
      <c r="G12" s="28">
        <f>((F12*5.1%)+F12)</f>
        <v>6306</v>
      </c>
      <c r="H12" s="28">
        <v>6500</v>
      </c>
      <c r="I12" s="28">
        <f>((H12*5.1%)+H12)</f>
        <v>6831.5</v>
      </c>
      <c r="J12" s="114"/>
      <c r="K12" s="114"/>
      <c r="L12" s="114"/>
      <c r="M12" s="114"/>
      <c r="N12" s="28"/>
      <c r="O12" s="28"/>
      <c r="P12" s="114"/>
      <c r="Q12" s="114"/>
      <c r="R12" s="114"/>
      <c r="S12" s="114"/>
      <c r="T12" s="114"/>
      <c r="U12" s="114"/>
      <c r="V12" s="114"/>
      <c r="W12" s="114"/>
      <c r="X12" s="114"/>
      <c r="Y12" s="114"/>
      <c r="Z12" s="114"/>
      <c r="AA12" s="114"/>
      <c r="AB12" s="114"/>
      <c r="AC12" s="114"/>
      <c r="AD12" s="114"/>
      <c r="AE12" s="114"/>
      <c r="AF12" s="114"/>
      <c r="AG12" s="114"/>
      <c r="AH12" s="114"/>
      <c r="AI12" s="114"/>
      <c r="AJ12" s="114"/>
      <c r="AK12" s="114"/>
      <c r="AL12" s="114"/>
      <c r="AM12" s="114"/>
      <c r="AN12" s="114"/>
      <c r="AO12" s="114"/>
      <c r="AP12" s="114"/>
      <c r="AQ12" s="114"/>
      <c r="AR12" s="114"/>
      <c r="AS12" s="114"/>
      <c r="AT12" s="114"/>
      <c r="AU12" s="114"/>
      <c r="AV12" s="114"/>
      <c r="AW12" s="114"/>
      <c r="AX12" s="114"/>
      <c r="AY12" s="114"/>
      <c r="AZ12" s="114"/>
      <c r="BA12" s="114"/>
      <c r="BB12" s="114"/>
      <c r="BC12" s="114"/>
      <c r="BD12" s="114"/>
      <c r="BE12" s="114"/>
      <c r="BF12" s="114"/>
      <c r="BG12" s="107">
        <f t="shared" si="0"/>
        <v>6568.75</v>
      </c>
      <c r="BH12" s="107">
        <f t="shared" si="1"/>
        <v>6568.75</v>
      </c>
      <c r="BI12" s="108">
        <f t="shared" si="2"/>
        <v>371.58461351353071</v>
      </c>
      <c r="BJ12" s="65">
        <f t="shared" si="7"/>
        <v>5.6568542494923803E-2</v>
      </c>
      <c r="BK12" s="66">
        <f t="shared" si="9"/>
        <v>6569</v>
      </c>
      <c r="BL12" s="66">
        <v>0</v>
      </c>
      <c r="BM12" s="109">
        <f t="shared" si="8"/>
        <v>6569</v>
      </c>
      <c r="BN12" s="109">
        <f t="shared" si="4"/>
        <v>6569</v>
      </c>
      <c r="BO12" s="110" t="s">
        <v>903</v>
      </c>
    </row>
    <row r="13" spans="1:67" ht="34" x14ac:dyDescent="0.2">
      <c r="A13" s="105">
        <v>8</v>
      </c>
      <c r="B13" s="106" t="s">
        <v>33</v>
      </c>
      <c r="C13" s="106" t="s">
        <v>1208</v>
      </c>
      <c r="D13" s="105" t="s">
        <v>31</v>
      </c>
      <c r="E13" s="105">
        <v>1</v>
      </c>
      <c r="F13" s="45"/>
      <c r="G13" s="45"/>
      <c r="H13" s="45"/>
      <c r="I13" s="45"/>
      <c r="J13" s="45"/>
      <c r="K13" s="45"/>
      <c r="L13" s="45"/>
      <c r="M13" s="45"/>
      <c r="N13" s="45"/>
      <c r="O13" s="45"/>
      <c r="P13" s="45"/>
      <c r="Q13" s="45"/>
      <c r="R13" s="45"/>
      <c r="S13" s="45"/>
      <c r="T13" s="45"/>
      <c r="U13" s="45"/>
      <c r="V13" s="45"/>
      <c r="W13" s="45"/>
      <c r="X13" s="45"/>
      <c r="Y13" s="45"/>
      <c r="Z13" s="45"/>
      <c r="AA13" s="45"/>
      <c r="AB13" s="45"/>
      <c r="AC13" s="45"/>
      <c r="AD13" s="45"/>
      <c r="AE13" s="45"/>
      <c r="AF13" s="45"/>
      <c r="AG13" s="45"/>
      <c r="AH13" s="45"/>
      <c r="AI13" s="45"/>
      <c r="AJ13" s="45"/>
      <c r="AK13" s="45"/>
      <c r="AL13" s="45"/>
      <c r="AM13" s="45"/>
      <c r="AN13" s="45"/>
      <c r="AO13" s="45"/>
      <c r="AP13" s="45"/>
      <c r="AQ13" s="45"/>
      <c r="AR13" s="45">
        <v>4200</v>
      </c>
      <c r="AS13" s="45">
        <v>4200</v>
      </c>
      <c r="AT13" s="45"/>
      <c r="AU13" s="45"/>
      <c r="AV13" s="45"/>
      <c r="AW13" s="45"/>
      <c r="AX13" s="45"/>
      <c r="AY13" s="45"/>
      <c r="AZ13" s="45"/>
      <c r="BA13" s="45"/>
      <c r="BB13" s="45"/>
      <c r="BC13" s="45"/>
      <c r="BD13" s="45"/>
      <c r="BE13" s="45"/>
      <c r="BF13" s="45"/>
      <c r="BG13" s="107">
        <f t="shared" si="0"/>
        <v>4200</v>
      </c>
      <c r="BH13" s="107">
        <f t="shared" si="1"/>
        <v>4200</v>
      </c>
      <c r="BI13" s="108">
        <f t="shared" si="2"/>
        <v>0</v>
      </c>
      <c r="BJ13" s="65">
        <f t="shared" si="7"/>
        <v>0</v>
      </c>
      <c r="BK13" s="66">
        <f>BM13</f>
        <v>4200</v>
      </c>
      <c r="BL13" s="66">
        <v>0</v>
      </c>
      <c r="BM13" s="109">
        <f t="shared" si="8"/>
        <v>4200</v>
      </c>
      <c r="BN13" s="109">
        <f t="shared" si="4"/>
        <v>4200</v>
      </c>
      <c r="BO13" s="110" t="s">
        <v>903</v>
      </c>
    </row>
    <row r="14" spans="1:67" ht="51" x14ac:dyDescent="0.2">
      <c r="A14" s="105">
        <v>9</v>
      </c>
      <c r="B14" s="106" t="s">
        <v>34</v>
      </c>
      <c r="C14" s="106" t="s">
        <v>1209</v>
      </c>
      <c r="D14" s="105" t="s">
        <v>31</v>
      </c>
      <c r="E14" s="105">
        <v>2</v>
      </c>
      <c r="F14" s="45"/>
      <c r="G14" s="45"/>
      <c r="H14" s="45"/>
      <c r="I14" s="45"/>
      <c r="J14" s="45"/>
      <c r="K14" s="45"/>
      <c r="L14" s="45"/>
      <c r="M14" s="45"/>
      <c r="N14" s="45"/>
      <c r="O14" s="45"/>
      <c r="P14" s="45"/>
      <c r="Q14" s="45"/>
      <c r="R14" s="45"/>
      <c r="S14" s="45"/>
      <c r="T14" s="45"/>
      <c r="U14" s="45"/>
      <c r="V14" s="45"/>
      <c r="W14" s="45"/>
      <c r="X14" s="45"/>
      <c r="Y14" s="45"/>
      <c r="Z14" s="45"/>
      <c r="AA14" s="45"/>
      <c r="AB14" s="45"/>
      <c r="AC14" s="45"/>
      <c r="AD14" s="45"/>
      <c r="AE14" s="45"/>
      <c r="AF14" s="45"/>
      <c r="AG14" s="45"/>
      <c r="AH14" s="45"/>
      <c r="AI14" s="45"/>
      <c r="AJ14" s="45"/>
      <c r="AK14" s="45"/>
      <c r="AL14" s="45"/>
      <c r="AM14" s="45"/>
      <c r="AN14" s="45"/>
      <c r="AO14" s="45"/>
      <c r="AP14" s="45"/>
      <c r="AQ14" s="45"/>
      <c r="AR14" s="45">
        <v>19700</v>
      </c>
      <c r="AS14" s="45">
        <v>18200</v>
      </c>
      <c r="AT14" s="45"/>
      <c r="AU14" s="45"/>
      <c r="AV14" s="45"/>
      <c r="AW14" s="45"/>
      <c r="AX14" s="45"/>
      <c r="AY14" s="45"/>
      <c r="AZ14" s="45"/>
      <c r="BA14" s="45"/>
      <c r="BB14" s="45"/>
      <c r="BC14" s="45"/>
      <c r="BD14" s="45"/>
      <c r="BE14" s="45"/>
      <c r="BF14" s="45"/>
      <c r="BG14" s="107">
        <f t="shared" si="0"/>
        <v>18950</v>
      </c>
      <c r="BH14" s="107">
        <f t="shared" si="1"/>
        <v>18950</v>
      </c>
      <c r="BI14" s="108">
        <f t="shared" si="2"/>
        <v>1060.6601717798212</v>
      </c>
      <c r="BJ14" s="65">
        <f t="shared" si="7"/>
        <v>5.5971513022681857E-2</v>
      </c>
      <c r="BK14" s="66">
        <f t="shared" si="9"/>
        <v>18950</v>
      </c>
      <c r="BL14" s="66">
        <v>0</v>
      </c>
      <c r="BM14" s="109">
        <f t="shared" si="8"/>
        <v>18950</v>
      </c>
      <c r="BN14" s="109">
        <f t="shared" si="4"/>
        <v>37900</v>
      </c>
      <c r="BO14" s="110" t="s">
        <v>903</v>
      </c>
    </row>
    <row r="15" spans="1:67" ht="29.25" customHeight="1" x14ac:dyDescent="0.2">
      <c r="A15" s="105">
        <v>10</v>
      </c>
      <c r="B15" s="106" t="s">
        <v>35</v>
      </c>
      <c r="C15" s="106" t="s">
        <v>1235</v>
      </c>
      <c r="D15" s="105" t="s">
        <v>31</v>
      </c>
      <c r="E15" s="105">
        <v>1</v>
      </c>
      <c r="F15" s="45"/>
      <c r="G15" s="45"/>
      <c r="H15" s="45"/>
      <c r="I15" s="45"/>
      <c r="J15" s="45"/>
      <c r="K15" s="45"/>
      <c r="L15" s="45"/>
      <c r="M15" s="45"/>
      <c r="N15" s="45"/>
      <c r="O15" s="45"/>
      <c r="P15" s="45"/>
      <c r="Q15" s="45"/>
      <c r="R15" s="45"/>
      <c r="S15" s="45"/>
      <c r="T15" s="45"/>
      <c r="U15" s="45"/>
      <c r="V15" s="45"/>
      <c r="W15" s="45"/>
      <c r="X15" s="45"/>
      <c r="Y15" s="45"/>
      <c r="Z15" s="45"/>
      <c r="AA15" s="45"/>
      <c r="AB15" s="45"/>
      <c r="AC15" s="45"/>
      <c r="AD15" s="45"/>
      <c r="AE15" s="45"/>
      <c r="AF15" s="45"/>
      <c r="AG15" s="45"/>
      <c r="AH15" s="45"/>
      <c r="AI15" s="45"/>
      <c r="AJ15" s="45"/>
      <c r="AK15" s="45"/>
      <c r="AL15" s="45"/>
      <c r="AM15" s="45"/>
      <c r="AN15" s="45"/>
      <c r="AO15" s="45"/>
      <c r="AP15" s="45"/>
      <c r="AQ15" s="45"/>
      <c r="AR15" s="45">
        <v>4200</v>
      </c>
      <c r="AS15" s="45">
        <v>4050</v>
      </c>
      <c r="AT15" s="45"/>
      <c r="AU15" s="45"/>
      <c r="AV15" s="45"/>
      <c r="AW15" s="45"/>
      <c r="AX15" s="45"/>
      <c r="AY15" s="45"/>
      <c r="AZ15" s="45"/>
      <c r="BA15" s="45"/>
      <c r="BB15" s="45"/>
      <c r="BC15" s="45"/>
      <c r="BD15" s="45"/>
      <c r="BE15" s="45"/>
      <c r="BF15" s="45"/>
      <c r="BG15" s="107">
        <f t="shared" si="0"/>
        <v>4125</v>
      </c>
      <c r="BH15" s="107">
        <f t="shared" si="1"/>
        <v>4125</v>
      </c>
      <c r="BI15" s="108">
        <f t="shared" si="2"/>
        <v>106.06601717798213</v>
      </c>
      <c r="BJ15" s="65">
        <f t="shared" si="7"/>
        <v>2.5712973861329001E-2</v>
      </c>
      <c r="BK15" s="66">
        <f t="shared" si="9"/>
        <v>4125</v>
      </c>
      <c r="BL15" s="66">
        <v>0</v>
      </c>
      <c r="BM15" s="109">
        <f t="shared" si="8"/>
        <v>4125</v>
      </c>
      <c r="BN15" s="109">
        <f t="shared" si="4"/>
        <v>4125</v>
      </c>
      <c r="BO15" s="110" t="s">
        <v>903</v>
      </c>
    </row>
    <row r="16" spans="1:67" ht="34" x14ac:dyDescent="0.2">
      <c r="A16" s="105">
        <v>11</v>
      </c>
      <c r="B16" s="112" t="s">
        <v>36</v>
      </c>
      <c r="C16" s="112" t="s">
        <v>1210</v>
      </c>
      <c r="D16" s="113" t="s">
        <v>31</v>
      </c>
      <c r="E16" s="113">
        <v>1</v>
      </c>
      <c r="F16" s="32"/>
      <c r="G16" s="32"/>
      <c r="H16" s="32"/>
      <c r="I16" s="32"/>
      <c r="J16" s="32">
        <v>50000</v>
      </c>
      <c r="K16" s="32">
        <f>((J16*5.1%)+J16)</f>
        <v>52550</v>
      </c>
      <c r="L16" s="33">
        <v>50000</v>
      </c>
      <c r="M16" s="32">
        <f>((L16*5.1%)+L16)</f>
        <v>52550</v>
      </c>
      <c r="N16" s="32"/>
      <c r="O16" s="32"/>
      <c r="P16" s="32"/>
      <c r="Q16" s="32"/>
      <c r="R16" s="46"/>
      <c r="S16" s="46"/>
      <c r="T16" s="46"/>
      <c r="U16" s="46"/>
      <c r="V16" s="46"/>
      <c r="W16" s="46"/>
      <c r="X16" s="46"/>
      <c r="Y16" s="46"/>
      <c r="Z16" s="46"/>
      <c r="AA16" s="46"/>
      <c r="AB16" s="46"/>
      <c r="AC16" s="46"/>
      <c r="AD16" s="46"/>
      <c r="AE16" s="46"/>
      <c r="AF16" s="46"/>
      <c r="AG16" s="46"/>
      <c r="AH16" s="46"/>
      <c r="AI16" s="46"/>
      <c r="AJ16" s="46"/>
      <c r="AK16" s="46"/>
      <c r="AL16" s="46"/>
      <c r="AM16" s="46"/>
      <c r="AN16" s="46"/>
      <c r="AO16" s="46"/>
      <c r="AP16" s="46"/>
      <c r="AQ16" s="46"/>
      <c r="AR16" s="46"/>
      <c r="AS16" s="46"/>
      <c r="AT16" s="46"/>
      <c r="AU16" s="46"/>
      <c r="AV16" s="46"/>
      <c r="AW16" s="46"/>
      <c r="AX16" s="46"/>
      <c r="AY16" s="46"/>
      <c r="AZ16" s="46"/>
      <c r="BA16" s="46"/>
      <c r="BB16" s="46"/>
      <c r="BC16" s="46"/>
      <c r="BD16" s="46"/>
      <c r="BE16" s="46"/>
      <c r="BF16" s="46"/>
      <c r="BG16" s="107">
        <f t="shared" si="0"/>
        <v>52550</v>
      </c>
      <c r="BH16" s="107">
        <f t="shared" si="1"/>
        <v>52550</v>
      </c>
      <c r="BI16" s="108">
        <f t="shared" si="2"/>
        <v>0</v>
      </c>
      <c r="BJ16" s="65">
        <f t="shared" si="7"/>
        <v>0</v>
      </c>
      <c r="BK16" s="66">
        <f t="shared" si="9"/>
        <v>52550</v>
      </c>
      <c r="BL16" s="66">
        <v>0</v>
      </c>
      <c r="BM16" s="109">
        <f t="shared" si="8"/>
        <v>52550</v>
      </c>
      <c r="BN16" s="109">
        <f t="shared" si="4"/>
        <v>52550</v>
      </c>
      <c r="BO16" s="110" t="s">
        <v>903</v>
      </c>
    </row>
    <row r="17" spans="1:67" ht="34" x14ac:dyDescent="0.2">
      <c r="A17" s="105">
        <v>12</v>
      </c>
      <c r="B17" s="106" t="s">
        <v>37</v>
      </c>
      <c r="C17" s="106" t="s">
        <v>1211</v>
      </c>
      <c r="D17" s="105" t="s">
        <v>31</v>
      </c>
      <c r="E17" s="105">
        <v>1</v>
      </c>
      <c r="F17" s="45"/>
      <c r="G17" s="45"/>
      <c r="H17" s="45"/>
      <c r="I17" s="45"/>
      <c r="J17" s="45"/>
      <c r="K17" s="45"/>
      <c r="L17" s="45"/>
      <c r="M17" s="45"/>
      <c r="N17" s="45"/>
      <c r="O17" s="45"/>
      <c r="P17" s="45"/>
      <c r="Q17" s="45"/>
      <c r="R17" s="45"/>
      <c r="S17" s="45"/>
      <c r="T17" s="45"/>
      <c r="U17" s="45"/>
      <c r="V17" s="45"/>
      <c r="W17" s="45"/>
      <c r="X17" s="45"/>
      <c r="Y17" s="45"/>
      <c r="Z17" s="45"/>
      <c r="AA17" s="45"/>
      <c r="AB17" s="45"/>
      <c r="AC17" s="45"/>
      <c r="AD17" s="45"/>
      <c r="AE17" s="45"/>
      <c r="AF17" s="45"/>
      <c r="AG17" s="45"/>
      <c r="AH17" s="45"/>
      <c r="AI17" s="45"/>
      <c r="AJ17" s="45"/>
      <c r="AK17" s="45"/>
      <c r="AL17" s="45"/>
      <c r="AM17" s="45"/>
      <c r="AN17" s="45"/>
      <c r="AO17" s="45"/>
      <c r="AP17" s="45"/>
      <c r="AQ17" s="45"/>
      <c r="AR17" s="45">
        <v>4200</v>
      </c>
      <c r="AS17" s="45">
        <v>3800</v>
      </c>
      <c r="AT17" s="45"/>
      <c r="AU17" s="45"/>
      <c r="AV17" s="45"/>
      <c r="AW17" s="45"/>
      <c r="AX17" s="45"/>
      <c r="AY17" s="45"/>
      <c r="AZ17" s="45"/>
      <c r="BA17" s="45"/>
      <c r="BB17" s="45"/>
      <c r="BC17" s="45"/>
      <c r="BD17" s="45"/>
      <c r="BE17" s="45"/>
      <c r="BF17" s="45"/>
      <c r="BG17" s="107">
        <f t="shared" si="0"/>
        <v>4000</v>
      </c>
      <c r="BH17" s="107">
        <f t="shared" si="1"/>
        <v>4000</v>
      </c>
      <c r="BI17" s="108">
        <f t="shared" si="2"/>
        <v>282.84271247461902</v>
      </c>
      <c r="BJ17" s="65">
        <f t="shared" si="7"/>
        <v>7.0710678118654752E-2</v>
      </c>
      <c r="BK17" s="66">
        <f>BM17</f>
        <v>4000</v>
      </c>
      <c r="BL17" s="66">
        <v>0</v>
      </c>
      <c r="BM17" s="109">
        <f t="shared" si="8"/>
        <v>4000</v>
      </c>
      <c r="BN17" s="109">
        <f t="shared" si="4"/>
        <v>4000</v>
      </c>
      <c r="BO17" s="110" t="s">
        <v>903</v>
      </c>
    </row>
    <row r="18" spans="1:67" ht="34" x14ac:dyDescent="0.2">
      <c r="A18" s="105">
        <v>13</v>
      </c>
      <c r="B18" s="106" t="s">
        <v>38</v>
      </c>
      <c r="C18" s="106" t="s">
        <v>1212</v>
      </c>
      <c r="D18" s="105" t="s">
        <v>31</v>
      </c>
      <c r="E18" s="105">
        <v>1</v>
      </c>
      <c r="F18" s="45"/>
      <c r="G18" s="45"/>
      <c r="H18" s="45"/>
      <c r="I18" s="45"/>
      <c r="J18" s="45"/>
      <c r="K18" s="45"/>
      <c r="L18" s="45"/>
      <c r="M18" s="45"/>
      <c r="N18" s="45"/>
      <c r="O18" s="45"/>
      <c r="P18" s="45"/>
      <c r="Q18" s="45"/>
      <c r="R18" s="45"/>
      <c r="S18" s="45"/>
      <c r="T18" s="45"/>
      <c r="U18" s="45"/>
      <c r="V18" s="45"/>
      <c r="W18" s="45"/>
      <c r="X18" s="45"/>
      <c r="Y18" s="45"/>
      <c r="Z18" s="45"/>
      <c r="AA18" s="45"/>
      <c r="AB18" s="45"/>
      <c r="AC18" s="45"/>
      <c r="AD18" s="45"/>
      <c r="AE18" s="45"/>
      <c r="AF18" s="45"/>
      <c r="AG18" s="45"/>
      <c r="AH18" s="45"/>
      <c r="AI18" s="45"/>
      <c r="AJ18" s="45"/>
      <c r="AK18" s="45"/>
      <c r="AL18" s="45"/>
      <c r="AM18" s="45"/>
      <c r="AN18" s="45"/>
      <c r="AO18" s="45"/>
      <c r="AP18" s="45"/>
      <c r="AQ18" s="45"/>
      <c r="AR18" s="45">
        <v>8700</v>
      </c>
      <c r="AS18" s="45">
        <v>7900</v>
      </c>
      <c r="AT18" s="45"/>
      <c r="AU18" s="45"/>
      <c r="AV18" s="45"/>
      <c r="AW18" s="45"/>
      <c r="AX18" s="45"/>
      <c r="AY18" s="45"/>
      <c r="AZ18" s="45"/>
      <c r="BA18" s="45"/>
      <c r="BB18" s="45"/>
      <c r="BC18" s="45"/>
      <c r="BD18" s="45"/>
      <c r="BE18" s="45"/>
      <c r="BF18" s="45"/>
      <c r="BG18" s="107">
        <f t="shared" si="0"/>
        <v>8300</v>
      </c>
      <c r="BH18" s="107">
        <f t="shared" si="1"/>
        <v>8300</v>
      </c>
      <c r="BI18" s="108">
        <f t="shared" si="2"/>
        <v>565.68542494923804</v>
      </c>
      <c r="BJ18" s="65">
        <f t="shared" si="7"/>
        <v>6.8154870475811813E-2</v>
      </c>
      <c r="BK18" s="66">
        <f t="shared" ref="BK18:BK78" si="10">BM18</f>
        <v>8300</v>
      </c>
      <c r="BL18" s="66">
        <v>0</v>
      </c>
      <c r="BM18" s="109">
        <f t="shared" si="8"/>
        <v>8300</v>
      </c>
      <c r="BN18" s="109">
        <f t="shared" si="4"/>
        <v>8300</v>
      </c>
      <c r="BO18" s="110" t="s">
        <v>903</v>
      </c>
    </row>
    <row r="19" spans="1:67" ht="34" x14ac:dyDescent="0.2">
      <c r="A19" s="105">
        <v>14</v>
      </c>
      <c r="B19" s="106" t="s">
        <v>39</v>
      </c>
      <c r="C19" s="106" t="s">
        <v>1212</v>
      </c>
      <c r="D19" s="105" t="s">
        <v>31</v>
      </c>
      <c r="E19" s="105">
        <v>1</v>
      </c>
      <c r="F19" s="45"/>
      <c r="G19" s="45"/>
      <c r="H19" s="45"/>
      <c r="I19" s="45"/>
      <c r="J19" s="45"/>
      <c r="K19" s="45"/>
      <c r="L19" s="45"/>
      <c r="M19" s="45"/>
      <c r="N19" s="45"/>
      <c r="O19" s="45"/>
      <c r="P19" s="45"/>
      <c r="Q19" s="45"/>
      <c r="R19" s="45"/>
      <c r="S19" s="45"/>
      <c r="T19" s="45"/>
      <c r="U19" s="45"/>
      <c r="V19" s="45"/>
      <c r="W19" s="45"/>
      <c r="X19" s="45"/>
      <c r="Y19" s="45"/>
      <c r="Z19" s="45"/>
      <c r="AA19" s="45"/>
      <c r="AB19" s="45"/>
      <c r="AC19" s="45"/>
      <c r="AD19" s="45"/>
      <c r="AE19" s="45"/>
      <c r="AF19" s="45"/>
      <c r="AG19" s="45"/>
      <c r="AH19" s="45"/>
      <c r="AI19" s="45"/>
      <c r="AJ19" s="45"/>
      <c r="AK19" s="45"/>
      <c r="AL19" s="45"/>
      <c r="AM19" s="45"/>
      <c r="AN19" s="45"/>
      <c r="AO19" s="45"/>
      <c r="AP19" s="45"/>
      <c r="AQ19" s="45"/>
      <c r="AR19" s="45">
        <v>5200</v>
      </c>
      <c r="AS19" s="45">
        <v>5050</v>
      </c>
      <c r="AT19" s="45"/>
      <c r="AU19" s="45"/>
      <c r="AV19" s="45"/>
      <c r="AW19" s="45"/>
      <c r="AX19" s="45"/>
      <c r="AY19" s="45"/>
      <c r="AZ19" s="45"/>
      <c r="BA19" s="45"/>
      <c r="BB19" s="45"/>
      <c r="BC19" s="45"/>
      <c r="BD19" s="45"/>
      <c r="BE19" s="45"/>
      <c r="BF19" s="45"/>
      <c r="BG19" s="107">
        <f t="shared" si="0"/>
        <v>5125</v>
      </c>
      <c r="BH19" s="107">
        <f t="shared" si="1"/>
        <v>5125</v>
      </c>
      <c r="BI19" s="108">
        <f t="shared" si="2"/>
        <v>106.06601717798213</v>
      </c>
      <c r="BJ19" s="65">
        <f t="shared" si="7"/>
        <v>2.0695808229850173E-2</v>
      </c>
      <c r="BK19" s="66">
        <f t="shared" si="10"/>
        <v>5125</v>
      </c>
      <c r="BL19" s="66">
        <v>0</v>
      </c>
      <c r="BM19" s="109">
        <f t="shared" si="8"/>
        <v>5125</v>
      </c>
      <c r="BN19" s="109">
        <f t="shared" si="4"/>
        <v>5125</v>
      </c>
      <c r="BO19" s="110" t="s">
        <v>903</v>
      </c>
    </row>
    <row r="20" spans="1:67" ht="34" x14ac:dyDescent="0.2">
      <c r="A20" s="105">
        <v>15</v>
      </c>
      <c r="B20" s="106" t="s">
        <v>1180</v>
      </c>
      <c r="C20" s="106" t="s">
        <v>1213</v>
      </c>
      <c r="D20" s="105" t="s">
        <v>40</v>
      </c>
      <c r="E20" s="105">
        <v>1</v>
      </c>
      <c r="F20" s="34">
        <v>48000</v>
      </c>
      <c r="G20" s="34">
        <f>((F20*5.1%)+F20)</f>
        <v>50448</v>
      </c>
      <c r="H20" s="34">
        <v>52000</v>
      </c>
      <c r="I20" s="34">
        <f>((H20*5.1%)+H20)</f>
        <v>54652</v>
      </c>
      <c r="J20" s="45"/>
      <c r="K20" s="45"/>
      <c r="L20" s="45"/>
      <c r="M20" s="45"/>
      <c r="N20" s="34">
        <v>54000</v>
      </c>
      <c r="O20" s="34">
        <f>((N20*5.1%)+N20)</f>
        <v>56754</v>
      </c>
      <c r="P20" s="45"/>
      <c r="Q20" s="45"/>
      <c r="R20" s="45"/>
      <c r="S20" s="45"/>
      <c r="T20" s="45"/>
      <c r="U20" s="45"/>
      <c r="V20" s="45"/>
      <c r="W20" s="45"/>
      <c r="X20" s="45"/>
      <c r="Y20" s="45"/>
      <c r="Z20" s="45"/>
      <c r="AA20" s="45"/>
      <c r="AB20" s="45"/>
      <c r="AC20" s="45"/>
      <c r="AD20" s="45"/>
      <c r="AE20" s="45"/>
      <c r="AF20" s="45"/>
      <c r="AG20" s="45"/>
      <c r="AH20" s="45"/>
      <c r="AI20" s="45"/>
      <c r="AJ20" s="45"/>
      <c r="AK20" s="45"/>
      <c r="AL20" s="45"/>
      <c r="AM20" s="45"/>
      <c r="AN20" s="45"/>
      <c r="AO20" s="45"/>
      <c r="AP20" s="45"/>
      <c r="AQ20" s="45"/>
      <c r="AR20" s="45"/>
      <c r="AS20" s="45"/>
      <c r="AT20" s="45"/>
      <c r="AU20" s="45"/>
      <c r="AV20" s="45"/>
      <c r="AW20" s="45"/>
      <c r="AX20" s="45"/>
      <c r="AY20" s="45"/>
      <c r="AZ20" s="45"/>
      <c r="BA20" s="45"/>
      <c r="BB20" s="45"/>
      <c r="BC20" s="45"/>
      <c r="BD20" s="45"/>
      <c r="BE20" s="45"/>
      <c r="BF20" s="45"/>
      <c r="BG20" s="107">
        <f t="shared" si="0"/>
        <v>54652</v>
      </c>
      <c r="BH20" s="107">
        <f t="shared" si="1"/>
        <v>53951.333333333336</v>
      </c>
      <c r="BI20" s="108">
        <f t="shared" si="2"/>
        <v>3210.8580369323918</v>
      </c>
      <c r="BJ20" s="65">
        <f t="shared" si="7"/>
        <v>5.951397006436155E-2</v>
      </c>
      <c r="BK20" s="66">
        <f t="shared" si="10"/>
        <v>53952</v>
      </c>
      <c r="BL20" s="66">
        <v>0</v>
      </c>
      <c r="BM20" s="109">
        <f t="shared" si="8"/>
        <v>53952</v>
      </c>
      <c r="BN20" s="109">
        <f t="shared" si="4"/>
        <v>53952</v>
      </c>
      <c r="BO20" s="110" t="s">
        <v>903</v>
      </c>
    </row>
    <row r="21" spans="1:67" ht="34" x14ac:dyDescent="0.2">
      <c r="A21" s="105">
        <v>16</v>
      </c>
      <c r="B21" s="106" t="s">
        <v>41</v>
      </c>
      <c r="C21" s="106" t="s">
        <v>1214</v>
      </c>
      <c r="D21" s="105" t="s">
        <v>29</v>
      </c>
      <c r="E21" s="105">
        <v>20</v>
      </c>
      <c r="F21" s="34"/>
      <c r="G21" s="34"/>
      <c r="H21" s="34"/>
      <c r="I21" s="34"/>
      <c r="J21" s="45"/>
      <c r="K21" s="45"/>
      <c r="L21" s="45"/>
      <c r="M21" s="45"/>
      <c r="N21" s="34"/>
      <c r="O21" s="34"/>
      <c r="P21" s="45"/>
      <c r="Q21" s="45"/>
      <c r="R21" s="45"/>
      <c r="S21" s="45"/>
      <c r="T21" s="45"/>
      <c r="U21" s="45"/>
      <c r="V21" s="45"/>
      <c r="W21" s="45"/>
      <c r="X21" s="45"/>
      <c r="Y21" s="45"/>
      <c r="Z21" s="45"/>
      <c r="AA21" s="45"/>
      <c r="AB21" s="45"/>
      <c r="AC21" s="45"/>
      <c r="AD21" s="45"/>
      <c r="AE21" s="45"/>
      <c r="AF21" s="45"/>
      <c r="AG21" s="45"/>
      <c r="AH21" s="45"/>
      <c r="AI21" s="45"/>
      <c r="AJ21" s="45"/>
      <c r="AK21" s="45"/>
      <c r="AL21" s="45"/>
      <c r="AM21" s="45"/>
      <c r="AN21" s="45"/>
      <c r="AO21" s="45"/>
      <c r="AP21" s="45"/>
      <c r="AQ21" s="45"/>
      <c r="AR21" s="45"/>
      <c r="AS21" s="45"/>
      <c r="AT21" s="45"/>
      <c r="AU21" s="45"/>
      <c r="AV21" s="45"/>
      <c r="AW21" s="45">
        <v>7500</v>
      </c>
      <c r="AX21" s="45">
        <f>+((((AW21)*17%)+AW21))</f>
        <v>8775</v>
      </c>
      <c r="AY21" s="45">
        <v>5800</v>
      </c>
      <c r="AZ21" s="45">
        <f>+((((AY21)*17%)+AY21))</f>
        <v>6786</v>
      </c>
      <c r="BA21" s="45">
        <v>6900</v>
      </c>
      <c r="BB21" s="45">
        <f>+((((BA21)*17%)+BA21))</f>
        <v>8073</v>
      </c>
      <c r="BC21" s="45"/>
      <c r="BD21" s="45"/>
      <c r="BE21" s="45"/>
      <c r="BF21" s="45"/>
      <c r="BG21" s="107">
        <f t="shared" si="0"/>
        <v>8073</v>
      </c>
      <c r="BH21" s="107">
        <f t="shared" si="1"/>
        <v>7783.5</v>
      </c>
      <c r="BI21" s="108">
        <f t="shared" si="2"/>
        <v>1008.7363381974499</v>
      </c>
      <c r="BJ21" s="65">
        <f t="shared" si="7"/>
        <v>0.12959932397988691</v>
      </c>
      <c r="BK21" s="66">
        <f t="shared" si="10"/>
        <v>7784</v>
      </c>
      <c r="BL21" s="66">
        <v>0</v>
      </c>
      <c r="BM21" s="109">
        <f t="shared" si="8"/>
        <v>7784</v>
      </c>
      <c r="BN21" s="109">
        <f t="shared" si="4"/>
        <v>155680</v>
      </c>
      <c r="BO21" s="110" t="s">
        <v>902</v>
      </c>
    </row>
    <row r="22" spans="1:67" ht="34" x14ac:dyDescent="0.2">
      <c r="A22" s="105">
        <v>17</v>
      </c>
      <c r="B22" s="106" t="s">
        <v>42</v>
      </c>
      <c r="C22" s="106" t="s">
        <v>1215</v>
      </c>
      <c r="D22" s="105" t="s">
        <v>31</v>
      </c>
      <c r="E22" s="105">
        <v>1</v>
      </c>
      <c r="F22" s="34"/>
      <c r="G22" s="34"/>
      <c r="H22" s="34"/>
      <c r="I22" s="34"/>
      <c r="J22" s="45"/>
      <c r="K22" s="45"/>
      <c r="L22" s="45"/>
      <c r="M22" s="45"/>
      <c r="N22" s="34"/>
      <c r="O22" s="34"/>
      <c r="P22" s="45"/>
      <c r="Q22" s="45"/>
      <c r="R22" s="45"/>
      <c r="S22" s="45"/>
      <c r="T22" s="45"/>
      <c r="U22" s="45"/>
      <c r="V22" s="45"/>
      <c r="W22" s="45"/>
      <c r="X22" s="45"/>
      <c r="Y22" s="45"/>
      <c r="Z22" s="45"/>
      <c r="AA22" s="45"/>
      <c r="AB22" s="45"/>
      <c r="AC22" s="45"/>
      <c r="AD22" s="45"/>
      <c r="AE22" s="45"/>
      <c r="AF22" s="45"/>
      <c r="AG22" s="45"/>
      <c r="AH22" s="45"/>
      <c r="AI22" s="45"/>
      <c r="AJ22" s="45"/>
      <c r="AK22" s="45"/>
      <c r="AL22" s="45"/>
      <c r="AM22" s="45"/>
      <c r="AN22" s="45"/>
      <c r="AO22" s="45"/>
      <c r="AP22" s="45"/>
      <c r="AQ22" s="45"/>
      <c r="AR22" s="45"/>
      <c r="AS22" s="45"/>
      <c r="AT22" s="45"/>
      <c r="AU22" s="45"/>
      <c r="AV22" s="45"/>
      <c r="AW22" s="45">
        <v>7500</v>
      </c>
      <c r="AX22" s="45">
        <f>+((((AW22)*17%)+AW22))</f>
        <v>8775</v>
      </c>
      <c r="AY22" s="45"/>
      <c r="AZ22" s="45"/>
      <c r="BA22" s="45">
        <v>6900</v>
      </c>
      <c r="BB22" s="45">
        <f>+((((BA22)*17%)+BA22))</f>
        <v>8073</v>
      </c>
      <c r="BC22" s="45"/>
      <c r="BD22" s="45"/>
      <c r="BE22" s="45"/>
      <c r="BF22" s="45"/>
      <c r="BG22" s="107">
        <f t="shared" si="0"/>
        <v>8424</v>
      </c>
      <c r="BH22" s="107">
        <f t="shared" si="1"/>
        <v>8116</v>
      </c>
      <c r="BI22" s="108">
        <f t="shared" si="2"/>
        <v>496.38896039295633</v>
      </c>
      <c r="BJ22" s="65">
        <f t="shared" si="7"/>
        <v>6.1161774321458397E-2</v>
      </c>
      <c r="BK22" s="66">
        <f t="shared" si="10"/>
        <v>8116</v>
      </c>
      <c r="BL22" s="66">
        <v>0</v>
      </c>
      <c r="BM22" s="109">
        <f t="shared" si="8"/>
        <v>8116</v>
      </c>
      <c r="BN22" s="109">
        <f t="shared" si="4"/>
        <v>8116</v>
      </c>
      <c r="BO22" s="110" t="s">
        <v>903</v>
      </c>
    </row>
    <row r="23" spans="1:67" ht="34" x14ac:dyDescent="0.2">
      <c r="A23" s="105">
        <v>18</v>
      </c>
      <c r="B23" s="106" t="s">
        <v>43</v>
      </c>
      <c r="C23" s="106" t="s">
        <v>1216</v>
      </c>
      <c r="D23" s="105" t="s">
        <v>44</v>
      </c>
      <c r="E23" s="105">
        <v>1</v>
      </c>
      <c r="F23" s="34"/>
      <c r="G23" s="34"/>
      <c r="H23" s="34"/>
      <c r="I23" s="34"/>
      <c r="J23" s="45"/>
      <c r="K23" s="45"/>
      <c r="L23" s="35"/>
      <c r="M23" s="34"/>
      <c r="N23" s="45"/>
      <c r="O23" s="45"/>
      <c r="P23" s="45"/>
      <c r="Q23" s="45"/>
      <c r="R23" s="45">
        <v>6700</v>
      </c>
      <c r="S23" s="45">
        <f>+((((R23)*17%)+R23))</f>
        <v>7839</v>
      </c>
      <c r="T23" s="45"/>
      <c r="U23" s="45"/>
      <c r="V23" s="45"/>
      <c r="W23" s="45"/>
      <c r="X23" s="45"/>
      <c r="Y23" s="45"/>
      <c r="Z23" s="45"/>
      <c r="AA23" s="45"/>
      <c r="AB23" s="45"/>
      <c r="AC23" s="45"/>
      <c r="AD23" s="45"/>
      <c r="AE23" s="45"/>
      <c r="AF23" s="45"/>
      <c r="AG23" s="45"/>
      <c r="AH23" s="45"/>
      <c r="AI23" s="45"/>
      <c r="AJ23" s="45"/>
      <c r="AK23" s="45"/>
      <c r="AL23" s="45"/>
      <c r="AM23" s="45"/>
      <c r="AN23" s="45"/>
      <c r="AO23" s="45"/>
      <c r="AP23" s="45"/>
      <c r="AQ23" s="45"/>
      <c r="AR23" s="45"/>
      <c r="AS23" s="45"/>
      <c r="AT23" s="45"/>
      <c r="AU23" s="45"/>
      <c r="AV23" s="45"/>
      <c r="AW23" s="45">
        <v>7500</v>
      </c>
      <c r="AX23" s="45">
        <f>+((((AW23)*17%)+AW23))</f>
        <v>8775</v>
      </c>
      <c r="AY23" s="45"/>
      <c r="AZ23" s="45"/>
      <c r="BA23" s="45"/>
      <c r="BB23" s="45"/>
      <c r="BC23" s="45"/>
      <c r="BD23" s="45"/>
      <c r="BE23" s="45"/>
      <c r="BF23" s="45"/>
      <c r="BG23" s="107">
        <f t="shared" si="0"/>
        <v>8307</v>
      </c>
      <c r="BH23" s="107">
        <f t="shared" si="1"/>
        <v>8038</v>
      </c>
      <c r="BI23" s="108">
        <f t="shared" si="2"/>
        <v>661.85194719060848</v>
      </c>
      <c r="BJ23" s="65">
        <f t="shared" ref="BJ23" si="11">BI23/BH23</f>
        <v>8.2340376609928892E-2</v>
      </c>
      <c r="BK23" s="66">
        <f t="shared" si="10"/>
        <v>8038</v>
      </c>
      <c r="BL23" s="66">
        <v>0</v>
      </c>
      <c r="BM23" s="109">
        <f t="shared" si="8"/>
        <v>8038</v>
      </c>
      <c r="BN23" s="109">
        <f t="shared" si="4"/>
        <v>8038</v>
      </c>
      <c r="BO23" s="110" t="s">
        <v>902</v>
      </c>
    </row>
    <row r="24" spans="1:67" ht="34" x14ac:dyDescent="0.2">
      <c r="A24" s="105">
        <v>19</v>
      </c>
      <c r="B24" s="106" t="s">
        <v>45</v>
      </c>
      <c r="C24" s="106" t="s">
        <v>1217</v>
      </c>
      <c r="D24" s="105" t="s">
        <v>31</v>
      </c>
      <c r="E24" s="105">
        <v>1</v>
      </c>
      <c r="F24" s="45"/>
      <c r="G24" s="45"/>
      <c r="H24" s="45"/>
      <c r="I24" s="45"/>
      <c r="J24" s="45"/>
      <c r="K24" s="45"/>
      <c r="L24" s="45"/>
      <c r="M24" s="45"/>
      <c r="N24" s="45"/>
      <c r="O24" s="45"/>
      <c r="P24" s="34"/>
      <c r="Q24" s="34"/>
      <c r="R24" s="45">
        <v>6500</v>
      </c>
      <c r="S24" s="45">
        <f>+((((R24)*17%)+R24))</f>
        <v>7605</v>
      </c>
      <c r="T24" s="45"/>
      <c r="U24" s="45"/>
      <c r="V24" s="45"/>
      <c r="W24" s="45"/>
      <c r="X24" s="45"/>
      <c r="Y24" s="45"/>
      <c r="Z24" s="45"/>
      <c r="AA24" s="45"/>
      <c r="AB24" s="45"/>
      <c r="AC24" s="45"/>
      <c r="AD24" s="45"/>
      <c r="AE24" s="45"/>
      <c r="AF24" s="45"/>
      <c r="AG24" s="45"/>
      <c r="AH24" s="45"/>
      <c r="AI24" s="45"/>
      <c r="AJ24" s="45"/>
      <c r="AK24" s="45"/>
      <c r="AL24" s="45"/>
      <c r="AM24" s="45"/>
      <c r="AN24" s="45"/>
      <c r="AO24" s="45"/>
      <c r="AP24" s="45"/>
      <c r="AQ24" s="45"/>
      <c r="AR24" s="45"/>
      <c r="AS24" s="45"/>
      <c r="AT24" s="45"/>
      <c r="AU24" s="45"/>
      <c r="AV24" s="104"/>
      <c r="AY24" s="45"/>
      <c r="AZ24" s="45"/>
      <c r="BA24" s="45">
        <v>5600</v>
      </c>
      <c r="BB24" s="45">
        <f>+((((BA24)*17%)+BA24))</f>
        <v>6552</v>
      </c>
      <c r="BC24" s="45"/>
      <c r="BD24" s="45"/>
      <c r="BE24" s="45"/>
      <c r="BF24" s="45"/>
      <c r="BG24" s="107">
        <f t="shared" si="0"/>
        <v>7078.5</v>
      </c>
      <c r="BH24" s="107">
        <f t="shared" si="1"/>
        <v>7078.5</v>
      </c>
      <c r="BI24" s="108">
        <f t="shared" si="2"/>
        <v>744.58344058943453</v>
      </c>
      <c r="BJ24" s="65">
        <f t="shared" ref="BJ24:BJ87" si="12">BI24/BH24</f>
        <v>0.10518943852361864</v>
      </c>
      <c r="BK24" s="66">
        <f t="shared" si="10"/>
        <v>7079</v>
      </c>
      <c r="BL24" s="66">
        <v>0</v>
      </c>
      <c r="BM24" s="109">
        <f t="shared" si="8"/>
        <v>7079</v>
      </c>
      <c r="BN24" s="109">
        <f t="shared" si="4"/>
        <v>7079</v>
      </c>
      <c r="BO24" s="110" t="s">
        <v>903</v>
      </c>
    </row>
    <row r="25" spans="1:67" ht="34" x14ac:dyDescent="0.2">
      <c r="A25" s="105">
        <v>20</v>
      </c>
      <c r="B25" s="106" t="s">
        <v>46</v>
      </c>
      <c r="C25" s="106" t="s">
        <v>1218</v>
      </c>
      <c r="D25" s="105" t="s">
        <v>29</v>
      </c>
      <c r="E25" s="105">
        <v>20</v>
      </c>
      <c r="F25" s="34">
        <v>90000</v>
      </c>
      <c r="G25" s="34">
        <f>((F25*5.1%)+F25)</f>
        <v>94590</v>
      </c>
      <c r="H25" s="34">
        <v>90000</v>
      </c>
      <c r="I25" s="34">
        <f>((H25*5.1%)+H25)</f>
        <v>94590</v>
      </c>
      <c r="J25" s="45"/>
      <c r="K25" s="45"/>
      <c r="L25" s="45"/>
      <c r="M25" s="45"/>
      <c r="N25" s="34">
        <v>90000</v>
      </c>
      <c r="O25" s="34">
        <f>((N25*5.1%)+N25)</f>
        <v>94590</v>
      </c>
      <c r="P25" s="45"/>
      <c r="Q25" s="45"/>
      <c r="R25" s="45"/>
      <c r="S25" s="45"/>
      <c r="T25" s="45"/>
      <c r="U25" s="45"/>
      <c r="V25" s="45"/>
      <c r="W25" s="45"/>
      <c r="X25" s="45"/>
      <c r="Y25" s="45"/>
      <c r="Z25" s="45"/>
      <c r="AA25" s="45"/>
      <c r="AB25" s="45"/>
      <c r="AC25" s="45"/>
      <c r="AD25" s="45"/>
      <c r="AE25" s="45"/>
      <c r="AF25" s="45"/>
      <c r="AG25" s="45"/>
      <c r="AH25" s="45"/>
      <c r="AI25" s="45"/>
      <c r="AJ25" s="45"/>
      <c r="AK25" s="45"/>
      <c r="AL25" s="45"/>
      <c r="AM25" s="45"/>
      <c r="AN25" s="45"/>
      <c r="AO25" s="45"/>
      <c r="AP25" s="45"/>
      <c r="AQ25" s="45"/>
      <c r="AR25" s="45"/>
      <c r="AS25" s="45"/>
      <c r="AT25" s="45"/>
      <c r="AU25" s="45"/>
      <c r="AV25" s="45"/>
      <c r="AW25" s="45"/>
      <c r="AX25" s="45"/>
      <c r="AY25" s="45"/>
      <c r="AZ25" s="45"/>
      <c r="BA25" s="45"/>
      <c r="BB25" s="45"/>
      <c r="BC25" s="45"/>
      <c r="BD25" s="45"/>
      <c r="BE25" s="45"/>
      <c r="BF25" s="45"/>
      <c r="BG25" s="107">
        <f t="shared" si="0"/>
        <v>94590</v>
      </c>
      <c r="BH25" s="107">
        <f t="shared" si="1"/>
        <v>94590</v>
      </c>
      <c r="BI25" s="108">
        <f t="shared" si="2"/>
        <v>0</v>
      </c>
      <c r="BJ25" s="65">
        <f t="shared" si="12"/>
        <v>0</v>
      </c>
      <c r="BK25" s="66">
        <f t="shared" si="10"/>
        <v>94590</v>
      </c>
      <c r="BL25" s="66">
        <v>0</v>
      </c>
      <c r="BM25" s="109">
        <f t="shared" si="8"/>
        <v>94590</v>
      </c>
      <c r="BN25" s="109">
        <f t="shared" si="4"/>
        <v>1891800</v>
      </c>
      <c r="BO25" s="110" t="s">
        <v>903</v>
      </c>
    </row>
    <row r="26" spans="1:67" ht="34" x14ac:dyDescent="0.2">
      <c r="A26" s="105">
        <v>21</v>
      </c>
      <c r="B26" s="106" t="s">
        <v>47</v>
      </c>
      <c r="C26" s="106" t="s">
        <v>1219</v>
      </c>
      <c r="D26" s="105" t="s">
        <v>31</v>
      </c>
      <c r="E26" s="105">
        <v>20</v>
      </c>
      <c r="F26" s="34"/>
      <c r="G26" s="34"/>
      <c r="H26" s="34">
        <v>6100</v>
      </c>
      <c r="I26" s="34">
        <f>((H26*5.1%)+H26)</f>
        <v>6411.1</v>
      </c>
      <c r="J26" s="45"/>
      <c r="K26" s="45"/>
      <c r="L26" s="45"/>
      <c r="M26" s="45"/>
      <c r="N26" s="34"/>
      <c r="O26" s="34"/>
      <c r="P26" s="45"/>
      <c r="Q26" s="45"/>
      <c r="R26" s="45"/>
      <c r="S26" s="45"/>
      <c r="T26" s="45"/>
      <c r="U26" s="45"/>
      <c r="V26" s="45"/>
      <c r="W26" s="45"/>
      <c r="X26" s="45"/>
      <c r="Y26" s="45"/>
      <c r="Z26" s="45"/>
      <c r="AA26" s="45"/>
      <c r="AB26" s="45"/>
      <c r="AC26" s="45"/>
      <c r="AD26" s="45"/>
      <c r="AE26" s="45"/>
      <c r="AF26" s="45"/>
      <c r="AG26" s="45"/>
      <c r="AH26" s="45"/>
      <c r="AI26" s="45"/>
      <c r="AJ26" s="45"/>
      <c r="AK26" s="45"/>
      <c r="AL26" s="45"/>
      <c r="AM26" s="45"/>
      <c r="AN26" s="45"/>
      <c r="AO26" s="45"/>
      <c r="AP26" s="45"/>
      <c r="AQ26" s="45"/>
      <c r="AR26" s="45"/>
      <c r="AS26" s="45"/>
      <c r="AT26" s="45"/>
      <c r="AU26" s="45"/>
      <c r="AV26" s="45"/>
      <c r="AW26" s="45"/>
      <c r="AX26" s="45"/>
      <c r="AY26" s="45">
        <v>5800</v>
      </c>
      <c r="AZ26" s="45">
        <f>+((((AY26)*17%)+AY26))</f>
        <v>6786</v>
      </c>
      <c r="BA26" s="45"/>
      <c r="BB26" s="45"/>
      <c r="BC26" s="45"/>
      <c r="BD26" s="45"/>
      <c r="BE26" s="45"/>
      <c r="BF26" s="45"/>
      <c r="BG26" s="107">
        <f t="shared" si="0"/>
        <v>6598.55</v>
      </c>
      <c r="BH26" s="107">
        <f t="shared" si="1"/>
        <v>6598.55</v>
      </c>
      <c r="BI26" s="108">
        <f t="shared" si="2"/>
        <v>265.09433226683637</v>
      </c>
      <c r="BJ26" s="65">
        <f t="shared" si="12"/>
        <v>4.0174634164602277E-2</v>
      </c>
      <c r="BK26" s="66">
        <f t="shared" si="10"/>
        <v>6599</v>
      </c>
      <c r="BL26" s="66">
        <v>0</v>
      </c>
      <c r="BM26" s="109">
        <f t="shared" si="8"/>
        <v>6599</v>
      </c>
      <c r="BN26" s="109">
        <f t="shared" si="4"/>
        <v>131980</v>
      </c>
      <c r="BO26" s="110" t="s">
        <v>902</v>
      </c>
    </row>
    <row r="27" spans="1:67" ht="34" x14ac:dyDescent="0.2">
      <c r="A27" s="105">
        <v>22</v>
      </c>
      <c r="B27" s="106" t="s">
        <v>48</v>
      </c>
      <c r="C27" s="106" t="s">
        <v>1220</v>
      </c>
      <c r="D27" s="105" t="s">
        <v>31</v>
      </c>
      <c r="E27" s="105">
        <v>1</v>
      </c>
      <c r="F27" s="45"/>
      <c r="G27" s="45"/>
      <c r="H27" s="45"/>
      <c r="I27" s="45"/>
      <c r="J27" s="45"/>
      <c r="K27" s="45"/>
      <c r="L27" s="35"/>
      <c r="M27" s="34"/>
      <c r="N27" s="45"/>
      <c r="O27" s="45"/>
      <c r="P27" s="34"/>
      <c r="Q27" s="34"/>
      <c r="R27" s="45"/>
      <c r="S27" s="45"/>
      <c r="T27" s="45"/>
      <c r="U27" s="45"/>
      <c r="V27" s="45"/>
      <c r="W27" s="45"/>
      <c r="X27" s="45"/>
      <c r="Y27" s="45"/>
      <c r="Z27" s="45"/>
      <c r="AA27" s="45"/>
      <c r="AB27" s="45"/>
      <c r="AC27" s="45"/>
      <c r="AD27" s="45"/>
      <c r="AE27" s="45"/>
      <c r="AF27" s="45"/>
      <c r="AG27" s="45"/>
      <c r="AH27" s="45"/>
      <c r="AI27" s="45"/>
      <c r="AJ27" s="45"/>
      <c r="AK27" s="45"/>
      <c r="AL27" s="45"/>
      <c r="AM27" s="45"/>
      <c r="AN27" s="45"/>
      <c r="AO27" s="45"/>
      <c r="AP27" s="45"/>
      <c r="AQ27" s="45"/>
      <c r="AR27" s="45"/>
      <c r="AS27" s="45"/>
      <c r="AT27" s="45"/>
      <c r="AU27" s="45"/>
      <c r="AV27" s="45"/>
      <c r="AW27" s="45">
        <v>7500</v>
      </c>
      <c r="AX27" s="45">
        <f>+((((AW27)*17%)+AW27))</f>
        <v>8775</v>
      </c>
      <c r="AY27" s="45"/>
      <c r="AZ27" s="45"/>
      <c r="BA27" s="45">
        <v>6900</v>
      </c>
      <c r="BB27" s="45">
        <f>+((((BA27)*17%)+BA27))</f>
        <v>8073</v>
      </c>
      <c r="BC27" s="45"/>
      <c r="BD27" s="45"/>
      <c r="BE27" s="45"/>
      <c r="BF27" s="45"/>
      <c r="BG27" s="107">
        <f t="shared" si="0"/>
        <v>8424</v>
      </c>
      <c r="BH27" s="107">
        <f t="shared" si="1"/>
        <v>8116</v>
      </c>
      <c r="BI27" s="108">
        <f t="shared" si="2"/>
        <v>496.38896039295633</v>
      </c>
      <c r="BJ27" s="65">
        <f t="shared" si="12"/>
        <v>6.1161774321458397E-2</v>
      </c>
      <c r="BK27" s="66">
        <f t="shared" si="10"/>
        <v>8116</v>
      </c>
      <c r="BL27" s="66">
        <v>0</v>
      </c>
      <c r="BM27" s="109">
        <f t="shared" si="8"/>
        <v>8116</v>
      </c>
      <c r="BN27" s="109">
        <f t="shared" si="4"/>
        <v>8116</v>
      </c>
      <c r="BO27" s="110" t="s">
        <v>902</v>
      </c>
    </row>
    <row r="28" spans="1:67" ht="34" x14ac:dyDescent="0.2">
      <c r="A28" s="105">
        <v>23</v>
      </c>
      <c r="B28" s="106" t="s">
        <v>49</v>
      </c>
      <c r="C28" s="106" t="s">
        <v>1221</v>
      </c>
      <c r="D28" s="105" t="s">
        <v>31</v>
      </c>
      <c r="E28" s="105">
        <v>1</v>
      </c>
      <c r="F28" s="45"/>
      <c r="G28" s="45"/>
      <c r="H28" s="34"/>
      <c r="I28" s="34"/>
      <c r="J28" s="34"/>
      <c r="K28" s="34"/>
      <c r="L28" s="35"/>
      <c r="M28" s="34"/>
      <c r="N28" s="45"/>
      <c r="O28" s="45"/>
      <c r="P28" s="34"/>
      <c r="Q28" s="34"/>
      <c r="R28" s="45"/>
      <c r="S28" s="45"/>
      <c r="T28" s="45"/>
      <c r="U28" s="45"/>
      <c r="V28" s="45"/>
      <c r="W28" s="45"/>
      <c r="X28" s="45"/>
      <c r="Y28" s="45"/>
      <c r="Z28" s="45"/>
      <c r="AA28" s="45"/>
      <c r="AB28" s="45"/>
      <c r="AC28" s="45"/>
      <c r="AD28" s="45"/>
      <c r="AE28" s="45"/>
      <c r="AF28" s="45"/>
      <c r="AG28" s="45"/>
      <c r="AH28" s="45"/>
      <c r="AI28" s="45"/>
      <c r="AJ28" s="45"/>
      <c r="AK28" s="45"/>
      <c r="AL28" s="45"/>
      <c r="AM28" s="45"/>
      <c r="AN28" s="45"/>
      <c r="AO28" s="45"/>
      <c r="AP28" s="45"/>
      <c r="AQ28" s="45"/>
      <c r="AR28" s="45"/>
      <c r="AS28" s="45"/>
      <c r="AT28" s="45"/>
      <c r="AU28" s="45"/>
      <c r="AV28" s="45"/>
      <c r="AW28" s="45">
        <v>7500</v>
      </c>
      <c r="AX28" s="45">
        <f>+((((AW28)*17%)+AW28))</f>
        <v>8775</v>
      </c>
      <c r="AY28" s="45"/>
      <c r="AZ28" s="45"/>
      <c r="BA28" s="45">
        <v>6900</v>
      </c>
      <c r="BB28" s="45">
        <f>+((((BA28)*17%)+BA28))</f>
        <v>8073</v>
      </c>
      <c r="BC28" s="45"/>
      <c r="BD28" s="45"/>
      <c r="BE28" s="45"/>
      <c r="BF28" s="45"/>
      <c r="BG28" s="107">
        <f t="shared" si="0"/>
        <v>8424</v>
      </c>
      <c r="BH28" s="107">
        <f t="shared" si="1"/>
        <v>8116</v>
      </c>
      <c r="BI28" s="108">
        <f t="shared" si="2"/>
        <v>496.38896039295633</v>
      </c>
      <c r="BJ28" s="65">
        <f t="shared" si="12"/>
        <v>6.1161774321458397E-2</v>
      </c>
      <c r="BK28" s="66">
        <f t="shared" si="10"/>
        <v>8116</v>
      </c>
      <c r="BL28" s="66">
        <v>0</v>
      </c>
      <c r="BM28" s="109">
        <f t="shared" si="8"/>
        <v>8116</v>
      </c>
      <c r="BN28" s="109">
        <f t="shared" si="4"/>
        <v>8116</v>
      </c>
      <c r="BO28" s="110" t="s">
        <v>902</v>
      </c>
    </row>
    <row r="29" spans="1:67" ht="34" x14ac:dyDescent="0.2">
      <c r="A29" s="105">
        <v>24</v>
      </c>
      <c r="B29" s="106" t="s">
        <v>50</v>
      </c>
      <c r="C29" s="106" t="s">
        <v>1220</v>
      </c>
      <c r="D29" s="105" t="s">
        <v>40</v>
      </c>
      <c r="E29" s="105">
        <v>1</v>
      </c>
      <c r="F29" s="45"/>
      <c r="G29" s="45"/>
      <c r="H29" s="45"/>
      <c r="I29" s="45"/>
      <c r="J29" s="34">
        <v>5500</v>
      </c>
      <c r="K29" s="34">
        <f>((J29*5.1%)+J29)</f>
        <v>5780.5</v>
      </c>
      <c r="L29" s="45"/>
      <c r="M29" s="45"/>
      <c r="N29" s="45"/>
      <c r="O29" s="45"/>
      <c r="P29" s="34">
        <f>(4000*0.3)/0.2</f>
        <v>6000</v>
      </c>
      <c r="Q29" s="34">
        <f>((P29*5.1%)+P29)</f>
        <v>6306</v>
      </c>
      <c r="R29" s="45"/>
      <c r="S29" s="45"/>
      <c r="T29" s="45"/>
      <c r="U29" s="45"/>
      <c r="V29" s="45"/>
      <c r="W29" s="45"/>
      <c r="X29" s="45"/>
      <c r="Y29" s="45"/>
      <c r="Z29" s="45"/>
      <c r="AA29" s="45"/>
      <c r="AB29" s="45"/>
      <c r="AC29" s="45"/>
      <c r="AD29" s="45"/>
      <c r="AE29" s="45"/>
      <c r="AF29" s="45"/>
      <c r="AG29" s="45"/>
      <c r="AH29" s="45"/>
      <c r="AI29" s="45"/>
      <c r="AJ29" s="45"/>
      <c r="AK29" s="45"/>
      <c r="AL29" s="45"/>
      <c r="AM29" s="45"/>
      <c r="AN29" s="45"/>
      <c r="AO29" s="45"/>
      <c r="AP29" s="45"/>
      <c r="AQ29" s="45"/>
      <c r="AR29" s="45"/>
      <c r="AS29" s="45"/>
      <c r="AT29" s="45"/>
      <c r="AU29" s="45"/>
      <c r="AV29" s="45"/>
      <c r="AW29" s="45"/>
      <c r="AX29" s="45"/>
      <c r="AY29" s="45"/>
      <c r="AZ29" s="45"/>
      <c r="BA29" s="45"/>
      <c r="BB29" s="45"/>
      <c r="BC29" s="45"/>
      <c r="BD29" s="45"/>
      <c r="BE29" s="45"/>
      <c r="BF29" s="45"/>
      <c r="BG29" s="107">
        <f t="shared" si="0"/>
        <v>6043.25</v>
      </c>
      <c r="BH29" s="107">
        <f t="shared" si="1"/>
        <v>6043.25</v>
      </c>
      <c r="BI29" s="108">
        <f t="shared" si="2"/>
        <v>371.58461351353071</v>
      </c>
      <c r="BJ29" s="65">
        <f t="shared" si="12"/>
        <v>6.1487546190134565E-2</v>
      </c>
      <c r="BK29" s="66">
        <f t="shared" si="10"/>
        <v>6044</v>
      </c>
      <c r="BL29" s="66">
        <v>0</v>
      </c>
      <c r="BM29" s="109">
        <f t="shared" si="8"/>
        <v>6044</v>
      </c>
      <c r="BN29" s="109">
        <f t="shared" si="4"/>
        <v>6044</v>
      </c>
      <c r="BO29" s="110" t="s">
        <v>903</v>
      </c>
    </row>
    <row r="30" spans="1:67" ht="34" x14ac:dyDescent="0.2">
      <c r="A30" s="105">
        <v>25</v>
      </c>
      <c r="B30" s="106" t="s">
        <v>51</v>
      </c>
      <c r="C30" s="106" t="s">
        <v>1222</v>
      </c>
      <c r="D30" s="105" t="s">
        <v>52</v>
      </c>
      <c r="E30" s="105">
        <v>1</v>
      </c>
      <c r="F30" s="34">
        <v>56000</v>
      </c>
      <c r="G30" s="34">
        <f>((F30*5.1%)+F30)</f>
        <v>58856</v>
      </c>
      <c r="H30" s="34">
        <v>56000</v>
      </c>
      <c r="I30" s="34">
        <f>((H30*5.1%)+H30)</f>
        <v>58856</v>
      </c>
      <c r="J30" s="45"/>
      <c r="K30" s="45"/>
      <c r="L30" s="35">
        <v>50000</v>
      </c>
      <c r="M30" s="34">
        <f>((L30*5.1%)+L30)</f>
        <v>52550</v>
      </c>
      <c r="N30" s="34">
        <v>58000</v>
      </c>
      <c r="O30" s="34">
        <f>((N30*5.1%)+N30)</f>
        <v>60958</v>
      </c>
      <c r="P30" s="45"/>
      <c r="Q30" s="45"/>
      <c r="R30" s="45"/>
      <c r="S30" s="45"/>
      <c r="T30" s="45"/>
      <c r="U30" s="45"/>
      <c r="V30" s="45"/>
      <c r="W30" s="45"/>
      <c r="X30" s="45"/>
      <c r="Y30" s="45"/>
      <c r="Z30" s="45"/>
      <c r="AA30" s="45"/>
      <c r="AB30" s="45"/>
      <c r="AC30" s="45"/>
      <c r="AD30" s="45"/>
      <c r="AE30" s="45"/>
      <c r="AF30" s="45"/>
      <c r="AG30" s="45"/>
      <c r="AH30" s="45"/>
      <c r="AI30" s="45"/>
      <c r="AJ30" s="45"/>
      <c r="AK30" s="45"/>
      <c r="AL30" s="45"/>
      <c r="AM30" s="45"/>
      <c r="AN30" s="45"/>
      <c r="AO30" s="45"/>
      <c r="AP30" s="45"/>
      <c r="AQ30" s="45"/>
      <c r="AR30" s="45"/>
      <c r="AS30" s="45"/>
      <c r="AT30" s="45"/>
      <c r="AU30" s="45"/>
      <c r="AV30" s="45"/>
      <c r="AW30" s="45"/>
      <c r="AX30" s="45"/>
      <c r="AY30" s="45"/>
      <c r="AZ30" s="45"/>
      <c r="BA30" s="45"/>
      <c r="BB30" s="45"/>
      <c r="BC30" s="45"/>
      <c r="BD30" s="45"/>
      <c r="BE30" s="45"/>
      <c r="BF30" s="45"/>
      <c r="BG30" s="107">
        <f t="shared" si="0"/>
        <v>58856</v>
      </c>
      <c r="BH30" s="107">
        <f t="shared" si="1"/>
        <v>57805</v>
      </c>
      <c r="BI30" s="108">
        <f t="shared" si="2"/>
        <v>3640.7707975097801</v>
      </c>
      <c r="BJ30" s="65">
        <f t="shared" si="12"/>
        <v>6.2983665729777358E-2</v>
      </c>
      <c r="BK30" s="66">
        <f t="shared" si="10"/>
        <v>57805</v>
      </c>
      <c r="BL30" s="66">
        <v>0</v>
      </c>
      <c r="BM30" s="109">
        <f t="shared" si="8"/>
        <v>57805</v>
      </c>
      <c r="BN30" s="109">
        <f t="shared" si="4"/>
        <v>57805</v>
      </c>
      <c r="BO30" s="110" t="s">
        <v>903</v>
      </c>
    </row>
    <row r="31" spans="1:67" ht="34" x14ac:dyDescent="0.2">
      <c r="A31" s="105">
        <v>26</v>
      </c>
      <c r="B31" s="106" t="s">
        <v>53</v>
      </c>
      <c r="C31" s="106" t="s">
        <v>1222</v>
      </c>
      <c r="D31" s="105" t="s">
        <v>52</v>
      </c>
      <c r="E31" s="105">
        <v>1</v>
      </c>
      <c r="F31" s="34"/>
      <c r="G31" s="34"/>
      <c r="H31" s="34"/>
      <c r="I31" s="34"/>
      <c r="J31" s="34">
        <v>52500</v>
      </c>
      <c r="K31" s="34">
        <f>((J31*5.1%)+J31)</f>
        <v>55177.5</v>
      </c>
      <c r="L31" s="35"/>
      <c r="M31" s="34"/>
      <c r="N31" s="34">
        <v>63000</v>
      </c>
      <c r="O31" s="34">
        <f>((N31*5.1%)+N31)</f>
        <v>66213</v>
      </c>
      <c r="P31" s="34"/>
      <c r="Q31" s="34"/>
      <c r="R31" s="45"/>
      <c r="S31" s="45"/>
      <c r="T31" s="45"/>
      <c r="U31" s="45"/>
      <c r="V31" s="45"/>
      <c r="W31" s="45"/>
      <c r="X31" s="45"/>
      <c r="Y31" s="45"/>
      <c r="Z31" s="45"/>
      <c r="AA31" s="45"/>
      <c r="AB31" s="45"/>
      <c r="AC31" s="45"/>
      <c r="AD31" s="45"/>
      <c r="AE31" s="45"/>
      <c r="AF31" s="45"/>
      <c r="AG31" s="45"/>
      <c r="AH31" s="45"/>
      <c r="AI31" s="45"/>
      <c r="AJ31" s="45"/>
      <c r="AK31" s="45"/>
      <c r="AL31" s="45"/>
      <c r="AM31" s="45"/>
      <c r="AN31" s="45"/>
      <c r="AO31" s="45"/>
      <c r="AP31" s="45"/>
      <c r="AQ31" s="45"/>
      <c r="AR31" s="45"/>
      <c r="AS31" s="45"/>
      <c r="AT31" s="45"/>
      <c r="AU31" s="45"/>
      <c r="AV31" s="45"/>
      <c r="AW31" s="45"/>
      <c r="AX31" s="45"/>
      <c r="AY31" s="45"/>
      <c r="AZ31" s="45"/>
      <c r="BA31" s="45">
        <v>53900</v>
      </c>
      <c r="BB31" s="45">
        <f>+((((BA31)*17%)+BA31))</f>
        <v>63063</v>
      </c>
      <c r="BC31" s="45"/>
      <c r="BD31" s="45"/>
      <c r="BE31" s="45"/>
      <c r="BF31" s="45"/>
      <c r="BG31" s="107">
        <f t="shared" si="0"/>
        <v>63063</v>
      </c>
      <c r="BH31" s="107">
        <f t="shared" si="1"/>
        <v>61484.5</v>
      </c>
      <c r="BI31" s="108">
        <f t="shared" si="2"/>
        <v>5684.5678595650525</v>
      </c>
      <c r="BJ31" s="65">
        <f t="shared" si="12"/>
        <v>9.2455299458644905E-2</v>
      </c>
      <c r="BK31" s="66">
        <f t="shared" si="10"/>
        <v>61485</v>
      </c>
      <c r="BL31" s="66">
        <v>0</v>
      </c>
      <c r="BM31" s="109">
        <f t="shared" si="8"/>
        <v>61485</v>
      </c>
      <c r="BN31" s="109">
        <f t="shared" si="4"/>
        <v>61485</v>
      </c>
      <c r="BO31" s="110" t="s">
        <v>903</v>
      </c>
    </row>
    <row r="32" spans="1:67" ht="34" x14ac:dyDescent="0.2">
      <c r="A32" s="105">
        <v>27</v>
      </c>
      <c r="B32" s="112" t="s">
        <v>54</v>
      </c>
      <c r="C32" s="112" t="s">
        <v>1223</v>
      </c>
      <c r="D32" s="113" t="s">
        <v>31</v>
      </c>
      <c r="E32" s="113">
        <v>20</v>
      </c>
      <c r="F32" s="32"/>
      <c r="G32" s="46"/>
      <c r="H32" s="32">
        <v>7200</v>
      </c>
      <c r="I32" s="32">
        <f>((H32*5.1%)+H32)</f>
        <v>7567.2</v>
      </c>
      <c r="J32" s="46"/>
      <c r="K32" s="46"/>
      <c r="L32" s="46"/>
      <c r="M32" s="46"/>
      <c r="N32" s="32">
        <v>6000</v>
      </c>
      <c r="O32" s="32">
        <f>((N32*5.1%)+N32)</f>
        <v>6306</v>
      </c>
      <c r="P32" s="46"/>
      <c r="Q32" s="46"/>
      <c r="R32" s="46"/>
      <c r="S32" s="46"/>
      <c r="T32" s="46"/>
      <c r="U32" s="46"/>
      <c r="V32" s="46"/>
      <c r="W32" s="46"/>
      <c r="X32" s="46"/>
      <c r="Y32" s="46"/>
      <c r="Z32" s="46"/>
      <c r="AA32" s="46"/>
      <c r="AB32" s="46"/>
      <c r="AC32" s="46"/>
      <c r="AD32" s="46"/>
      <c r="AE32" s="46"/>
      <c r="AF32" s="46"/>
      <c r="AG32" s="46"/>
      <c r="AH32" s="46"/>
      <c r="AI32" s="46"/>
      <c r="AJ32" s="46"/>
      <c r="AK32" s="46"/>
      <c r="AL32" s="46"/>
      <c r="AM32" s="46"/>
      <c r="AN32" s="46"/>
      <c r="AO32" s="46"/>
      <c r="AP32" s="46"/>
      <c r="AQ32" s="46"/>
      <c r="AR32" s="46"/>
      <c r="AS32" s="46"/>
      <c r="AT32" s="46"/>
      <c r="AU32" s="46"/>
      <c r="AV32" s="46"/>
      <c r="AW32" s="46"/>
      <c r="AX32" s="46"/>
      <c r="AY32" s="46"/>
      <c r="AZ32" s="46"/>
      <c r="BA32" s="46"/>
      <c r="BB32" s="46"/>
      <c r="BC32" s="46"/>
      <c r="BD32" s="46"/>
      <c r="BE32" s="46"/>
      <c r="BF32" s="46"/>
      <c r="BG32" s="107">
        <f t="shared" si="0"/>
        <v>6936.6</v>
      </c>
      <c r="BH32" s="107">
        <f t="shared" si="1"/>
        <v>6936.6</v>
      </c>
      <c r="BI32" s="108">
        <f t="shared" si="2"/>
        <v>891.80307243247364</v>
      </c>
      <c r="BJ32" s="65">
        <f t="shared" si="12"/>
        <v>0.12856486930664499</v>
      </c>
      <c r="BK32" s="66">
        <f t="shared" si="10"/>
        <v>6937</v>
      </c>
      <c r="BL32" s="66">
        <v>0</v>
      </c>
      <c r="BM32" s="109">
        <f t="shared" si="8"/>
        <v>6937</v>
      </c>
      <c r="BN32" s="109">
        <f t="shared" si="4"/>
        <v>138740</v>
      </c>
      <c r="BO32" s="110" t="s">
        <v>903</v>
      </c>
    </row>
    <row r="33" spans="1:67" ht="34" x14ac:dyDescent="0.2">
      <c r="A33" s="105">
        <v>28</v>
      </c>
      <c r="B33" s="106" t="s">
        <v>55</v>
      </c>
      <c r="C33" s="106" t="s">
        <v>1224</v>
      </c>
      <c r="D33" s="105" t="s">
        <v>31</v>
      </c>
      <c r="E33" s="105">
        <v>1</v>
      </c>
      <c r="F33" s="45"/>
      <c r="G33" s="45"/>
      <c r="H33" s="45"/>
      <c r="I33" s="45"/>
      <c r="J33" s="45"/>
      <c r="K33" s="45"/>
      <c r="L33" s="45"/>
      <c r="M33" s="45"/>
      <c r="N33" s="45"/>
      <c r="O33" s="45"/>
      <c r="P33" s="45"/>
      <c r="Q33" s="45"/>
      <c r="R33" s="45"/>
      <c r="S33" s="45"/>
      <c r="T33" s="45"/>
      <c r="U33" s="45"/>
      <c r="V33" s="45"/>
      <c r="W33" s="45"/>
      <c r="X33" s="45"/>
      <c r="Y33" s="45"/>
      <c r="Z33" s="45"/>
      <c r="AA33" s="45"/>
      <c r="AB33" s="45"/>
      <c r="AC33" s="45"/>
      <c r="AD33" s="45"/>
      <c r="AE33" s="45"/>
      <c r="AF33" s="45"/>
      <c r="AG33" s="45"/>
      <c r="AH33" s="45"/>
      <c r="AI33" s="45"/>
      <c r="AJ33" s="45"/>
      <c r="AK33" s="45"/>
      <c r="AL33" s="45"/>
      <c r="AM33" s="45"/>
      <c r="AN33" s="45"/>
      <c r="AO33" s="45"/>
      <c r="AP33" s="45"/>
      <c r="AQ33" s="45"/>
      <c r="AR33" s="45">
        <v>39700</v>
      </c>
      <c r="AS33" s="45">
        <v>36400</v>
      </c>
      <c r="AT33" s="45"/>
      <c r="AU33" s="45"/>
      <c r="AV33" s="45"/>
      <c r="AW33" s="45"/>
      <c r="AX33" s="45"/>
      <c r="AY33" s="45"/>
      <c r="AZ33" s="45"/>
      <c r="BA33" s="45"/>
      <c r="BB33" s="45"/>
      <c r="BC33" s="45"/>
      <c r="BD33" s="45"/>
      <c r="BE33" s="45"/>
      <c r="BF33" s="45"/>
      <c r="BG33" s="107">
        <f t="shared" si="0"/>
        <v>38050</v>
      </c>
      <c r="BH33" s="107">
        <f t="shared" si="1"/>
        <v>38050</v>
      </c>
      <c r="BI33" s="108">
        <f t="shared" si="2"/>
        <v>2333.452377915607</v>
      </c>
      <c r="BJ33" s="65">
        <f t="shared" si="12"/>
        <v>6.132594948529848E-2</v>
      </c>
      <c r="BK33" s="66">
        <f t="shared" si="10"/>
        <v>38050</v>
      </c>
      <c r="BL33" s="66">
        <v>0</v>
      </c>
      <c r="BM33" s="109">
        <f t="shared" si="8"/>
        <v>38050</v>
      </c>
      <c r="BN33" s="109">
        <f t="shared" si="4"/>
        <v>38050</v>
      </c>
      <c r="BO33" s="110" t="s">
        <v>903</v>
      </c>
    </row>
    <row r="34" spans="1:67" ht="34" x14ac:dyDescent="0.2">
      <c r="A34" s="105">
        <v>29</v>
      </c>
      <c r="B34" s="106" t="s">
        <v>56</v>
      </c>
      <c r="C34" s="106" t="s">
        <v>1225</v>
      </c>
      <c r="D34" s="105" t="s">
        <v>40</v>
      </c>
      <c r="E34" s="105">
        <v>1</v>
      </c>
      <c r="F34" s="45"/>
      <c r="G34" s="45"/>
      <c r="H34" s="45"/>
      <c r="I34" s="45"/>
      <c r="J34" s="34"/>
      <c r="K34" s="34"/>
      <c r="L34" s="35"/>
      <c r="M34" s="34"/>
      <c r="N34" s="45"/>
      <c r="O34" s="45"/>
      <c r="P34" s="45"/>
      <c r="Q34" s="45"/>
      <c r="R34" s="45">
        <v>3500</v>
      </c>
      <c r="S34" s="45">
        <f>+((((R34)*17%)+R34))</f>
        <v>4095</v>
      </c>
      <c r="T34" s="45"/>
      <c r="U34" s="45"/>
      <c r="V34" s="45"/>
      <c r="W34" s="45"/>
      <c r="X34" s="45"/>
      <c r="Y34" s="45"/>
      <c r="Z34" s="45"/>
      <c r="AA34" s="45"/>
      <c r="AB34" s="45"/>
      <c r="AC34" s="45"/>
      <c r="AD34" s="45"/>
      <c r="AE34" s="45"/>
      <c r="AF34" s="45"/>
      <c r="AG34" s="45"/>
      <c r="AH34" s="45"/>
      <c r="AI34" s="45"/>
      <c r="AJ34" s="45"/>
      <c r="AK34" s="45"/>
      <c r="AL34" s="45"/>
      <c r="AM34" s="45"/>
      <c r="AN34" s="45"/>
      <c r="AO34" s="45"/>
      <c r="AP34" s="45"/>
      <c r="AQ34" s="45"/>
      <c r="AR34" s="45"/>
      <c r="AS34" s="45"/>
      <c r="AT34" s="45"/>
      <c r="AU34" s="45"/>
      <c r="AV34" s="45"/>
      <c r="AW34" s="45"/>
      <c r="AX34" s="45"/>
      <c r="AY34" s="45"/>
      <c r="AZ34" s="45"/>
      <c r="BA34" s="45">
        <v>5600</v>
      </c>
      <c r="BB34" s="45">
        <f>+((((BA34)*17%)+BA34))</f>
        <v>6552</v>
      </c>
      <c r="BC34" s="45"/>
      <c r="BD34" s="45"/>
      <c r="BE34" s="45"/>
      <c r="BF34" s="45"/>
      <c r="BG34" s="107">
        <f t="shared" si="0"/>
        <v>5323.5</v>
      </c>
      <c r="BH34" s="107">
        <f t="shared" si="1"/>
        <v>5323.5</v>
      </c>
      <c r="BI34" s="108">
        <f t="shared" si="2"/>
        <v>1737.3613613753473</v>
      </c>
      <c r="BJ34" s="65">
        <f t="shared" si="12"/>
        <v>0.32635697593225271</v>
      </c>
      <c r="BK34" s="66">
        <f t="shared" si="10"/>
        <v>5324</v>
      </c>
      <c r="BL34" s="66">
        <v>0</v>
      </c>
      <c r="BM34" s="109">
        <f t="shared" si="8"/>
        <v>5324</v>
      </c>
      <c r="BN34" s="109">
        <f t="shared" si="4"/>
        <v>5324</v>
      </c>
      <c r="BO34" s="110" t="s">
        <v>903</v>
      </c>
    </row>
    <row r="35" spans="1:67" ht="34" x14ac:dyDescent="0.2">
      <c r="A35" s="105">
        <v>30</v>
      </c>
      <c r="B35" s="106" t="s">
        <v>57</v>
      </c>
      <c r="C35" s="106" t="s">
        <v>1217</v>
      </c>
      <c r="D35" s="105" t="s">
        <v>31</v>
      </c>
      <c r="E35" s="105">
        <v>20</v>
      </c>
      <c r="F35" s="34">
        <v>4500</v>
      </c>
      <c r="G35" s="34">
        <f>((F35*5.1%)+F35)</f>
        <v>4729.5</v>
      </c>
      <c r="H35" s="34">
        <v>5300</v>
      </c>
      <c r="I35" s="34">
        <f>((H35*5.1%)+H35)</f>
        <v>5570.3</v>
      </c>
      <c r="J35" s="45"/>
      <c r="K35" s="45"/>
      <c r="L35" s="35">
        <v>6000</v>
      </c>
      <c r="M35" s="34">
        <f>((L35*5.1%)+L35)</f>
        <v>6306</v>
      </c>
      <c r="N35" s="34">
        <v>4100</v>
      </c>
      <c r="O35" s="34">
        <f>((N35*5.1%)+N35)</f>
        <v>4309.1000000000004</v>
      </c>
      <c r="P35" s="34">
        <v>5500</v>
      </c>
      <c r="Q35" s="34">
        <f>((P35*5.1%)+P35)</f>
        <v>5780.5</v>
      </c>
      <c r="R35" s="45"/>
      <c r="S35" s="45"/>
      <c r="T35" s="45"/>
      <c r="U35" s="45"/>
      <c r="V35" s="45"/>
      <c r="W35" s="45"/>
      <c r="X35" s="45"/>
      <c r="Y35" s="45"/>
      <c r="Z35" s="45"/>
      <c r="AA35" s="45"/>
      <c r="AB35" s="45"/>
      <c r="AC35" s="45"/>
      <c r="AD35" s="45"/>
      <c r="AE35" s="45"/>
      <c r="AF35" s="45"/>
      <c r="AG35" s="45"/>
      <c r="AH35" s="45"/>
      <c r="AI35" s="45"/>
      <c r="AJ35" s="45"/>
      <c r="AK35" s="45"/>
      <c r="AL35" s="45"/>
      <c r="AM35" s="45"/>
      <c r="AN35" s="45"/>
      <c r="AO35" s="45"/>
      <c r="AP35" s="45"/>
      <c r="AQ35" s="45"/>
      <c r="AR35" s="45"/>
      <c r="AS35" s="45"/>
      <c r="AT35" s="45"/>
      <c r="AU35" s="45"/>
      <c r="AV35" s="45"/>
      <c r="AW35" s="45"/>
      <c r="AX35" s="45"/>
      <c r="AY35" s="45"/>
      <c r="AZ35" s="45"/>
      <c r="BA35" s="45"/>
      <c r="BB35" s="45"/>
      <c r="BC35" s="45"/>
      <c r="BD35" s="45"/>
      <c r="BE35" s="45"/>
      <c r="BF35" s="45"/>
      <c r="BG35" s="107">
        <f t="shared" si="0"/>
        <v>5570.3</v>
      </c>
      <c r="BH35" s="107">
        <f t="shared" si="1"/>
        <v>5339.08</v>
      </c>
      <c r="BI35" s="108">
        <f t="shared" si="2"/>
        <v>808.65554595266065</v>
      </c>
      <c r="BJ35" s="65">
        <f t="shared" si="12"/>
        <v>0.1514597170210337</v>
      </c>
      <c r="BK35" s="66">
        <f t="shared" si="10"/>
        <v>5571</v>
      </c>
      <c r="BL35" s="66">
        <v>0</v>
      </c>
      <c r="BM35" s="109">
        <f t="shared" si="8"/>
        <v>5571</v>
      </c>
      <c r="BN35" s="109">
        <f t="shared" si="4"/>
        <v>111420</v>
      </c>
      <c r="BO35" s="110" t="s">
        <v>903</v>
      </c>
    </row>
    <row r="36" spans="1:67" ht="34" x14ac:dyDescent="0.2">
      <c r="A36" s="105">
        <v>31</v>
      </c>
      <c r="B36" s="106" t="s">
        <v>58</v>
      </c>
      <c r="C36" s="106" t="s">
        <v>1226</v>
      </c>
      <c r="D36" s="105" t="s">
        <v>31</v>
      </c>
      <c r="E36" s="105">
        <v>1</v>
      </c>
      <c r="F36" s="45"/>
      <c r="G36" s="45"/>
      <c r="H36" s="45"/>
      <c r="I36" s="45"/>
      <c r="J36" s="34">
        <f>(2500*4)/5</f>
        <v>2000</v>
      </c>
      <c r="K36" s="34">
        <f>((J36*5.1%)+J36)</f>
        <v>2102</v>
      </c>
      <c r="L36" s="35">
        <v>2000</v>
      </c>
      <c r="M36" s="34">
        <f>((L36*5.1%)+L36)</f>
        <v>2102</v>
      </c>
      <c r="N36" s="45"/>
      <c r="O36" s="45"/>
      <c r="P36" s="34">
        <v>3000</v>
      </c>
      <c r="Q36" s="34">
        <f>((P36*5.1%)+P36)</f>
        <v>3153</v>
      </c>
      <c r="R36" s="45"/>
      <c r="S36" s="45"/>
      <c r="T36" s="45"/>
      <c r="U36" s="45"/>
      <c r="V36" s="45"/>
      <c r="W36" s="45"/>
      <c r="X36" s="45"/>
      <c r="Y36" s="45"/>
      <c r="Z36" s="45"/>
      <c r="AA36" s="45"/>
      <c r="AB36" s="45"/>
      <c r="AC36" s="45"/>
      <c r="AD36" s="45"/>
      <c r="AE36" s="45"/>
      <c r="AF36" s="45"/>
      <c r="AG36" s="45"/>
      <c r="AH36" s="45"/>
      <c r="AI36" s="45"/>
      <c r="AJ36" s="45"/>
      <c r="AK36" s="45"/>
      <c r="AL36" s="45"/>
      <c r="AM36" s="45"/>
      <c r="AN36" s="45"/>
      <c r="AO36" s="45"/>
      <c r="AP36" s="45"/>
      <c r="AQ36" s="45"/>
      <c r="AR36" s="45"/>
      <c r="AS36" s="45"/>
      <c r="AT36" s="45"/>
      <c r="AU36" s="45"/>
      <c r="AV36" s="45"/>
      <c r="AW36" s="45"/>
      <c r="AX36" s="45"/>
      <c r="AY36" s="45"/>
      <c r="AZ36" s="45"/>
      <c r="BA36" s="45"/>
      <c r="BB36" s="45"/>
      <c r="BC36" s="45"/>
      <c r="BD36" s="45"/>
      <c r="BE36" s="45"/>
      <c r="BF36" s="45"/>
      <c r="BG36" s="107">
        <f t="shared" si="0"/>
        <v>2102</v>
      </c>
      <c r="BH36" s="107">
        <f t="shared" si="1"/>
        <v>2452.3333333333335</v>
      </c>
      <c r="BI36" s="108">
        <f t="shared" si="2"/>
        <v>606.79513291829721</v>
      </c>
      <c r="BJ36" s="65">
        <f t="shared" si="12"/>
        <v>0.24743582965269695</v>
      </c>
      <c r="BK36" s="66">
        <f t="shared" si="10"/>
        <v>2102</v>
      </c>
      <c r="BL36" s="66">
        <v>0</v>
      </c>
      <c r="BM36" s="109">
        <f t="shared" si="8"/>
        <v>2102</v>
      </c>
      <c r="BN36" s="109">
        <f t="shared" si="4"/>
        <v>2102</v>
      </c>
      <c r="BO36" s="110" t="s">
        <v>902</v>
      </c>
    </row>
    <row r="37" spans="1:67" ht="34" x14ac:dyDescent="0.2">
      <c r="A37" s="105">
        <v>32</v>
      </c>
      <c r="B37" s="106" t="s">
        <v>59</v>
      </c>
      <c r="C37" s="106" t="s">
        <v>1218</v>
      </c>
      <c r="D37" s="105" t="s">
        <v>31</v>
      </c>
      <c r="E37" s="105">
        <v>20</v>
      </c>
      <c r="F37" s="34">
        <v>50000</v>
      </c>
      <c r="G37" s="34">
        <f>((F37*5.1%)+F37)</f>
        <v>52550</v>
      </c>
      <c r="H37" s="34">
        <v>48500</v>
      </c>
      <c r="I37" s="34">
        <f>((H37*5.1%)+H37)</f>
        <v>50973.5</v>
      </c>
      <c r="J37" s="45"/>
      <c r="K37" s="45"/>
      <c r="L37" s="35">
        <v>32000</v>
      </c>
      <c r="M37" s="34">
        <f>((L37*5.1%)+L37)</f>
        <v>33632</v>
      </c>
      <c r="N37" s="34">
        <v>45000</v>
      </c>
      <c r="O37" s="34">
        <f>((N37*5.1%)+N37)</f>
        <v>47295</v>
      </c>
      <c r="P37" s="45"/>
      <c r="Q37" s="45"/>
      <c r="R37" s="45"/>
      <c r="S37" s="45"/>
      <c r="T37" s="45"/>
      <c r="U37" s="45"/>
      <c r="V37" s="45"/>
      <c r="W37" s="45"/>
      <c r="X37" s="45"/>
      <c r="Y37" s="45"/>
      <c r="Z37" s="45"/>
      <c r="AA37" s="45"/>
      <c r="AB37" s="45"/>
      <c r="AC37" s="45"/>
      <c r="AD37" s="45"/>
      <c r="AE37" s="45"/>
      <c r="AF37" s="45"/>
      <c r="AG37" s="45"/>
      <c r="AH37" s="45"/>
      <c r="AI37" s="45"/>
      <c r="AJ37" s="45"/>
      <c r="AK37" s="45"/>
      <c r="AL37" s="45"/>
      <c r="AM37" s="45"/>
      <c r="AN37" s="45"/>
      <c r="AO37" s="45"/>
      <c r="AP37" s="45"/>
      <c r="AQ37" s="45"/>
      <c r="AR37" s="45"/>
      <c r="AS37" s="45"/>
      <c r="AT37" s="45"/>
      <c r="AU37" s="45"/>
      <c r="AV37" s="45"/>
      <c r="AW37" s="45"/>
      <c r="AX37" s="45"/>
      <c r="AY37" s="45"/>
      <c r="AZ37" s="45"/>
      <c r="BA37" s="45"/>
      <c r="BB37" s="45"/>
      <c r="BC37" s="45"/>
      <c r="BD37" s="45"/>
      <c r="BE37" s="45"/>
      <c r="BF37" s="45"/>
      <c r="BG37" s="107">
        <f t="shared" si="0"/>
        <v>49134.25</v>
      </c>
      <c r="BH37" s="107">
        <f t="shared" si="1"/>
        <v>46112.625</v>
      </c>
      <c r="BI37" s="108">
        <f t="shared" si="2"/>
        <v>8606.8173306106601</v>
      </c>
      <c r="BJ37" s="65">
        <f t="shared" si="12"/>
        <v>0.18664774192774017</v>
      </c>
      <c r="BK37" s="66">
        <f t="shared" si="10"/>
        <v>49135</v>
      </c>
      <c r="BL37" s="66">
        <v>0</v>
      </c>
      <c r="BM37" s="109">
        <f t="shared" ref="BM37:BM68" si="13">ROUNDUP(IF(BJ37&lt;15%,BH37,BG37),0)</f>
        <v>49135</v>
      </c>
      <c r="BN37" s="109">
        <f t="shared" si="4"/>
        <v>982700</v>
      </c>
      <c r="BO37" s="110" t="s">
        <v>902</v>
      </c>
    </row>
    <row r="38" spans="1:67" ht="34" x14ac:dyDescent="0.2">
      <c r="A38" s="105">
        <v>33</v>
      </c>
      <c r="B38" s="112" t="s">
        <v>60</v>
      </c>
      <c r="C38" s="112" t="s">
        <v>1227</v>
      </c>
      <c r="D38" s="113" t="s">
        <v>29</v>
      </c>
      <c r="E38" s="113">
        <v>20</v>
      </c>
      <c r="F38" s="32">
        <v>4600</v>
      </c>
      <c r="G38" s="32">
        <f>((F38*5.1%)+F38)</f>
        <v>4834.6000000000004</v>
      </c>
      <c r="H38" s="32">
        <v>5100</v>
      </c>
      <c r="I38" s="32">
        <f>((H38*5.1%)+H38)</f>
        <v>5360.1</v>
      </c>
      <c r="J38" s="32">
        <v>5500</v>
      </c>
      <c r="K38" s="32">
        <f>((J38*5.1%)+J38)</f>
        <v>5780.5</v>
      </c>
      <c r="L38" s="46"/>
      <c r="M38" s="46"/>
      <c r="N38" s="32"/>
      <c r="O38" s="32"/>
      <c r="P38" s="32"/>
      <c r="Q38" s="32"/>
      <c r="R38" s="46">
        <v>6700</v>
      </c>
      <c r="S38" s="45">
        <f>+((((R38)*17%)+R38))</f>
        <v>7839</v>
      </c>
      <c r="T38" s="46"/>
      <c r="U38" s="46"/>
      <c r="V38" s="46"/>
      <c r="W38" s="46"/>
      <c r="X38" s="46"/>
      <c r="Y38" s="46"/>
      <c r="Z38" s="46"/>
      <c r="AA38" s="46"/>
      <c r="AB38" s="46"/>
      <c r="AC38" s="46"/>
      <c r="AD38" s="46"/>
      <c r="AE38" s="46"/>
      <c r="AF38" s="46"/>
      <c r="AG38" s="46"/>
      <c r="AH38" s="46"/>
      <c r="AI38" s="46"/>
      <c r="AJ38" s="46"/>
      <c r="AK38" s="46"/>
      <c r="AL38" s="46"/>
      <c r="AM38" s="46"/>
      <c r="AN38" s="46"/>
      <c r="AO38" s="46"/>
      <c r="AP38" s="46"/>
      <c r="AQ38" s="46"/>
      <c r="AR38" s="46"/>
      <c r="AS38" s="46"/>
      <c r="AT38" s="46"/>
      <c r="AU38" s="46"/>
      <c r="AV38" s="46"/>
      <c r="AW38" s="46"/>
      <c r="AX38" s="46"/>
      <c r="AY38" s="46"/>
      <c r="AZ38" s="46"/>
      <c r="BA38" s="46">
        <v>6900</v>
      </c>
      <c r="BB38" s="45">
        <f>+((((BA38)*17%)+BA38))</f>
        <v>8073</v>
      </c>
      <c r="BC38" s="45"/>
      <c r="BD38" s="45"/>
      <c r="BE38" s="45"/>
      <c r="BF38" s="45"/>
      <c r="BG38" s="107">
        <f t="shared" ref="BG38:BG69" si="14">MEDIAN(G38,I38,K38,M38,O38,Q38,S38,U38,W38,Y38,AA38,AC38,AE38,AG38,AI38,AK38,AM38,AN38,AP38,AR38,AS38,AU38,AX38,AZ38,BB38)</f>
        <v>5780.5</v>
      </c>
      <c r="BH38" s="107">
        <f t="shared" ref="BH38:BH69" si="15">AVERAGE(G38,I38,K38,M38,O38,Q38,S38,U38,W38,Y38,AA38,AC38,AE38,AG38,AI38,AK38,AM38,AN38,AP38,AR38,AS38,AU38:AX38,AZ38,BB38)</f>
        <v>6377.4400000000005</v>
      </c>
      <c r="BI38" s="108">
        <f t="shared" ref="BI38:BI69" si="16">STDEV(G38,I38,K38,M38,O38,Q38,S38,U38,W38,Y38,AA38,AC38,AE38,AG38,AI38,AK38,AM38,AN38,AP38,AR38,AS38,AU38,AX38,AZ38,BB38)</f>
        <v>1481.7856332816843</v>
      </c>
      <c r="BJ38" s="65">
        <f t="shared" si="12"/>
        <v>0.23234803201310936</v>
      </c>
      <c r="BK38" s="66">
        <f t="shared" si="10"/>
        <v>5781</v>
      </c>
      <c r="BL38" s="66">
        <v>0</v>
      </c>
      <c r="BM38" s="109">
        <f t="shared" si="13"/>
        <v>5781</v>
      </c>
      <c r="BN38" s="109">
        <f t="shared" ref="BN38:BN69" si="17">BM38*E38</f>
        <v>115620</v>
      </c>
      <c r="BO38" s="110" t="s">
        <v>902</v>
      </c>
    </row>
    <row r="39" spans="1:67" ht="34" x14ac:dyDescent="0.2">
      <c r="A39" s="105">
        <v>34</v>
      </c>
      <c r="B39" s="106" t="s">
        <v>61</v>
      </c>
      <c r="C39" s="106" t="s">
        <v>1228</v>
      </c>
      <c r="D39" s="105" t="s">
        <v>31</v>
      </c>
      <c r="E39" s="105">
        <v>1</v>
      </c>
      <c r="F39" s="45"/>
      <c r="G39" s="45"/>
      <c r="H39" s="45"/>
      <c r="I39" s="45"/>
      <c r="J39" s="45"/>
      <c r="K39" s="45"/>
      <c r="L39" s="45"/>
      <c r="M39" s="45"/>
      <c r="N39" s="45"/>
      <c r="O39" s="45"/>
      <c r="P39" s="45"/>
      <c r="Q39" s="45"/>
      <c r="R39" s="45"/>
      <c r="S39" s="45"/>
      <c r="T39" s="45"/>
      <c r="U39" s="45"/>
      <c r="V39" s="45"/>
      <c r="W39" s="45"/>
      <c r="X39" s="45"/>
      <c r="Y39" s="45"/>
      <c r="Z39" s="45"/>
      <c r="AA39" s="45"/>
      <c r="AB39" s="45"/>
      <c r="AC39" s="45"/>
      <c r="AD39" s="45"/>
      <c r="AE39" s="45"/>
      <c r="AF39" s="45"/>
      <c r="AG39" s="45"/>
      <c r="AH39" s="45"/>
      <c r="AI39" s="45"/>
      <c r="AJ39" s="45"/>
      <c r="AK39" s="45"/>
      <c r="AL39" s="45"/>
      <c r="AM39" s="45"/>
      <c r="AN39" s="45"/>
      <c r="AO39" s="45"/>
      <c r="AP39" s="45"/>
      <c r="AQ39" s="45"/>
      <c r="AR39" s="45">
        <v>8400</v>
      </c>
      <c r="AS39" s="45">
        <v>7500</v>
      </c>
      <c r="AT39" s="45"/>
      <c r="AU39" s="45"/>
      <c r="AV39" s="45"/>
      <c r="AW39" s="45"/>
      <c r="AX39" s="45"/>
      <c r="AY39" s="45"/>
      <c r="AZ39" s="45"/>
      <c r="BA39" s="45"/>
      <c r="BB39" s="45"/>
      <c r="BC39" s="45"/>
      <c r="BD39" s="45"/>
      <c r="BE39" s="45"/>
      <c r="BF39" s="45"/>
      <c r="BG39" s="107">
        <f t="shared" si="14"/>
        <v>7950</v>
      </c>
      <c r="BH39" s="107">
        <f t="shared" si="15"/>
        <v>7950</v>
      </c>
      <c r="BI39" s="108">
        <f t="shared" si="16"/>
        <v>636.3961030678928</v>
      </c>
      <c r="BJ39" s="65">
        <f t="shared" si="12"/>
        <v>8.0049824285269536E-2</v>
      </c>
      <c r="BK39" s="66">
        <f t="shared" si="10"/>
        <v>7950</v>
      </c>
      <c r="BL39" s="66">
        <v>0</v>
      </c>
      <c r="BM39" s="109">
        <f t="shared" si="13"/>
        <v>7950</v>
      </c>
      <c r="BN39" s="109">
        <f t="shared" si="17"/>
        <v>7950</v>
      </c>
      <c r="BO39" s="110" t="s">
        <v>903</v>
      </c>
    </row>
    <row r="40" spans="1:67" ht="34" x14ac:dyDescent="0.2">
      <c r="A40" s="105">
        <v>35</v>
      </c>
      <c r="B40" s="106" t="s">
        <v>62</v>
      </c>
      <c r="C40" s="106" t="s">
        <v>1228</v>
      </c>
      <c r="D40" s="105" t="s">
        <v>31</v>
      </c>
      <c r="E40" s="105">
        <v>1</v>
      </c>
      <c r="F40" s="45"/>
      <c r="G40" s="45"/>
      <c r="H40" s="45"/>
      <c r="I40" s="45"/>
      <c r="J40" s="45"/>
      <c r="K40" s="45"/>
      <c r="L40" s="45"/>
      <c r="M40" s="45"/>
      <c r="N40" s="45"/>
      <c r="O40" s="45"/>
      <c r="P40" s="45"/>
      <c r="Q40" s="45"/>
      <c r="R40" s="45"/>
      <c r="S40" s="45"/>
      <c r="T40" s="45"/>
      <c r="U40" s="45"/>
      <c r="V40" s="45"/>
      <c r="W40" s="45"/>
      <c r="X40" s="45"/>
      <c r="Y40" s="45"/>
      <c r="Z40" s="45"/>
      <c r="AA40" s="45"/>
      <c r="AB40" s="45"/>
      <c r="AC40" s="45"/>
      <c r="AD40" s="45"/>
      <c r="AE40" s="45"/>
      <c r="AF40" s="45"/>
      <c r="AG40" s="45"/>
      <c r="AH40" s="45"/>
      <c r="AI40" s="45"/>
      <c r="AJ40" s="45"/>
      <c r="AK40" s="45"/>
      <c r="AL40" s="45"/>
      <c r="AM40" s="45"/>
      <c r="AN40" s="45"/>
      <c r="AO40" s="45"/>
      <c r="AP40" s="45"/>
      <c r="AQ40" s="45"/>
      <c r="AR40" s="45">
        <v>8400</v>
      </c>
      <c r="AS40" s="45">
        <v>7500</v>
      </c>
      <c r="AT40" s="45"/>
      <c r="AU40" s="45"/>
      <c r="AV40" s="45"/>
      <c r="AW40" s="45"/>
      <c r="AX40" s="45"/>
      <c r="AY40" s="45"/>
      <c r="AZ40" s="45"/>
      <c r="BA40" s="45"/>
      <c r="BB40" s="45"/>
      <c r="BC40" s="45"/>
      <c r="BD40" s="45"/>
      <c r="BE40" s="45"/>
      <c r="BF40" s="45"/>
      <c r="BG40" s="107">
        <f t="shared" si="14"/>
        <v>7950</v>
      </c>
      <c r="BH40" s="107">
        <f t="shared" si="15"/>
        <v>7950</v>
      </c>
      <c r="BI40" s="108">
        <f t="shared" si="16"/>
        <v>636.3961030678928</v>
      </c>
      <c r="BJ40" s="65">
        <f t="shared" si="12"/>
        <v>8.0049824285269536E-2</v>
      </c>
      <c r="BK40" s="66">
        <f t="shared" si="10"/>
        <v>7950</v>
      </c>
      <c r="BL40" s="66">
        <v>0</v>
      </c>
      <c r="BM40" s="109">
        <f t="shared" si="13"/>
        <v>7950</v>
      </c>
      <c r="BN40" s="109">
        <f t="shared" si="17"/>
        <v>7950</v>
      </c>
      <c r="BO40" s="110" t="s">
        <v>903</v>
      </c>
    </row>
    <row r="41" spans="1:67" ht="34" x14ac:dyDescent="0.2">
      <c r="A41" s="105">
        <v>36</v>
      </c>
      <c r="B41" s="106" t="s">
        <v>63</v>
      </c>
      <c r="C41" s="106" t="s">
        <v>1229</v>
      </c>
      <c r="D41" s="105" t="s">
        <v>64</v>
      </c>
      <c r="E41" s="105">
        <v>1</v>
      </c>
      <c r="F41" s="34">
        <v>143000</v>
      </c>
      <c r="G41" s="34">
        <f>((F41*5.1%)+F41)</f>
        <v>150293</v>
      </c>
      <c r="H41" s="34">
        <v>138000</v>
      </c>
      <c r="I41" s="34">
        <f>((H41*5.1%)+H41)</f>
        <v>145038</v>
      </c>
      <c r="J41" s="45"/>
      <c r="K41" s="45"/>
      <c r="L41" s="35">
        <v>160000</v>
      </c>
      <c r="M41" s="34">
        <f>((L41*5.1%)+L41)</f>
        <v>168160</v>
      </c>
      <c r="N41" s="34">
        <v>130000</v>
      </c>
      <c r="O41" s="34">
        <f>((N41*5.1%)+N41)</f>
        <v>136630</v>
      </c>
      <c r="P41" s="45"/>
      <c r="Q41" s="45"/>
      <c r="R41" s="45"/>
      <c r="S41" s="45"/>
      <c r="T41" s="45"/>
      <c r="U41" s="45"/>
      <c r="V41" s="45"/>
      <c r="W41" s="45"/>
      <c r="X41" s="45"/>
      <c r="Y41" s="45"/>
      <c r="Z41" s="45"/>
      <c r="AA41" s="45"/>
      <c r="AB41" s="45"/>
      <c r="AC41" s="45"/>
      <c r="AD41" s="45"/>
      <c r="AE41" s="45"/>
      <c r="AF41" s="45"/>
      <c r="AG41" s="45"/>
      <c r="AH41" s="45"/>
      <c r="AI41" s="45"/>
      <c r="AJ41" s="45"/>
      <c r="AK41" s="45"/>
      <c r="AL41" s="45"/>
      <c r="AM41" s="45"/>
      <c r="AN41" s="45"/>
      <c r="AO41" s="45"/>
      <c r="AP41" s="45"/>
      <c r="AQ41" s="45"/>
      <c r="AR41" s="45"/>
      <c r="AS41" s="45"/>
      <c r="AT41" s="45"/>
      <c r="AU41" s="45"/>
      <c r="AV41" s="45"/>
      <c r="AW41" s="45"/>
      <c r="AX41" s="45"/>
      <c r="AY41" s="45"/>
      <c r="AZ41" s="45"/>
      <c r="BA41" s="45"/>
      <c r="BB41" s="45"/>
      <c r="BC41" s="45"/>
      <c r="BD41" s="45"/>
      <c r="BE41" s="45"/>
      <c r="BF41" s="45"/>
      <c r="BG41" s="107">
        <f t="shared" si="14"/>
        <v>147665.5</v>
      </c>
      <c r="BH41" s="107">
        <f t="shared" si="15"/>
        <v>150030.25</v>
      </c>
      <c r="BI41" s="108">
        <f t="shared" si="16"/>
        <v>13332.243281483677</v>
      </c>
      <c r="BJ41" s="65">
        <f t="shared" si="12"/>
        <v>8.8863701030183428E-2</v>
      </c>
      <c r="BK41" s="66">
        <f t="shared" si="10"/>
        <v>150031</v>
      </c>
      <c r="BL41" s="66">
        <v>0</v>
      </c>
      <c r="BM41" s="109">
        <f t="shared" si="13"/>
        <v>150031</v>
      </c>
      <c r="BN41" s="109">
        <f t="shared" si="17"/>
        <v>150031</v>
      </c>
      <c r="BO41" s="110" t="s">
        <v>903</v>
      </c>
    </row>
    <row r="42" spans="1:67" ht="34" x14ac:dyDescent="0.2">
      <c r="A42" s="105">
        <v>37</v>
      </c>
      <c r="B42" s="106" t="s">
        <v>65</v>
      </c>
      <c r="C42" s="106" t="s">
        <v>1227</v>
      </c>
      <c r="D42" s="105" t="s">
        <v>31</v>
      </c>
      <c r="E42" s="105">
        <v>20</v>
      </c>
      <c r="F42" s="34"/>
      <c r="G42" s="34"/>
      <c r="H42" s="45"/>
      <c r="I42" s="45"/>
      <c r="J42" s="34"/>
      <c r="K42" s="34"/>
      <c r="L42" s="45"/>
      <c r="M42" s="45"/>
      <c r="N42" s="34"/>
      <c r="O42" s="34"/>
      <c r="P42" s="34"/>
      <c r="Q42" s="34"/>
      <c r="R42" s="45">
        <v>4500</v>
      </c>
      <c r="S42" s="45">
        <f>+((((R42)*17%)+R42))</f>
        <v>5265</v>
      </c>
      <c r="T42" s="45"/>
      <c r="U42" s="45"/>
      <c r="V42" s="45"/>
      <c r="W42" s="45"/>
      <c r="X42" s="45"/>
      <c r="Y42" s="45"/>
      <c r="Z42" s="45"/>
      <c r="AA42" s="45"/>
      <c r="AB42" s="45"/>
      <c r="AC42" s="45"/>
      <c r="AD42" s="45"/>
      <c r="AE42" s="45"/>
      <c r="AF42" s="45"/>
      <c r="AG42" s="45"/>
      <c r="AH42" s="45"/>
      <c r="AI42" s="45"/>
      <c r="AJ42" s="45"/>
      <c r="AK42" s="45"/>
      <c r="AL42" s="45"/>
      <c r="AM42" s="45"/>
      <c r="AN42" s="45"/>
      <c r="AO42" s="45"/>
      <c r="AP42" s="45"/>
      <c r="AQ42" s="45"/>
      <c r="AR42" s="45"/>
      <c r="AS42" s="45"/>
      <c r="AT42" s="45"/>
      <c r="AU42" s="45"/>
      <c r="AV42" s="45"/>
      <c r="AW42" s="45"/>
      <c r="AX42" s="45"/>
      <c r="AY42" s="45">
        <v>6900</v>
      </c>
      <c r="AZ42" s="45">
        <f>+((((AY42)*17%)+AY42))</f>
        <v>8073</v>
      </c>
      <c r="BA42" s="45"/>
      <c r="BB42" s="45"/>
      <c r="BC42" s="45"/>
      <c r="BD42" s="45"/>
      <c r="BE42" s="45"/>
      <c r="BF42" s="45"/>
      <c r="BG42" s="107">
        <f t="shared" si="14"/>
        <v>6669</v>
      </c>
      <c r="BH42" s="107">
        <f t="shared" si="15"/>
        <v>6669</v>
      </c>
      <c r="BI42" s="108">
        <f t="shared" si="16"/>
        <v>1985.5558415718253</v>
      </c>
      <c r="BJ42" s="65">
        <f t="shared" si="12"/>
        <v>0.29772917102591473</v>
      </c>
      <c r="BK42" s="66">
        <f t="shared" si="10"/>
        <v>6669</v>
      </c>
      <c r="BL42" s="66">
        <v>0</v>
      </c>
      <c r="BM42" s="109">
        <f t="shared" si="13"/>
        <v>6669</v>
      </c>
      <c r="BN42" s="109">
        <f t="shared" si="17"/>
        <v>133380</v>
      </c>
      <c r="BO42" s="110" t="s">
        <v>902</v>
      </c>
    </row>
    <row r="43" spans="1:67" ht="34" x14ac:dyDescent="0.2">
      <c r="A43" s="105">
        <v>38</v>
      </c>
      <c r="B43" s="106" t="s">
        <v>66</v>
      </c>
      <c r="C43" s="106" t="s">
        <v>1230</v>
      </c>
      <c r="D43" s="105" t="s">
        <v>67</v>
      </c>
      <c r="E43" s="105">
        <v>20</v>
      </c>
      <c r="F43" s="45"/>
      <c r="G43" s="45"/>
      <c r="H43" s="45"/>
      <c r="I43" s="45"/>
      <c r="J43" s="45"/>
      <c r="K43" s="45"/>
      <c r="L43" s="35">
        <v>6000</v>
      </c>
      <c r="M43" s="34">
        <f>((L43*5.1%)+L43)</f>
        <v>6306</v>
      </c>
      <c r="N43" s="45"/>
      <c r="O43" s="45"/>
      <c r="P43" s="34">
        <v>6500</v>
      </c>
      <c r="Q43" s="34">
        <f>((P43*5.1%)+P43)</f>
        <v>6831.5</v>
      </c>
      <c r="R43" s="45"/>
      <c r="S43" s="45"/>
      <c r="T43" s="45"/>
      <c r="U43" s="45"/>
      <c r="V43" s="45"/>
      <c r="W43" s="45"/>
      <c r="X43" s="45"/>
      <c r="Y43" s="45"/>
      <c r="Z43" s="45"/>
      <c r="AA43" s="45"/>
      <c r="AB43" s="45"/>
      <c r="AC43" s="45"/>
      <c r="AD43" s="45"/>
      <c r="AE43" s="45"/>
      <c r="AF43" s="45"/>
      <c r="AG43" s="45"/>
      <c r="AH43" s="45"/>
      <c r="AI43" s="45"/>
      <c r="AJ43" s="45"/>
      <c r="AK43" s="45"/>
      <c r="AL43" s="45"/>
      <c r="AM43" s="45"/>
      <c r="AN43" s="45"/>
      <c r="AO43" s="45"/>
      <c r="AP43" s="45"/>
      <c r="AQ43" s="45"/>
      <c r="AR43" s="45"/>
      <c r="AS43" s="45"/>
      <c r="AT43" s="45"/>
      <c r="AU43" s="45"/>
      <c r="AV43" s="45"/>
      <c r="AW43" s="45"/>
      <c r="AX43" s="45"/>
      <c r="AY43" s="45"/>
      <c r="AZ43" s="45"/>
      <c r="BA43" s="45"/>
      <c r="BB43" s="45"/>
      <c r="BC43" s="45"/>
      <c r="BD43" s="45"/>
      <c r="BE43" s="45"/>
      <c r="BF43" s="45"/>
      <c r="BG43" s="107">
        <f t="shared" si="14"/>
        <v>6568.75</v>
      </c>
      <c r="BH43" s="107">
        <f t="shared" si="15"/>
        <v>6568.75</v>
      </c>
      <c r="BI43" s="108">
        <f t="shared" si="16"/>
        <v>371.58461351353071</v>
      </c>
      <c r="BJ43" s="65">
        <f t="shared" si="12"/>
        <v>5.6568542494923803E-2</v>
      </c>
      <c r="BK43" s="66">
        <f t="shared" si="10"/>
        <v>6569</v>
      </c>
      <c r="BL43" s="66">
        <v>0</v>
      </c>
      <c r="BM43" s="109">
        <f t="shared" si="13"/>
        <v>6569</v>
      </c>
      <c r="BN43" s="109">
        <f t="shared" si="17"/>
        <v>131380</v>
      </c>
      <c r="BO43" s="110" t="s">
        <v>903</v>
      </c>
    </row>
    <row r="44" spans="1:67" ht="34" x14ac:dyDescent="0.2">
      <c r="A44" s="105">
        <v>39</v>
      </c>
      <c r="B44" s="106" t="s">
        <v>68</v>
      </c>
      <c r="C44" s="106" t="s">
        <v>69</v>
      </c>
      <c r="D44" s="105" t="s">
        <v>7</v>
      </c>
      <c r="E44" s="105">
        <v>1000</v>
      </c>
      <c r="F44" s="34">
        <v>2300</v>
      </c>
      <c r="G44" s="13">
        <f t="shared" ref="G44:G62" si="18">F44+(F44*22.1%)</f>
        <v>2808.3</v>
      </c>
      <c r="H44" s="34">
        <v>2100</v>
      </c>
      <c r="I44" s="13">
        <f t="shared" ref="I44:I62" si="19">H44+(H44*22.1%)</f>
        <v>2564.1</v>
      </c>
      <c r="J44" s="45"/>
      <c r="K44" s="45"/>
      <c r="L44" s="45"/>
      <c r="M44" s="45"/>
      <c r="N44" s="45"/>
      <c r="O44" s="45"/>
      <c r="P44" s="45"/>
      <c r="Q44" s="45"/>
      <c r="R44" s="45"/>
      <c r="S44" s="45"/>
      <c r="T44" s="45"/>
      <c r="U44" s="45"/>
      <c r="V44" s="45"/>
      <c r="W44" s="45"/>
      <c r="X44" s="45"/>
      <c r="Y44" s="45"/>
      <c r="Z44" s="45"/>
      <c r="AA44" s="45"/>
      <c r="AB44" s="45"/>
      <c r="AC44" s="45"/>
      <c r="AD44" s="45"/>
      <c r="AE44" s="45"/>
      <c r="AF44" s="45"/>
      <c r="AG44" s="45"/>
      <c r="AH44" s="45"/>
      <c r="AI44" s="45"/>
      <c r="AJ44" s="45"/>
      <c r="AK44" s="45"/>
      <c r="AL44" s="45"/>
      <c r="AM44" s="45"/>
      <c r="AN44" s="45"/>
      <c r="AO44" s="45"/>
      <c r="AP44" s="45"/>
      <c r="AQ44" s="45"/>
      <c r="AR44" s="45"/>
      <c r="AS44" s="45"/>
      <c r="AT44" s="45"/>
      <c r="AU44" s="45"/>
      <c r="AV44" s="45"/>
      <c r="AW44" s="45"/>
      <c r="AX44" s="45"/>
      <c r="AY44" s="45"/>
      <c r="AZ44" s="45"/>
      <c r="BA44" s="45"/>
      <c r="BB44" s="45"/>
      <c r="BC44" s="45"/>
      <c r="BD44" s="45"/>
      <c r="BE44" s="45"/>
      <c r="BF44" s="45"/>
      <c r="BG44" s="107">
        <f t="shared" si="14"/>
        <v>2686.2</v>
      </c>
      <c r="BH44" s="107">
        <f t="shared" si="15"/>
        <v>2686.2</v>
      </c>
      <c r="BI44" s="108">
        <f t="shared" si="16"/>
        <v>172.67547596575508</v>
      </c>
      <c r="BJ44" s="65">
        <f t="shared" si="12"/>
        <v>6.4282434653322576E-2</v>
      </c>
      <c r="BK44" s="66">
        <f t="shared" si="10"/>
        <v>2687</v>
      </c>
      <c r="BL44" s="66">
        <v>0</v>
      </c>
      <c r="BM44" s="109">
        <f t="shared" si="13"/>
        <v>2687</v>
      </c>
      <c r="BN44" s="109">
        <f t="shared" si="17"/>
        <v>2687000</v>
      </c>
      <c r="BO44" s="110" t="s">
        <v>903</v>
      </c>
    </row>
    <row r="45" spans="1:67" ht="34" x14ac:dyDescent="0.2">
      <c r="A45" s="105">
        <v>40</v>
      </c>
      <c r="B45" s="106" t="s">
        <v>70</v>
      </c>
      <c r="C45" s="106" t="s">
        <v>71</v>
      </c>
      <c r="D45" s="105" t="s">
        <v>7</v>
      </c>
      <c r="E45" s="105">
        <v>1200</v>
      </c>
      <c r="F45" s="34">
        <v>4500</v>
      </c>
      <c r="G45" s="13">
        <f t="shared" si="18"/>
        <v>5494.5</v>
      </c>
      <c r="H45" s="34">
        <v>4800</v>
      </c>
      <c r="I45" s="13">
        <f t="shared" si="19"/>
        <v>5860.8</v>
      </c>
      <c r="J45" s="45"/>
      <c r="K45" s="45"/>
      <c r="L45" s="45"/>
      <c r="M45" s="45"/>
      <c r="N45" s="45"/>
      <c r="O45" s="45"/>
      <c r="P45" s="45"/>
      <c r="Q45" s="45"/>
      <c r="R45" s="45"/>
      <c r="S45" s="45"/>
      <c r="T45" s="45"/>
      <c r="U45" s="45"/>
      <c r="V45" s="45"/>
      <c r="W45" s="45"/>
      <c r="X45" s="45"/>
      <c r="Y45" s="45"/>
      <c r="Z45" s="45"/>
      <c r="AA45" s="45"/>
      <c r="AB45" s="45"/>
      <c r="AC45" s="45"/>
      <c r="AD45" s="45"/>
      <c r="AE45" s="45"/>
      <c r="AF45" s="45"/>
      <c r="AG45" s="45"/>
      <c r="AH45" s="45"/>
      <c r="AI45" s="45"/>
      <c r="AJ45" s="45"/>
      <c r="AK45" s="45"/>
      <c r="AL45" s="45"/>
      <c r="AM45" s="45"/>
      <c r="AN45" s="45"/>
      <c r="AO45" s="45"/>
      <c r="AP45" s="45"/>
      <c r="AQ45" s="45"/>
      <c r="AR45" s="45"/>
      <c r="AS45" s="45"/>
      <c r="AT45" s="45"/>
      <c r="AU45" s="45"/>
      <c r="AV45" s="45"/>
      <c r="AW45" s="45"/>
      <c r="AX45" s="45"/>
      <c r="AY45" s="45"/>
      <c r="AZ45" s="45"/>
      <c r="BA45" s="45"/>
      <c r="BB45" s="45"/>
      <c r="BC45" s="45"/>
      <c r="BD45" s="45"/>
      <c r="BE45" s="45"/>
      <c r="BF45" s="45"/>
      <c r="BG45" s="107">
        <f t="shared" si="14"/>
        <v>5677.65</v>
      </c>
      <c r="BH45" s="107">
        <f t="shared" si="15"/>
        <v>5677.65</v>
      </c>
      <c r="BI45" s="108">
        <f t="shared" si="16"/>
        <v>259.01321394863248</v>
      </c>
      <c r="BJ45" s="65">
        <f t="shared" si="12"/>
        <v>4.5619792334615994E-2</v>
      </c>
      <c r="BK45" s="66">
        <f t="shared" si="10"/>
        <v>5678</v>
      </c>
      <c r="BL45" s="66">
        <v>0</v>
      </c>
      <c r="BM45" s="109">
        <f t="shared" si="13"/>
        <v>5678</v>
      </c>
      <c r="BN45" s="109">
        <f t="shared" si="17"/>
        <v>6813600</v>
      </c>
      <c r="BO45" s="110" t="s">
        <v>903</v>
      </c>
    </row>
    <row r="46" spans="1:67" ht="34" x14ac:dyDescent="0.2">
      <c r="A46" s="105">
        <v>41</v>
      </c>
      <c r="B46" s="106" t="s">
        <v>72</v>
      </c>
      <c r="C46" s="106" t="s">
        <v>73</v>
      </c>
      <c r="D46" s="105" t="s">
        <v>7</v>
      </c>
      <c r="E46" s="105">
        <v>1000</v>
      </c>
      <c r="F46" s="34">
        <v>1700</v>
      </c>
      <c r="G46" s="13">
        <f t="shared" si="18"/>
        <v>2075.6999999999998</v>
      </c>
      <c r="H46" s="34">
        <v>1700</v>
      </c>
      <c r="I46" s="13">
        <f t="shared" si="19"/>
        <v>2075.6999999999998</v>
      </c>
      <c r="J46" s="45"/>
      <c r="K46" s="45"/>
      <c r="L46" s="45"/>
      <c r="M46" s="45"/>
      <c r="N46" s="45"/>
      <c r="O46" s="45"/>
      <c r="P46" s="45"/>
      <c r="Q46" s="45"/>
      <c r="R46" s="45"/>
      <c r="S46" s="45"/>
      <c r="T46" s="45"/>
      <c r="U46" s="45"/>
      <c r="V46" s="45"/>
      <c r="W46" s="45"/>
      <c r="X46" s="45"/>
      <c r="Y46" s="45"/>
      <c r="Z46" s="45"/>
      <c r="AA46" s="45"/>
      <c r="AB46" s="45"/>
      <c r="AC46" s="45"/>
      <c r="AD46" s="45"/>
      <c r="AE46" s="45"/>
      <c r="AF46" s="45"/>
      <c r="AG46" s="45"/>
      <c r="AH46" s="45"/>
      <c r="AI46" s="45"/>
      <c r="AJ46" s="45"/>
      <c r="AK46" s="45"/>
      <c r="AL46" s="45"/>
      <c r="AM46" s="45"/>
      <c r="AN46" s="45"/>
      <c r="AO46" s="45"/>
      <c r="AP46" s="45"/>
      <c r="AQ46" s="45"/>
      <c r="AR46" s="45"/>
      <c r="AS46" s="45"/>
      <c r="AT46" s="45"/>
      <c r="AU46" s="45"/>
      <c r="AV46" s="45"/>
      <c r="AW46" s="45"/>
      <c r="AX46" s="45"/>
      <c r="AY46" s="45"/>
      <c r="AZ46" s="45"/>
      <c r="BA46" s="45"/>
      <c r="BB46" s="45"/>
      <c r="BC46" s="45"/>
      <c r="BD46" s="45"/>
      <c r="BE46" s="45"/>
      <c r="BF46" s="45"/>
      <c r="BG46" s="107">
        <f t="shared" si="14"/>
        <v>2075.6999999999998</v>
      </c>
      <c r="BH46" s="107">
        <f t="shared" si="15"/>
        <v>2075.6999999999998</v>
      </c>
      <c r="BI46" s="108">
        <f t="shared" si="16"/>
        <v>0</v>
      </c>
      <c r="BJ46" s="65">
        <f t="shared" si="12"/>
        <v>0</v>
      </c>
      <c r="BK46" s="66">
        <f t="shared" si="10"/>
        <v>2076</v>
      </c>
      <c r="BL46" s="66">
        <v>0</v>
      </c>
      <c r="BM46" s="109">
        <f t="shared" si="13"/>
        <v>2076</v>
      </c>
      <c r="BN46" s="109">
        <f t="shared" si="17"/>
        <v>2076000</v>
      </c>
      <c r="BO46" s="110" t="s">
        <v>903</v>
      </c>
    </row>
    <row r="47" spans="1:67" ht="34" x14ac:dyDescent="0.2">
      <c r="A47" s="105">
        <v>42</v>
      </c>
      <c r="B47" s="106" t="s">
        <v>74</v>
      </c>
      <c r="C47" s="106" t="s">
        <v>75</v>
      </c>
      <c r="D47" s="105" t="s">
        <v>7</v>
      </c>
      <c r="E47" s="105">
        <v>1000</v>
      </c>
      <c r="F47" s="34">
        <v>1900</v>
      </c>
      <c r="G47" s="13">
        <f t="shared" si="18"/>
        <v>2319.9</v>
      </c>
      <c r="H47" s="34">
        <v>1700</v>
      </c>
      <c r="I47" s="13">
        <f t="shared" si="19"/>
        <v>2075.6999999999998</v>
      </c>
      <c r="J47" s="45"/>
      <c r="K47" s="45"/>
      <c r="L47" s="45"/>
      <c r="M47" s="45"/>
      <c r="N47" s="45"/>
      <c r="O47" s="45"/>
      <c r="P47" s="45"/>
      <c r="Q47" s="45"/>
      <c r="R47" s="45"/>
      <c r="S47" s="45"/>
      <c r="T47" s="45"/>
      <c r="U47" s="45"/>
      <c r="V47" s="45"/>
      <c r="W47" s="45"/>
      <c r="X47" s="45"/>
      <c r="Y47" s="45"/>
      <c r="Z47" s="45"/>
      <c r="AA47" s="45"/>
      <c r="AB47" s="45"/>
      <c r="AC47" s="45"/>
      <c r="AD47" s="45"/>
      <c r="AE47" s="45"/>
      <c r="AF47" s="45"/>
      <c r="AG47" s="45"/>
      <c r="AH47" s="45"/>
      <c r="AI47" s="45"/>
      <c r="AJ47" s="45"/>
      <c r="AK47" s="45"/>
      <c r="AL47" s="45"/>
      <c r="AM47" s="45"/>
      <c r="AN47" s="45"/>
      <c r="AO47" s="45"/>
      <c r="AP47" s="45"/>
      <c r="AQ47" s="45"/>
      <c r="AR47" s="45"/>
      <c r="AS47" s="45"/>
      <c r="AT47" s="45"/>
      <c r="AU47" s="45"/>
      <c r="AV47" s="45"/>
      <c r="AW47" s="45"/>
      <c r="AX47" s="45"/>
      <c r="AY47" s="45"/>
      <c r="AZ47" s="45"/>
      <c r="BA47" s="45"/>
      <c r="BB47" s="45"/>
      <c r="BC47" s="45"/>
      <c r="BD47" s="45"/>
      <c r="BE47" s="45"/>
      <c r="BF47" s="45"/>
      <c r="BG47" s="107">
        <f t="shared" si="14"/>
        <v>2197.8000000000002</v>
      </c>
      <c r="BH47" s="107">
        <f t="shared" si="15"/>
        <v>2197.8000000000002</v>
      </c>
      <c r="BI47" s="108">
        <f t="shared" si="16"/>
        <v>172.67547596575508</v>
      </c>
      <c r="BJ47" s="65">
        <f t="shared" si="12"/>
        <v>7.8567420131838692E-2</v>
      </c>
      <c r="BK47" s="66">
        <f t="shared" si="10"/>
        <v>2198</v>
      </c>
      <c r="BL47" s="66">
        <v>0</v>
      </c>
      <c r="BM47" s="109">
        <f t="shared" si="13"/>
        <v>2198</v>
      </c>
      <c r="BN47" s="109">
        <f t="shared" si="17"/>
        <v>2198000</v>
      </c>
      <c r="BO47" s="110" t="s">
        <v>903</v>
      </c>
    </row>
    <row r="48" spans="1:67" ht="34" x14ac:dyDescent="0.2">
      <c r="A48" s="105">
        <v>43</v>
      </c>
      <c r="B48" s="106" t="s">
        <v>76</v>
      </c>
      <c r="C48" s="106" t="s">
        <v>77</v>
      </c>
      <c r="D48" s="105" t="s">
        <v>7</v>
      </c>
      <c r="E48" s="105">
        <v>1000</v>
      </c>
      <c r="F48" s="34">
        <v>1800</v>
      </c>
      <c r="G48" s="13">
        <f t="shared" si="18"/>
        <v>2197.8000000000002</v>
      </c>
      <c r="H48" s="34">
        <v>2000</v>
      </c>
      <c r="I48" s="13">
        <f t="shared" si="19"/>
        <v>2442</v>
      </c>
      <c r="J48" s="45"/>
      <c r="K48" s="45"/>
      <c r="L48" s="45"/>
      <c r="M48" s="45"/>
      <c r="N48" s="45"/>
      <c r="O48" s="45"/>
      <c r="P48" s="45"/>
      <c r="Q48" s="45"/>
      <c r="R48" s="45"/>
      <c r="S48" s="45"/>
      <c r="T48" s="34"/>
      <c r="U48" s="45"/>
      <c r="V48" s="45"/>
      <c r="W48" s="45"/>
      <c r="X48" s="45"/>
      <c r="Y48" s="45"/>
      <c r="Z48" s="45"/>
      <c r="AA48" s="45"/>
      <c r="AB48" s="45"/>
      <c r="AC48" s="45"/>
      <c r="AD48" s="45"/>
      <c r="AE48" s="45"/>
      <c r="AF48" s="45"/>
      <c r="AG48" s="45"/>
      <c r="AH48" s="45"/>
      <c r="AI48" s="45"/>
      <c r="AJ48" s="45"/>
      <c r="AK48" s="45"/>
      <c r="AL48" s="45"/>
      <c r="AM48" s="45"/>
      <c r="AN48" s="45"/>
      <c r="AO48" s="45"/>
      <c r="AP48" s="45"/>
      <c r="AQ48" s="45"/>
      <c r="AR48" s="45"/>
      <c r="AS48" s="45"/>
      <c r="AT48" s="45"/>
      <c r="AU48" s="45"/>
      <c r="AV48" s="45"/>
      <c r="AW48" s="45"/>
      <c r="AX48" s="45"/>
      <c r="AY48" s="45"/>
      <c r="AZ48" s="45"/>
      <c r="BA48" s="45"/>
      <c r="BB48" s="45"/>
      <c r="BC48" s="45"/>
      <c r="BD48" s="45"/>
      <c r="BE48" s="45"/>
      <c r="BF48" s="45"/>
      <c r="BG48" s="107">
        <f t="shared" si="14"/>
        <v>2319.9</v>
      </c>
      <c r="BH48" s="107">
        <f t="shared" si="15"/>
        <v>2319.9</v>
      </c>
      <c r="BI48" s="108">
        <f t="shared" si="16"/>
        <v>172.67547596575477</v>
      </c>
      <c r="BJ48" s="65">
        <f t="shared" si="12"/>
        <v>7.4432292756478627E-2</v>
      </c>
      <c r="BK48" s="66">
        <f t="shared" si="10"/>
        <v>2320</v>
      </c>
      <c r="BL48" s="66">
        <v>0</v>
      </c>
      <c r="BM48" s="109">
        <f t="shared" si="13"/>
        <v>2320</v>
      </c>
      <c r="BN48" s="109">
        <f t="shared" si="17"/>
        <v>2320000</v>
      </c>
      <c r="BO48" s="110" t="s">
        <v>903</v>
      </c>
    </row>
    <row r="49" spans="1:67" ht="34" x14ac:dyDescent="0.2">
      <c r="A49" s="105">
        <v>44</v>
      </c>
      <c r="B49" s="106" t="s">
        <v>78</v>
      </c>
      <c r="C49" s="106" t="s">
        <v>79</v>
      </c>
      <c r="D49" s="105" t="s">
        <v>7</v>
      </c>
      <c r="E49" s="105">
        <v>1000</v>
      </c>
      <c r="F49" s="34">
        <v>2000</v>
      </c>
      <c r="G49" s="13">
        <f t="shared" si="18"/>
        <v>2442</v>
      </c>
      <c r="H49" s="34">
        <v>1900</v>
      </c>
      <c r="I49" s="13">
        <f t="shared" si="19"/>
        <v>2319.9</v>
      </c>
      <c r="J49" s="45"/>
      <c r="K49" s="45"/>
      <c r="L49" s="45"/>
      <c r="M49" s="45"/>
      <c r="N49" s="45"/>
      <c r="O49" s="45"/>
      <c r="P49" s="45"/>
      <c r="Q49" s="45"/>
      <c r="R49" s="45"/>
      <c r="S49" s="45"/>
      <c r="T49" s="34"/>
      <c r="U49" s="34"/>
      <c r="V49" s="45"/>
      <c r="W49" s="45"/>
      <c r="X49" s="45"/>
      <c r="Y49" s="45"/>
      <c r="Z49" s="45"/>
      <c r="AA49" s="45"/>
      <c r="AB49" s="45"/>
      <c r="AC49" s="45"/>
      <c r="AD49" s="45"/>
      <c r="AE49" s="45"/>
      <c r="AF49" s="45"/>
      <c r="AG49" s="45"/>
      <c r="AH49" s="45"/>
      <c r="AI49" s="45"/>
      <c r="AJ49" s="45"/>
      <c r="AK49" s="45"/>
      <c r="AL49" s="45"/>
      <c r="AM49" s="45"/>
      <c r="AN49" s="45"/>
      <c r="AO49" s="45"/>
      <c r="AP49" s="45"/>
      <c r="AQ49" s="45"/>
      <c r="AR49" s="45"/>
      <c r="AS49" s="45"/>
      <c r="AT49" s="45"/>
      <c r="AU49" s="45"/>
      <c r="AV49" s="45"/>
      <c r="AW49" s="45"/>
      <c r="AX49" s="45"/>
      <c r="AY49" s="45"/>
      <c r="AZ49" s="45"/>
      <c r="BA49" s="45"/>
      <c r="BB49" s="45"/>
      <c r="BC49" s="45"/>
      <c r="BD49" s="45"/>
      <c r="BE49" s="45"/>
      <c r="BF49" s="45"/>
      <c r="BG49" s="107">
        <f t="shared" si="14"/>
        <v>2380.9499999999998</v>
      </c>
      <c r="BH49" s="107">
        <f t="shared" si="15"/>
        <v>2380.9499999999998</v>
      </c>
      <c r="BI49" s="108">
        <f t="shared" si="16"/>
        <v>86.337737982877385</v>
      </c>
      <c r="BJ49" s="65">
        <f t="shared" si="12"/>
        <v>3.626188621469472E-2</v>
      </c>
      <c r="BK49" s="66">
        <f t="shared" si="10"/>
        <v>2381</v>
      </c>
      <c r="BL49" s="66">
        <v>0</v>
      </c>
      <c r="BM49" s="109">
        <f t="shared" si="13"/>
        <v>2381</v>
      </c>
      <c r="BN49" s="109">
        <f t="shared" si="17"/>
        <v>2381000</v>
      </c>
      <c r="BO49" s="110" t="s">
        <v>903</v>
      </c>
    </row>
    <row r="50" spans="1:67" ht="34" x14ac:dyDescent="0.2">
      <c r="A50" s="105">
        <v>45</v>
      </c>
      <c r="B50" s="106" t="s">
        <v>80</v>
      </c>
      <c r="C50" s="106" t="s">
        <v>81</v>
      </c>
      <c r="D50" s="105" t="s">
        <v>7</v>
      </c>
      <c r="E50" s="105">
        <v>1000</v>
      </c>
      <c r="F50" s="34">
        <v>1700</v>
      </c>
      <c r="G50" s="13">
        <f t="shared" si="18"/>
        <v>2075.6999999999998</v>
      </c>
      <c r="H50" s="34">
        <v>2000</v>
      </c>
      <c r="I50" s="13">
        <f t="shared" si="19"/>
        <v>2442</v>
      </c>
      <c r="J50" s="45"/>
      <c r="K50" s="45"/>
      <c r="L50" s="45"/>
      <c r="M50" s="45"/>
      <c r="N50" s="45"/>
      <c r="O50" s="45"/>
      <c r="P50" s="45"/>
      <c r="Q50" s="45"/>
      <c r="R50" s="45"/>
      <c r="S50" s="45"/>
      <c r="T50" s="34"/>
      <c r="U50" s="45"/>
      <c r="V50" s="45"/>
      <c r="W50" s="45"/>
      <c r="X50" s="45"/>
      <c r="Y50" s="45"/>
      <c r="Z50" s="45"/>
      <c r="AA50" s="45"/>
      <c r="AB50" s="45"/>
      <c r="AC50" s="45"/>
      <c r="AD50" s="45"/>
      <c r="AE50" s="45"/>
      <c r="AF50" s="45"/>
      <c r="AG50" s="45"/>
      <c r="AH50" s="45"/>
      <c r="AI50" s="45"/>
      <c r="AJ50" s="45"/>
      <c r="AK50" s="45"/>
      <c r="AL50" s="45"/>
      <c r="AM50" s="45"/>
      <c r="AN50" s="45"/>
      <c r="AO50" s="45"/>
      <c r="AP50" s="45"/>
      <c r="AQ50" s="45"/>
      <c r="AR50" s="45"/>
      <c r="AS50" s="45"/>
      <c r="AT50" s="45"/>
      <c r="AU50" s="45"/>
      <c r="AV50" s="45"/>
      <c r="AW50" s="45"/>
      <c r="AX50" s="45"/>
      <c r="AY50" s="45"/>
      <c r="AZ50" s="45"/>
      <c r="BA50" s="45"/>
      <c r="BB50" s="45"/>
      <c r="BC50" s="45"/>
      <c r="BD50" s="45"/>
      <c r="BE50" s="45"/>
      <c r="BF50" s="45"/>
      <c r="BG50" s="107">
        <f t="shared" si="14"/>
        <v>2258.85</v>
      </c>
      <c r="BH50" s="107">
        <f t="shared" si="15"/>
        <v>2258.85</v>
      </c>
      <c r="BI50" s="108">
        <f t="shared" si="16"/>
        <v>259.01321394863248</v>
      </c>
      <c r="BJ50" s="65">
        <f t="shared" si="12"/>
        <v>0.1146659645167375</v>
      </c>
      <c r="BK50" s="66">
        <f t="shared" si="10"/>
        <v>2259</v>
      </c>
      <c r="BL50" s="66">
        <v>0</v>
      </c>
      <c r="BM50" s="109">
        <f t="shared" si="13"/>
        <v>2259</v>
      </c>
      <c r="BN50" s="109">
        <f t="shared" si="17"/>
        <v>2259000</v>
      </c>
      <c r="BO50" s="110" t="s">
        <v>903</v>
      </c>
    </row>
    <row r="51" spans="1:67" ht="34" x14ac:dyDescent="0.2">
      <c r="A51" s="105">
        <v>46</v>
      </c>
      <c r="B51" s="106" t="s">
        <v>82</v>
      </c>
      <c r="C51" s="106" t="s">
        <v>83</v>
      </c>
      <c r="D51" s="105" t="s">
        <v>7</v>
      </c>
      <c r="E51" s="105">
        <v>1600</v>
      </c>
      <c r="F51" s="34">
        <v>1700</v>
      </c>
      <c r="G51" s="13">
        <f t="shared" si="18"/>
        <v>2075.6999999999998</v>
      </c>
      <c r="H51" s="34">
        <v>1700</v>
      </c>
      <c r="I51" s="13">
        <f t="shared" si="19"/>
        <v>2075.6999999999998</v>
      </c>
      <c r="J51" s="45"/>
      <c r="K51" s="45"/>
      <c r="L51" s="45"/>
      <c r="M51" s="45"/>
      <c r="N51" s="45"/>
      <c r="O51" s="45"/>
      <c r="P51" s="45"/>
      <c r="Q51" s="45"/>
      <c r="R51" s="45"/>
      <c r="S51" s="45"/>
      <c r="T51" s="34"/>
      <c r="U51" s="34"/>
      <c r="V51" s="34">
        <v>1700</v>
      </c>
      <c r="W51" s="34">
        <f>V51+(V51*22.1%)</f>
        <v>2075.6999999999998</v>
      </c>
      <c r="X51" s="45"/>
      <c r="Y51" s="45"/>
      <c r="Z51" s="45"/>
      <c r="AA51" s="45"/>
      <c r="AB51" s="45"/>
      <c r="AC51" s="45"/>
      <c r="AD51" s="45"/>
      <c r="AE51" s="45"/>
      <c r="AF51" s="45"/>
      <c r="AG51" s="45"/>
      <c r="AH51" s="45"/>
      <c r="AI51" s="45"/>
      <c r="AJ51" s="45"/>
      <c r="AK51" s="45"/>
      <c r="AL51" s="45"/>
      <c r="AM51" s="45"/>
      <c r="AN51" s="45"/>
      <c r="AO51" s="45"/>
      <c r="AP51" s="45"/>
      <c r="AQ51" s="45"/>
      <c r="AR51" s="45"/>
      <c r="AS51" s="45"/>
      <c r="AT51" s="45"/>
      <c r="AU51" s="45"/>
      <c r="AV51" s="45"/>
      <c r="AW51" s="45"/>
      <c r="AX51" s="45"/>
      <c r="AY51" s="45"/>
      <c r="AZ51" s="45"/>
      <c r="BA51" s="45"/>
      <c r="BB51" s="45"/>
      <c r="BC51" s="45"/>
      <c r="BD51" s="45"/>
      <c r="BE51" s="45"/>
      <c r="BF51" s="45"/>
      <c r="BG51" s="107">
        <f t="shared" si="14"/>
        <v>2075.6999999999998</v>
      </c>
      <c r="BH51" s="107">
        <f t="shared" si="15"/>
        <v>2075.6999999999998</v>
      </c>
      <c r="BI51" s="108">
        <f t="shared" si="16"/>
        <v>0</v>
      </c>
      <c r="BJ51" s="65">
        <f t="shared" si="12"/>
        <v>0</v>
      </c>
      <c r="BK51" s="66">
        <f t="shared" si="10"/>
        <v>2076</v>
      </c>
      <c r="BL51" s="66">
        <v>0</v>
      </c>
      <c r="BM51" s="109">
        <f t="shared" si="13"/>
        <v>2076</v>
      </c>
      <c r="BN51" s="109">
        <f t="shared" si="17"/>
        <v>3321600</v>
      </c>
      <c r="BO51" s="110" t="s">
        <v>902</v>
      </c>
    </row>
    <row r="52" spans="1:67" ht="34" x14ac:dyDescent="0.2">
      <c r="A52" s="105">
        <v>47</v>
      </c>
      <c r="B52" s="106" t="s">
        <v>84</v>
      </c>
      <c r="C52" s="106" t="s">
        <v>85</v>
      </c>
      <c r="D52" s="105" t="s">
        <v>7</v>
      </c>
      <c r="E52" s="105">
        <v>1600</v>
      </c>
      <c r="F52" s="34">
        <v>1700</v>
      </c>
      <c r="G52" s="13">
        <f t="shared" si="18"/>
        <v>2075.6999999999998</v>
      </c>
      <c r="H52" s="34">
        <v>1700</v>
      </c>
      <c r="I52" s="13">
        <f t="shared" si="19"/>
        <v>2075.6999999999998</v>
      </c>
      <c r="J52" s="45"/>
      <c r="K52" s="45"/>
      <c r="L52" s="45"/>
      <c r="M52" s="45"/>
      <c r="N52" s="45"/>
      <c r="O52" s="45"/>
      <c r="P52" s="45"/>
      <c r="Q52" s="45"/>
      <c r="R52" s="45"/>
      <c r="S52" s="45"/>
      <c r="T52" s="34"/>
      <c r="U52" s="34"/>
      <c r="V52" s="34">
        <v>1700</v>
      </c>
      <c r="W52" s="34">
        <f>V52+(V52*22.1%)</f>
        <v>2075.6999999999998</v>
      </c>
      <c r="X52" s="45"/>
      <c r="Y52" s="45"/>
      <c r="Z52" s="45"/>
      <c r="AA52" s="45"/>
      <c r="AB52" s="45"/>
      <c r="AC52" s="45"/>
      <c r="AD52" s="45"/>
      <c r="AE52" s="45"/>
      <c r="AF52" s="45"/>
      <c r="AG52" s="45"/>
      <c r="AH52" s="45"/>
      <c r="AI52" s="45"/>
      <c r="AJ52" s="45"/>
      <c r="AK52" s="45"/>
      <c r="AL52" s="45"/>
      <c r="AM52" s="45"/>
      <c r="AN52" s="45"/>
      <c r="AO52" s="45"/>
      <c r="AP52" s="45"/>
      <c r="AQ52" s="45"/>
      <c r="AR52" s="45"/>
      <c r="AS52" s="45"/>
      <c r="AT52" s="45"/>
      <c r="AU52" s="45"/>
      <c r="AV52" s="45"/>
      <c r="AW52" s="45"/>
      <c r="AX52" s="45"/>
      <c r="AY52" s="45"/>
      <c r="AZ52" s="45"/>
      <c r="BA52" s="45"/>
      <c r="BB52" s="45"/>
      <c r="BC52" s="45"/>
      <c r="BD52" s="45"/>
      <c r="BE52" s="45"/>
      <c r="BF52" s="45"/>
      <c r="BG52" s="107">
        <f t="shared" si="14"/>
        <v>2075.6999999999998</v>
      </c>
      <c r="BH52" s="107">
        <f t="shared" si="15"/>
        <v>2075.6999999999998</v>
      </c>
      <c r="BI52" s="108">
        <f t="shared" si="16"/>
        <v>0</v>
      </c>
      <c r="BJ52" s="65">
        <f t="shared" si="12"/>
        <v>0</v>
      </c>
      <c r="BK52" s="66">
        <f t="shared" si="10"/>
        <v>2076</v>
      </c>
      <c r="BL52" s="66">
        <v>0</v>
      </c>
      <c r="BM52" s="109">
        <f t="shared" si="13"/>
        <v>2076</v>
      </c>
      <c r="BN52" s="109">
        <f t="shared" si="17"/>
        <v>3321600</v>
      </c>
      <c r="BO52" s="110" t="s">
        <v>902</v>
      </c>
    </row>
    <row r="53" spans="1:67" ht="34" x14ac:dyDescent="0.2">
      <c r="A53" s="105">
        <v>48</v>
      </c>
      <c r="B53" s="106" t="s">
        <v>86</v>
      </c>
      <c r="C53" s="106" t="s">
        <v>87</v>
      </c>
      <c r="D53" s="105" t="s">
        <v>7</v>
      </c>
      <c r="E53" s="105">
        <v>400</v>
      </c>
      <c r="F53" s="34">
        <v>1700</v>
      </c>
      <c r="G53" s="13">
        <f t="shared" si="18"/>
        <v>2075.6999999999998</v>
      </c>
      <c r="H53" s="34">
        <v>1700</v>
      </c>
      <c r="I53" s="13">
        <f t="shared" si="19"/>
        <v>2075.6999999999998</v>
      </c>
      <c r="J53" s="45"/>
      <c r="K53" s="45"/>
      <c r="L53" s="45"/>
      <c r="M53" s="45"/>
      <c r="N53" s="45"/>
      <c r="O53" s="45"/>
      <c r="P53" s="45"/>
      <c r="Q53" s="45"/>
      <c r="R53" s="45"/>
      <c r="S53" s="45"/>
      <c r="T53" s="34"/>
      <c r="U53" s="34"/>
      <c r="V53" s="34">
        <v>1700</v>
      </c>
      <c r="W53" s="34">
        <f>V53+(V53*22.1%)</f>
        <v>2075.6999999999998</v>
      </c>
      <c r="X53" s="45"/>
      <c r="Y53" s="45"/>
      <c r="Z53" s="45"/>
      <c r="AA53" s="45"/>
      <c r="AB53" s="45"/>
      <c r="AC53" s="45"/>
      <c r="AD53" s="45"/>
      <c r="AE53" s="45"/>
      <c r="AF53" s="45"/>
      <c r="AG53" s="45"/>
      <c r="AH53" s="45"/>
      <c r="AI53" s="45"/>
      <c r="AJ53" s="45"/>
      <c r="AK53" s="45"/>
      <c r="AL53" s="45"/>
      <c r="AM53" s="45"/>
      <c r="AN53" s="45"/>
      <c r="AO53" s="45"/>
      <c r="AP53" s="45"/>
      <c r="AQ53" s="45"/>
      <c r="AR53" s="45"/>
      <c r="AS53" s="45"/>
      <c r="AT53" s="45"/>
      <c r="AU53" s="45"/>
      <c r="AV53" s="45"/>
      <c r="AW53" s="45"/>
      <c r="AX53" s="45"/>
      <c r="AY53" s="45"/>
      <c r="AZ53" s="45"/>
      <c r="BA53" s="45"/>
      <c r="BB53" s="45"/>
      <c r="BC53" s="45"/>
      <c r="BD53" s="45"/>
      <c r="BE53" s="45"/>
      <c r="BF53" s="45"/>
      <c r="BG53" s="107">
        <f t="shared" si="14"/>
        <v>2075.6999999999998</v>
      </c>
      <c r="BH53" s="107">
        <f t="shared" si="15"/>
        <v>2075.6999999999998</v>
      </c>
      <c r="BI53" s="108">
        <f t="shared" si="16"/>
        <v>0</v>
      </c>
      <c r="BJ53" s="65">
        <f t="shared" si="12"/>
        <v>0</v>
      </c>
      <c r="BK53" s="66">
        <f t="shared" si="10"/>
        <v>2076</v>
      </c>
      <c r="BL53" s="66">
        <v>0</v>
      </c>
      <c r="BM53" s="109">
        <f t="shared" si="13"/>
        <v>2076</v>
      </c>
      <c r="BN53" s="109">
        <f t="shared" si="17"/>
        <v>830400</v>
      </c>
      <c r="BO53" s="110" t="s">
        <v>902</v>
      </c>
    </row>
    <row r="54" spans="1:67" ht="34" x14ac:dyDescent="0.2">
      <c r="A54" s="105">
        <v>49</v>
      </c>
      <c r="B54" s="106" t="s">
        <v>88</v>
      </c>
      <c r="C54" s="106" t="s">
        <v>89</v>
      </c>
      <c r="D54" s="105" t="s">
        <v>7</v>
      </c>
      <c r="E54" s="105">
        <v>1600</v>
      </c>
      <c r="F54" s="34">
        <v>1700</v>
      </c>
      <c r="G54" s="13">
        <f t="shared" si="18"/>
        <v>2075.6999999999998</v>
      </c>
      <c r="H54" s="34">
        <v>1700</v>
      </c>
      <c r="I54" s="13">
        <f t="shared" si="19"/>
        <v>2075.6999999999998</v>
      </c>
      <c r="J54" s="45"/>
      <c r="K54" s="45"/>
      <c r="L54" s="45"/>
      <c r="M54" s="45"/>
      <c r="N54" s="45"/>
      <c r="O54" s="45"/>
      <c r="P54" s="45"/>
      <c r="Q54" s="45"/>
      <c r="R54" s="45"/>
      <c r="S54" s="45"/>
      <c r="T54" s="34"/>
      <c r="U54" s="45"/>
      <c r="V54" s="34">
        <v>1700</v>
      </c>
      <c r="W54" s="34">
        <f>V54+(V54*22.1%)</f>
        <v>2075.6999999999998</v>
      </c>
      <c r="X54" s="45"/>
      <c r="Y54" s="45"/>
      <c r="Z54" s="45"/>
      <c r="AA54" s="45"/>
      <c r="AB54" s="45"/>
      <c r="AC54" s="45"/>
      <c r="AD54" s="45"/>
      <c r="AE54" s="45"/>
      <c r="AF54" s="45"/>
      <c r="AG54" s="45"/>
      <c r="AH54" s="45"/>
      <c r="AI54" s="45"/>
      <c r="AJ54" s="45"/>
      <c r="AK54" s="45"/>
      <c r="AL54" s="45"/>
      <c r="AM54" s="45"/>
      <c r="AN54" s="45"/>
      <c r="AO54" s="45"/>
      <c r="AP54" s="45"/>
      <c r="AQ54" s="45"/>
      <c r="AR54" s="45"/>
      <c r="AS54" s="45"/>
      <c r="AT54" s="45"/>
      <c r="AU54" s="45"/>
      <c r="AV54" s="45"/>
      <c r="AW54" s="45"/>
      <c r="AX54" s="45"/>
      <c r="AY54" s="45"/>
      <c r="AZ54" s="45"/>
      <c r="BA54" s="45"/>
      <c r="BB54" s="45"/>
      <c r="BC54" s="45"/>
      <c r="BD54" s="45"/>
      <c r="BE54" s="45"/>
      <c r="BF54" s="45"/>
      <c r="BG54" s="107">
        <f t="shared" si="14"/>
        <v>2075.6999999999998</v>
      </c>
      <c r="BH54" s="107">
        <f t="shared" si="15"/>
        <v>2075.6999999999998</v>
      </c>
      <c r="BI54" s="108">
        <f t="shared" si="16"/>
        <v>0</v>
      </c>
      <c r="BJ54" s="65">
        <f t="shared" si="12"/>
        <v>0</v>
      </c>
      <c r="BK54" s="66">
        <f t="shared" si="10"/>
        <v>2076</v>
      </c>
      <c r="BL54" s="66">
        <v>0</v>
      </c>
      <c r="BM54" s="109">
        <f t="shared" si="13"/>
        <v>2076</v>
      </c>
      <c r="BN54" s="109">
        <f t="shared" si="17"/>
        <v>3321600</v>
      </c>
      <c r="BO54" s="110" t="s">
        <v>903</v>
      </c>
    </row>
    <row r="55" spans="1:67" ht="34" x14ac:dyDescent="0.2">
      <c r="A55" s="105">
        <v>50</v>
      </c>
      <c r="B55" s="106" t="s">
        <v>90</v>
      </c>
      <c r="C55" s="106" t="s">
        <v>91</v>
      </c>
      <c r="D55" s="105" t="s">
        <v>7</v>
      </c>
      <c r="E55" s="105">
        <v>1600</v>
      </c>
      <c r="F55" s="34">
        <v>1700</v>
      </c>
      <c r="G55" s="13">
        <f t="shared" si="18"/>
        <v>2075.6999999999998</v>
      </c>
      <c r="H55" s="34">
        <v>1700</v>
      </c>
      <c r="I55" s="13">
        <f t="shared" si="19"/>
        <v>2075.6999999999998</v>
      </c>
      <c r="J55" s="45"/>
      <c r="K55" s="45"/>
      <c r="L55" s="45"/>
      <c r="M55" s="45"/>
      <c r="N55" s="45"/>
      <c r="O55" s="45"/>
      <c r="P55" s="45"/>
      <c r="Q55" s="45"/>
      <c r="R55" s="45"/>
      <c r="S55" s="45"/>
      <c r="T55" s="34"/>
      <c r="U55" s="34"/>
      <c r="V55" s="34">
        <v>1700</v>
      </c>
      <c r="W55" s="34">
        <f>V55+(V55*22.1%)</f>
        <v>2075.6999999999998</v>
      </c>
      <c r="X55" s="45"/>
      <c r="Y55" s="45"/>
      <c r="Z55" s="45"/>
      <c r="AA55" s="45"/>
      <c r="AB55" s="45"/>
      <c r="AC55" s="45"/>
      <c r="AD55" s="45"/>
      <c r="AE55" s="45"/>
      <c r="AF55" s="45"/>
      <c r="AG55" s="45"/>
      <c r="AH55" s="45"/>
      <c r="AI55" s="45"/>
      <c r="AJ55" s="45"/>
      <c r="AK55" s="45"/>
      <c r="AL55" s="45"/>
      <c r="AM55" s="45"/>
      <c r="AN55" s="45"/>
      <c r="AO55" s="45"/>
      <c r="AP55" s="45"/>
      <c r="AQ55" s="45"/>
      <c r="AR55" s="45"/>
      <c r="AS55" s="45"/>
      <c r="AT55" s="45"/>
      <c r="AU55" s="45"/>
      <c r="AV55" s="45"/>
      <c r="AW55" s="45"/>
      <c r="AX55" s="45"/>
      <c r="AY55" s="45"/>
      <c r="AZ55" s="45"/>
      <c r="BA55" s="45"/>
      <c r="BB55" s="45"/>
      <c r="BC55" s="45"/>
      <c r="BD55" s="45"/>
      <c r="BE55" s="45"/>
      <c r="BF55" s="45"/>
      <c r="BG55" s="107">
        <f t="shared" si="14"/>
        <v>2075.6999999999998</v>
      </c>
      <c r="BH55" s="107">
        <f t="shared" si="15"/>
        <v>2075.6999999999998</v>
      </c>
      <c r="BI55" s="108">
        <f t="shared" si="16"/>
        <v>0</v>
      </c>
      <c r="BJ55" s="65">
        <f t="shared" si="12"/>
        <v>0</v>
      </c>
      <c r="BK55" s="66">
        <f t="shared" si="10"/>
        <v>2076</v>
      </c>
      <c r="BL55" s="66">
        <v>0</v>
      </c>
      <c r="BM55" s="109">
        <f t="shared" si="13"/>
        <v>2076</v>
      </c>
      <c r="BN55" s="109">
        <f t="shared" si="17"/>
        <v>3321600</v>
      </c>
      <c r="BO55" s="110" t="s">
        <v>902</v>
      </c>
    </row>
    <row r="56" spans="1:67" ht="34" x14ac:dyDescent="0.2">
      <c r="A56" s="105">
        <v>51</v>
      </c>
      <c r="B56" s="106" t="s">
        <v>92</v>
      </c>
      <c r="C56" s="106" t="s">
        <v>93</v>
      </c>
      <c r="D56" s="105" t="s">
        <v>7</v>
      </c>
      <c r="E56" s="105">
        <v>1000</v>
      </c>
      <c r="F56" s="34">
        <v>1600</v>
      </c>
      <c r="G56" s="13">
        <f t="shared" si="18"/>
        <v>1953.6</v>
      </c>
      <c r="H56" s="34">
        <v>1800</v>
      </c>
      <c r="I56" s="13">
        <f t="shared" si="19"/>
        <v>2197.8000000000002</v>
      </c>
      <c r="J56" s="45"/>
      <c r="K56" s="45"/>
      <c r="L56" s="45"/>
      <c r="M56" s="45"/>
      <c r="N56" s="45"/>
      <c r="O56" s="45"/>
      <c r="P56" s="45"/>
      <c r="Q56" s="45"/>
      <c r="R56" s="45"/>
      <c r="S56" s="45"/>
      <c r="T56" s="34"/>
      <c r="U56" s="34"/>
      <c r="V56" s="34"/>
      <c r="W56" s="45"/>
      <c r="X56" s="45"/>
      <c r="Y56" s="45"/>
      <c r="Z56" s="45"/>
      <c r="AA56" s="45"/>
      <c r="AB56" s="45"/>
      <c r="AC56" s="45"/>
      <c r="AD56" s="45"/>
      <c r="AE56" s="45"/>
      <c r="AF56" s="45"/>
      <c r="AG56" s="45"/>
      <c r="AH56" s="45"/>
      <c r="AI56" s="45"/>
      <c r="AJ56" s="45"/>
      <c r="AK56" s="45"/>
      <c r="AL56" s="45"/>
      <c r="AM56" s="45"/>
      <c r="AN56" s="45"/>
      <c r="AO56" s="45"/>
      <c r="AP56" s="45"/>
      <c r="AQ56" s="45"/>
      <c r="AR56" s="45"/>
      <c r="AS56" s="45"/>
      <c r="AT56" s="45"/>
      <c r="AU56" s="45"/>
      <c r="AV56" s="45"/>
      <c r="AW56" s="45"/>
      <c r="AX56" s="45"/>
      <c r="AY56" s="45"/>
      <c r="AZ56" s="45"/>
      <c r="BA56" s="45"/>
      <c r="BB56" s="45"/>
      <c r="BC56" s="45"/>
      <c r="BD56" s="45"/>
      <c r="BE56" s="45"/>
      <c r="BF56" s="45"/>
      <c r="BG56" s="107">
        <f t="shared" si="14"/>
        <v>2075.6999999999998</v>
      </c>
      <c r="BH56" s="107">
        <f t="shared" si="15"/>
        <v>2075.6999999999998</v>
      </c>
      <c r="BI56" s="108">
        <f t="shared" si="16"/>
        <v>172.67547596575508</v>
      </c>
      <c r="BJ56" s="65">
        <f t="shared" si="12"/>
        <v>8.3189033080770386E-2</v>
      </c>
      <c r="BK56" s="66">
        <f t="shared" si="10"/>
        <v>2076</v>
      </c>
      <c r="BL56" s="66">
        <v>0</v>
      </c>
      <c r="BM56" s="109">
        <f t="shared" si="13"/>
        <v>2076</v>
      </c>
      <c r="BN56" s="109">
        <f t="shared" si="17"/>
        <v>2076000</v>
      </c>
      <c r="BO56" s="110" t="s">
        <v>903</v>
      </c>
    </row>
    <row r="57" spans="1:67" ht="34" x14ac:dyDescent="0.2">
      <c r="A57" s="105">
        <v>52</v>
      </c>
      <c r="B57" s="106" t="s">
        <v>94</v>
      </c>
      <c r="C57" s="106" t="s">
        <v>95</v>
      </c>
      <c r="D57" s="105" t="s">
        <v>7</v>
      </c>
      <c r="E57" s="105">
        <v>1000</v>
      </c>
      <c r="F57" s="34">
        <v>1900</v>
      </c>
      <c r="G57" s="13">
        <f t="shared" si="18"/>
        <v>2319.9</v>
      </c>
      <c r="H57" s="34">
        <v>1700</v>
      </c>
      <c r="I57" s="13">
        <f t="shared" si="19"/>
        <v>2075.6999999999998</v>
      </c>
      <c r="J57" s="45"/>
      <c r="K57" s="45"/>
      <c r="L57" s="45"/>
      <c r="M57" s="45"/>
      <c r="N57" s="45"/>
      <c r="O57" s="45"/>
      <c r="P57" s="45"/>
      <c r="Q57" s="45"/>
      <c r="R57" s="45"/>
      <c r="S57" s="45"/>
      <c r="T57" s="34">
        <v>1300</v>
      </c>
      <c r="U57" s="34">
        <f>T57+(T57*22.1%)</f>
        <v>1587.3</v>
      </c>
      <c r="V57" s="34">
        <v>1700</v>
      </c>
      <c r="W57" s="34">
        <f>V57+(V57*22.1%)</f>
        <v>2075.6999999999998</v>
      </c>
      <c r="X57" s="45"/>
      <c r="Y57" s="45"/>
      <c r="Z57" s="45"/>
      <c r="AA57" s="45"/>
      <c r="AB57" s="45"/>
      <c r="AC57" s="45"/>
      <c r="AD57" s="45"/>
      <c r="AE57" s="45"/>
      <c r="AF57" s="45"/>
      <c r="AG57" s="45"/>
      <c r="AH57" s="45"/>
      <c r="AI57" s="45"/>
      <c r="AJ57" s="45"/>
      <c r="AK57" s="45"/>
      <c r="AL57" s="45"/>
      <c r="AM57" s="45"/>
      <c r="AN57" s="45"/>
      <c r="AO57" s="45"/>
      <c r="AP57" s="45"/>
      <c r="AQ57" s="45"/>
      <c r="AR57" s="45"/>
      <c r="AS57" s="45"/>
      <c r="AT57" s="45"/>
      <c r="AU57" s="45"/>
      <c r="AV57" s="45"/>
      <c r="AW57" s="45"/>
      <c r="AX57" s="45"/>
      <c r="AY57" s="45"/>
      <c r="AZ57" s="45"/>
      <c r="BA57" s="45"/>
      <c r="BB57" s="45"/>
      <c r="BC57" s="45"/>
      <c r="BD57" s="45"/>
      <c r="BE57" s="45"/>
      <c r="BF57" s="45"/>
      <c r="BG57" s="107">
        <f t="shared" si="14"/>
        <v>2075.6999999999998</v>
      </c>
      <c r="BH57" s="107">
        <f t="shared" si="15"/>
        <v>2014.65</v>
      </c>
      <c r="BI57" s="108">
        <f t="shared" si="16"/>
        <v>307.27826151551699</v>
      </c>
      <c r="BJ57" s="65">
        <f t="shared" si="12"/>
        <v>0.1525219077832462</v>
      </c>
      <c r="BK57" s="66">
        <f t="shared" si="10"/>
        <v>2076</v>
      </c>
      <c r="BL57" s="66">
        <v>0</v>
      </c>
      <c r="BM57" s="109">
        <f t="shared" si="13"/>
        <v>2076</v>
      </c>
      <c r="BN57" s="109">
        <f t="shared" si="17"/>
        <v>2076000</v>
      </c>
      <c r="BO57" s="110" t="s">
        <v>902</v>
      </c>
    </row>
    <row r="58" spans="1:67" ht="34" x14ac:dyDescent="0.2">
      <c r="A58" s="105">
        <v>53</v>
      </c>
      <c r="B58" s="106" t="s">
        <v>25</v>
      </c>
      <c r="C58" s="106" t="s">
        <v>96</v>
      </c>
      <c r="D58" s="105" t="s">
        <v>7</v>
      </c>
      <c r="E58" s="105">
        <v>800</v>
      </c>
      <c r="F58" s="34">
        <v>1800</v>
      </c>
      <c r="G58" s="13">
        <f t="shared" si="18"/>
        <v>2197.8000000000002</v>
      </c>
      <c r="H58" s="34">
        <v>1900</v>
      </c>
      <c r="I58" s="13">
        <f t="shared" si="19"/>
        <v>2319.9</v>
      </c>
      <c r="J58" s="45"/>
      <c r="K58" s="45"/>
      <c r="L58" s="45"/>
      <c r="M58" s="45"/>
      <c r="N58" s="45"/>
      <c r="O58" s="45"/>
      <c r="P58" s="45"/>
      <c r="Q58" s="45"/>
      <c r="R58" s="45"/>
      <c r="S58" s="45"/>
      <c r="T58" s="34">
        <v>1700</v>
      </c>
      <c r="U58" s="34">
        <f>T58+(T58*22.1%)</f>
        <v>2075.6999999999998</v>
      </c>
      <c r="V58" s="34"/>
      <c r="W58" s="45"/>
      <c r="X58" s="45"/>
      <c r="Y58" s="45"/>
      <c r="Z58" s="45"/>
      <c r="AA58" s="45"/>
      <c r="AB58" s="45"/>
      <c r="AC58" s="45"/>
      <c r="AD58" s="45"/>
      <c r="AE58" s="45"/>
      <c r="AF58" s="45"/>
      <c r="AG58" s="45"/>
      <c r="AH58" s="45"/>
      <c r="AI58" s="45"/>
      <c r="AJ58" s="45"/>
      <c r="AK58" s="45"/>
      <c r="AL58" s="45"/>
      <c r="AM58" s="45"/>
      <c r="AN58" s="45"/>
      <c r="AO58" s="45"/>
      <c r="AP58" s="45"/>
      <c r="AQ58" s="45"/>
      <c r="AR58" s="45"/>
      <c r="AS58" s="45"/>
      <c r="AT58" s="45"/>
      <c r="AU58" s="45"/>
      <c r="AV58" s="45"/>
      <c r="AW58" s="45"/>
      <c r="AX58" s="45"/>
      <c r="AY58" s="45"/>
      <c r="AZ58" s="45"/>
      <c r="BA58" s="45"/>
      <c r="BB58" s="45"/>
      <c r="BC58" s="45"/>
      <c r="BD58" s="45"/>
      <c r="BE58" s="45"/>
      <c r="BF58" s="45"/>
      <c r="BG58" s="107">
        <f t="shared" si="14"/>
        <v>2197.8000000000002</v>
      </c>
      <c r="BH58" s="107">
        <f t="shared" si="15"/>
        <v>2197.8000000000002</v>
      </c>
      <c r="BI58" s="108">
        <f t="shared" si="16"/>
        <v>122.10000000000014</v>
      </c>
      <c r="BJ58" s="65">
        <f t="shared" si="12"/>
        <v>5.5555555555555615E-2</v>
      </c>
      <c r="BK58" s="66">
        <f t="shared" si="10"/>
        <v>2198</v>
      </c>
      <c r="BL58" s="66">
        <v>0</v>
      </c>
      <c r="BM58" s="109">
        <f t="shared" si="13"/>
        <v>2198</v>
      </c>
      <c r="BN58" s="109">
        <f t="shared" si="17"/>
        <v>1758400</v>
      </c>
      <c r="BO58" s="110" t="s">
        <v>903</v>
      </c>
    </row>
    <row r="59" spans="1:67" ht="34" x14ac:dyDescent="0.2">
      <c r="A59" s="105">
        <v>54</v>
      </c>
      <c r="B59" s="106" t="s">
        <v>97</v>
      </c>
      <c r="C59" s="106" t="s">
        <v>98</v>
      </c>
      <c r="D59" s="105" t="s">
        <v>7</v>
      </c>
      <c r="E59" s="105">
        <v>400</v>
      </c>
      <c r="F59" s="34">
        <v>1800</v>
      </c>
      <c r="G59" s="13">
        <f t="shared" si="18"/>
        <v>2197.8000000000002</v>
      </c>
      <c r="H59" s="34">
        <v>2000</v>
      </c>
      <c r="I59" s="13">
        <f t="shared" si="19"/>
        <v>2442</v>
      </c>
      <c r="J59" s="45"/>
      <c r="K59" s="45"/>
      <c r="L59" s="45"/>
      <c r="M59" s="45"/>
      <c r="N59" s="45"/>
      <c r="O59" s="45"/>
      <c r="P59" s="45"/>
      <c r="Q59" s="45"/>
      <c r="R59" s="45"/>
      <c r="S59" s="45"/>
      <c r="T59" s="34"/>
      <c r="U59" s="34"/>
      <c r="V59" s="34"/>
      <c r="W59" s="34"/>
      <c r="X59" s="45"/>
      <c r="Y59" s="45"/>
      <c r="Z59" s="45"/>
      <c r="AA59" s="45"/>
      <c r="AB59" s="45"/>
      <c r="AC59" s="45"/>
      <c r="AD59" s="45"/>
      <c r="AE59" s="45"/>
      <c r="AF59" s="45"/>
      <c r="AG59" s="45"/>
      <c r="AH59" s="45"/>
      <c r="AI59" s="45"/>
      <c r="AJ59" s="45"/>
      <c r="AK59" s="45"/>
      <c r="AL59" s="45"/>
      <c r="AM59" s="45"/>
      <c r="AN59" s="45"/>
      <c r="AO59" s="45"/>
      <c r="AP59" s="45"/>
      <c r="AQ59" s="45"/>
      <c r="AR59" s="45"/>
      <c r="AS59" s="45"/>
      <c r="AT59" s="45"/>
      <c r="AU59" s="45"/>
      <c r="AV59" s="45"/>
      <c r="AW59" s="45"/>
      <c r="AX59" s="45"/>
      <c r="AY59" s="45"/>
      <c r="AZ59" s="45"/>
      <c r="BA59" s="45"/>
      <c r="BB59" s="45"/>
      <c r="BC59" s="45"/>
      <c r="BD59" s="45"/>
      <c r="BE59" s="45"/>
      <c r="BF59" s="45"/>
      <c r="BG59" s="107">
        <f t="shared" si="14"/>
        <v>2319.9</v>
      </c>
      <c r="BH59" s="107">
        <f t="shared" si="15"/>
        <v>2319.9</v>
      </c>
      <c r="BI59" s="108">
        <f t="shared" si="16"/>
        <v>172.67547596575477</v>
      </c>
      <c r="BJ59" s="65">
        <f t="shared" si="12"/>
        <v>7.4432292756478627E-2</v>
      </c>
      <c r="BK59" s="66">
        <f t="shared" si="10"/>
        <v>2320</v>
      </c>
      <c r="BL59" s="66">
        <v>0</v>
      </c>
      <c r="BM59" s="109">
        <f t="shared" si="13"/>
        <v>2320</v>
      </c>
      <c r="BN59" s="109">
        <f t="shared" si="17"/>
        <v>928000</v>
      </c>
      <c r="BO59" s="110" t="s">
        <v>903</v>
      </c>
    </row>
    <row r="60" spans="1:67" ht="34" x14ac:dyDescent="0.2">
      <c r="A60" s="105">
        <v>55</v>
      </c>
      <c r="B60" s="106" t="s">
        <v>99</v>
      </c>
      <c r="C60" s="106" t="s">
        <v>100</v>
      </c>
      <c r="D60" s="105" t="s">
        <v>7</v>
      </c>
      <c r="E60" s="105">
        <v>200</v>
      </c>
      <c r="F60" s="34">
        <v>2000</v>
      </c>
      <c r="G60" s="13">
        <f t="shared" si="18"/>
        <v>2442</v>
      </c>
      <c r="H60" s="34">
        <v>2000</v>
      </c>
      <c r="I60" s="13">
        <f t="shared" si="19"/>
        <v>2442</v>
      </c>
      <c r="J60" s="45"/>
      <c r="K60" s="45"/>
      <c r="L60" s="45"/>
      <c r="M60" s="45"/>
      <c r="N60" s="45"/>
      <c r="O60" s="45"/>
      <c r="P60" s="45"/>
      <c r="Q60" s="45"/>
      <c r="R60" s="45"/>
      <c r="S60" s="45"/>
      <c r="T60" s="34">
        <v>1700</v>
      </c>
      <c r="U60" s="34">
        <f>T60+(T60*22.1%)</f>
        <v>2075.6999999999998</v>
      </c>
      <c r="V60" s="34"/>
      <c r="W60" s="45"/>
      <c r="X60" s="45"/>
      <c r="Y60" s="45"/>
      <c r="Z60" s="45"/>
      <c r="AA60" s="45"/>
      <c r="AB60" s="45"/>
      <c r="AC60" s="45"/>
      <c r="AD60" s="45"/>
      <c r="AE60" s="45"/>
      <c r="AF60" s="45"/>
      <c r="AG60" s="45"/>
      <c r="AH60" s="45"/>
      <c r="AI60" s="45"/>
      <c r="AJ60" s="45"/>
      <c r="AK60" s="45"/>
      <c r="AL60" s="45"/>
      <c r="AM60" s="45"/>
      <c r="AN60" s="45"/>
      <c r="AO60" s="45"/>
      <c r="AP60" s="45"/>
      <c r="AQ60" s="45"/>
      <c r="AR60" s="45"/>
      <c r="AS60" s="45"/>
      <c r="AT60" s="45"/>
      <c r="AU60" s="45"/>
      <c r="AV60" s="45"/>
      <c r="AW60" s="45"/>
      <c r="AX60" s="45"/>
      <c r="AY60" s="45"/>
      <c r="AZ60" s="45"/>
      <c r="BA60" s="45"/>
      <c r="BB60" s="45"/>
      <c r="BC60" s="45"/>
      <c r="BD60" s="45"/>
      <c r="BE60" s="45"/>
      <c r="BF60" s="45"/>
      <c r="BG60" s="107">
        <f t="shared" si="14"/>
        <v>2442</v>
      </c>
      <c r="BH60" s="107">
        <f t="shared" si="15"/>
        <v>2319.9</v>
      </c>
      <c r="BI60" s="108">
        <f t="shared" si="16"/>
        <v>211.48340360416</v>
      </c>
      <c r="BJ60" s="65">
        <f t="shared" si="12"/>
        <v>9.1160568819414631E-2</v>
      </c>
      <c r="BK60" s="66">
        <f t="shared" si="10"/>
        <v>2320</v>
      </c>
      <c r="BL60" s="66">
        <v>0</v>
      </c>
      <c r="BM60" s="109">
        <f t="shared" si="13"/>
        <v>2320</v>
      </c>
      <c r="BN60" s="109">
        <f t="shared" si="17"/>
        <v>464000</v>
      </c>
      <c r="BO60" s="110" t="s">
        <v>903</v>
      </c>
    </row>
    <row r="61" spans="1:67" ht="34" x14ac:dyDescent="0.2">
      <c r="A61" s="105">
        <v>56</v>
      </c>
      <c r="B61" s="106" t="s">
        <v>101</v>
      </c>
      <c r="C61" s="106" t="s">
        <v>102</v>
      </c>
      <c r="D61" s="105" t="s">
        <v>7</v>
      </c>
      <c r="E61" s="105">
        <v>1600</v>
      </c>
      <c r="F61" s="34">
        <v>1700</v>
      </c>
      <c r="G61" s="13">
        <f t="shared" si="18"/>
        <v>2075.6999999999998</v>
      </c>
      <c r="H61" s="34">
        <v>1700</v>
      </c>
      <c r="I61" s="13">
        <f t="shared" si="19"/>
        <v>2075.6999999999998</v>
      </c>
      <c r="J61" s="45"/>
      <c r="K61" s="45"/>
      <c r="L61" s="45"/>
      <c r="M61" s="45"/>
      <c r="N61" s="45"/>
      <c r="O61" s="45"/>
      <c r="P61" s="45"/>
      <c r="Q61" s="45"/>
      <c r="R61" s="45"/>
      <c r="S61" s="45"/>
      <c r="T61" s="34"/>
      <c r="U61" s="45"/>
      <c r="V61" s="34">
        <v>1700</v>
      </c>
      <c r="W61" s="34">
        <f>V61+(V61*22.1%)</f>
        <v>2075.6999999999998</v>
      </c>
      <c r="X61" s="45"/>
      <c r="Y61" s="45"/>
      <c r="Z61" s="45"/>
      <c r="AA61" s="45"/>
      <c r="AB61" s="45"/>
      <c r="AC61" s="45"/>
      <c r="AD61" s="45"/>
      <c r="AE61" s="45"/>
      <c r="AF61" s="45"/>
      <c r="AG61" s="45"/>
      <c r="AH61" s="45"/>
      <c r="AI61" s="45"/>
      <c r="AJ61" s="45"/>
      <c r="AK61" s="45"/>
      <c r="AL61" s="45"/>
      <c r="AM61" s="45"/>
      <c r="AN61" s="45"/>
      <c r="AO61" s="45"/>
      <c r="AP61" s="45"/>
      <c r="AQ61" s="45"/>
      <c r="AR61" s="45"/>
      <c r="AS61" s="45"/>
      <c r="AT61" s="45"/>
      <c r="AU61" s="45"/>
      <c r="AV61" s="45"/>
      <c r="AW61" s="45"/>
      <c r="AX61" s="45"/>
      <c r="AY61" s="45"/>
      <c r="AZ61" s="45"/>
      <c r="BA61" s="45"/>
      <c r="BB61" s="45"/>
      <c r="BC61" s="45"/>
      <c r="BD61" s="45"/>
      <c r="BE61" s="45"/>
      <c r="BF61" s="45"/>
      <c r="BG61" s="107">
        <f t="shared" si="14"/>
        <v>2075.6999999999998</v>
      </c>
      <c r="BH61" s="107">
        <f t="shared" si="15"/>
        <v>2075.6999999999998</v>
      </c>
      <c r="BI61" s="108">
        <f t="shared" si="16"/>
        <v>0</v>
      </c>
      <c r="BJ61" s="65">
        <f t="shared" si="12"/>
        <v>0</v>
      </c>
      <c r="BK61" s="66">
        <f t="shared" si="10"/>
        <v>2076</v>
      </c>
      <c r="BL61" s="66">
        <v>0</v>
      </c>
      <c r="BM61" s="109">
        <f t="shared" si="13"/>
        <v>2076</v>
      </c>
      <c r="BN61" s="109">
        <f t="shared" si="17"/>
        <v>3321600</v>
      </c>
      <c r="BO61" s="110" t="s">
        <v>903</v>
      </c>
    </row>
    <row r="62" spans="1:67" ht="34" x14ac:dyDescent="0.2">
      <c r="A62" s="105">
        <v>57</v>
      </c>
      <c r="B62" s="106" t="s">
        <v>103</v>
      </c>
      <c r="C62" s="106" t="s">
        <v>104</v>
      </c>
      <c r="D62" s="105" t="s">
        <v>7</v>
      </c>
      <c r="E62" s="105">
        <v>1600</v>
      </c>
      <c r="F62" s="34">
        <v>1700</v>
      </c>
      <c r="G62" s="13">
        <f t="shared" si="18"/>
        <v>2075.6999999999998</v>
      </c>
      <c r="H62" s="34">
        <v>1700</v>
      </c>
      <c r="I62" s="13">
        <f t="shared" si="19"/>
        <v>2075.6999999999998</v>
      </c>
      <c r="J62" s="45"/>
      <c r="K62" s="45"/>
      <c r="L62" s="45"/>
      <c r="M62" s="45"/>
      <c r="N62" s="45"/>
      <c r="O62" s="45"/>
      <c r="P62" s="45"/>
      <c r="Q62" s="45"/>
      <c r="R62" s="45"/>
      <c r="S62" s="45"/>
      <c r="T62" s="34"/>
      <c r="U62" s="45"/>
      <c r="V62" s="34"/>
      <c r="W62" s="45"/>
      <c r="X62" s="45"/>
      <c r="Y62" s="45"/>
      <c r="Z62" s="45"/>
      <c r="AA62" s="45"/>
      <c r="AB62" s="45"/>
      <c r="AC62" s="45"/>
      <c r="AD62" s="45"/>
      <c r="AE62" s="45"/>
      <c r="AF62" s="45"/>
      <c r="AG62" s="45"/>
      <c r="AH62" s="45"/>
      <c r="AI62" s="45"/>
      <c r="AJ62" s="45"/>
      <c r="AK62" s="45"/>
      <c r="AL62" s="45"/>
      <c r="AM62" s="45"/>
      <c r="AN62" s="45"/>
      <c r="AO62" s="45"/>
      <c r="AP62" s="45"/>
      <c r="AQ62" s="45"/>
      <c r="AR62" s="45"/>
      <c r="AS62" s="45"/>
      <c r="AT62" s="45"/>
      <c r="AU62" s="45"/>
      <c r="AV62" s="45"/>
      <c r="AW62" s="45"/>
      <c r="AX62" s="45"/>
      <c r="AY62" s="45"/>
      <c r="AZ62" s="45"/>
      <c r="BA62" s="45"/>
      <c r="BB62" s="45"/>
      <c r="BC62" s="45"/>
      <c r="BD62" s="45"/>
      <c r="BE62" s="45"/>
      <c r="BF62" s="45"/>
      <c r="BG62" s="107">
        <f t="shared" si="14"/>
        <v>2075.6999999999998</v>
      </c>
      <c r="BH62" s="107">
        <f t="shared" si="15"/>
        <v>2075.6999999999998</v>
      </c>
      <c r="BI62" s="108">
        <f t="shared" si="16"/>
        <v>0</v>
      </c>
      <c r="BJ62" s="65">
        <f t="shared" si="12"/>
        <v>0</v>
      </c>
      <c r="BK62" s="66">
        <f t="shared" si="10"/>
        <v>2076</v>
      </c>
      <c r="BL62" s="66">
        <v>0</v>
      </c>
      <c r="BM62" s="109">
        <f t="shared" si="13"/>
        <v>2076</v>
      </c>
      <c r="BN62" s="109">
        <f t="shared" si="17"/>
        <v>3321600</v>
      </c>
      <c r="BO62" s="110" t="s">
        <v>903</v>
      </c>
    </row>
    <row r="63" spans="1:67" ht="34" x14ac:dyDescent="0.2">
      <c r="A63" s="105">
        <v>58</v>
      </c>
      <c r="B63" s="106" t="s">
        <v>105</v>
      </c>
      <c r="C63" s="106" t="s">
        <v>106</v>
      </c>
      <c r="D63" s="105" t="s">
        <v>7</v>
      </c>
      <c r="E63" s="105">
        <v>600</v>
      </c>
      <c r="F63" s="45"/>
      <c r="G63" s="45"/>
      <c r="H63" s="45"/>
      <c r="I63" s="45"/>
      <c r="J63" s="45"/>
      <c r="K63" s="45"/>
      <c r="L63" s="45"/>
      <c r="M63" s="45"/>
      <c r="N63" s="45"/>
      <c r="O63" s="45"/>
      <c r="P63" s="45"/>
      <c r="Q63" s="45"/>
      <c r="R63" s="45"/>
      <c r="S63" s="45"/>
      <c r="T63" s="34">
        <v>1700</v>
      </c>
      <c r="U63" s="34">
        <f>T63+(T63*22.1%)</f>
        <v>2075.6999999999998</v>
      </c>
      <c r="V63" s="45"/>
      <c r="W63" s="45"/>
      <c r="X63" s="34">
        <v>1900</v>
      </c>
      <c r="Y63" s="34">
        <f>X63+(X63*22.1%)</f>
        <v>2319.9</v>
      </c>
      <c r="Z63" s="45"/>
      <c r="AA63" s="45"/>
      <c r="AB63" s="45"/>
      <c r="AC63" s="45"/>
      <c r="AD63" s="45"/>
      <c r="AE63" s="45"/>
      <c r="AF63" s="45"/>
      <c r="AG63" s="45"/>
      <c r="AH63" s="45"/>
      <c r="AI63" s="45"/>
      <c r="AJ63" s="45"/>
      <c r="AK63" s="45"/>
      <c r="AL63" s="45"/>
      <c r="AM63" s="45"/>
      <c r="AN63" s="45"/>
      <c r="AO63" s="45"/>
      <c r="AP63" s="45"/>
      <c r="AQ63" s="45"/>
      <c r="AR63" s="45"/>
      <c r="AS63" s="45"/>
      <c r="AT63" s="45"/>
      <c r="AU63" s="45"/>
      <c r="AV63" s="45"/>
      <c r="AW63" s="45"/>
      <c r="AX63" s="45"/>
      <c r="AY63" s="45"/>
      <c r="AZ63" s="45"/>
      <c r="BA63" s="45"/>
      <c r="BB63" s="45"/>
      <c r="BC63" s="45"/>
      <c r="BD63" s="45"/>
      <c r="BE63" s="45"/>
      <c r="BF63" s="45"/>
      <c r="BG63" s="107">
        <f t="shared" si="14"/>
        <v>2197.8000000000002</v>
      </c>
      <c r="BH63" s="107">
        <f t="shared" si="15"/>
        <v>2197.8000000000002</v>
      </c>
      <c r="BI63" s="108">
        <f t="shared" si="16"/>
        <v>172.67547596575508</v>
      </c>
      <c r="BJ63" s="65">
        <f t="shared" si="12"/>
        <v>7.8567420131838692E-2</v>
      </c>
      <c r="BK63" s="66">
        <f t="shared" si="10"/>
        <v>2198</v>
      </c>
      <c r="BL63" s="66">
        <v>0</v>
      </c>
      <c r="BM63" s="109">
        <f t="shared" si="13"/>
        <v>2198</v>
      </c>
      <c r="BN63" s="109">
        <f t="shared" si="17"/>
        <v>1318800</v>
      </c>
      <c r="BO63" s="110" t="s">
        <v>903</v>
      </c>
    </row>
    <row r="64" spans="1:67" ht="34" x14ac:dyDescent="0.2">
      <c r="A64" s="105">
        <v>59</v>
      </c>
      <c r="B64" s="106" t="s">
        <v>107</v>
      </c>
      <c r="C64" s="106" t="s">
        <v>108</v>
      </c>
      <c r="D64" s="105" t="s">
        <v>7</v>
      </c>
      <c r="E64" s="105">
        <v>400</v>
      </c>
      <c r="F64" s="34">
        <v>1700</v>
      </c>
      <c r="G64" s="13">
        <f>F64+(F64*22.1%)</f>
        <v>2075.6999999999998</v>
      </c>
      <c r="H64" s="34">
        <v>1500</v>
      </c>
      <c r="I64" s="13">
        <f>H64+(H64*22.1%)</f>
        <v>1831.5</v>
      </c>
      <c r="J64" s="45"/>
      <c r="K64" s="45"/>
      <c r="L64" s="45"/>
      <c r="M64" s="45"/>
      <c r="N64" s="45"/>
      <c r="O64" s="45"/>
      <c r="P64" s="45"/>
      <c r="Q64" s="45"/>
      <c r="R64" s="45"/>
      <c r="S64" s="45"/>
      <c r="T64" s="34"/>
      <c r="U64" s="45"/>
      <c r="V64" s="34">
        <v>1700</v>
      </c>
      <c r="W64" s="34">
        <f>V64+(V64*22.1%)</f>
        <v>2075.6999999999998</v>
      </c>
      <c r="X64" s="34">
        <v>1500</v>
      </c>
      <c r="Y64" s="34">
        <f>X64+(X64*22.1%)</f>
        <v>1831.5</v>
      </c>
      <c r="Z64" s="34"/>
      <c r="AA64" s="45"/>
      <c r="AB64" s="34"/>
      <c r="AC64" s="45"/>
      <c r="AD64" s="34"/>
      <c r="AE64" s="45"/>
      <c r="AF64" s="45"/>
      <c r="AG64" s="45"/>
      <c r="AH64" s="45"/>
      <c r="AI64" s="45"/>
      <c r="AJ64" s="45"/>
      <c r="AK64" s="45"/>
      <c r="AL64" s="45"/>
      <c r="AM64" s="45"/>
      <c r="AN64" s="45"/>
      <c r="AO64" s="45"/>
      <c r="AP64" s="45"/>
      <c r="AQ64" s="45"/>
      <c r="AR64" s="45"/>
      <c r="AS64" s="45"/>
      <c r="AT64" s="45"/>
      <c r="AU64" s="45"/>
      <c r="AV64" s="45"/>
      <c r="AW64" s="45"/>
      <c r="AX64" s="45"/>
      <c r="AY64" s="45"/>
      <c r="AZ64" s="45"/>
      <c r="BA64" s="45"/>
      <c r="BB64" s="45"/>
      <c r="BC64" s="45"/>
      <c r="BD64" s="45"/>
      <c r="BE64" s="45"/>
      <c r="BF64" s="45"/>
      <c r="BG64" s="107">
        <f t="shared" si="14"/>
        <v>1953.6</v>
      </c>
      <c r="BH64" s="107">
        <f t="shared" si="15"/>
        <v>1953.6</v>
      </c>
      <c r="BI64" s="108">
        <f t="shared" si="16"/>
        <v>140.9889357361065</v>
      </c>
      <c r="BJ64" s="65">
        <f t="shared" si="12"/>
        <v>7.2168783648703161E-2</v>
      </c>
      <c r="BK64" s="66">
        <f t="shared" si="10"/>
        <v>1954</v>
      </c>
      <c r="BL64" s="66">
        <v>0</v>
      </c>
      <c r="BM64" s="109">
        <f t="shared" si="13"/>
        <v>1954</v>
      </c>
      <c r="BN64" s="109">
        <f t="shared" si="17"/>
        <v>781600</v>
      </c>
      <c r="BO64" s="110" t="s">
        <v>902</v>
      </c>
    </row>
    <row r="65" spans="1:67" ht="34" x14ac:dyDescent="0.2">
      <c r="A65" s="105">
        <v>60</v>
      </c>
      <c r="B65" s="106" t="s">
        <v>109</v>
      </c>
      <c r="C65" s="106" t="s">
        <v>1185</v>
      </c>
      <c r="D65" s="115" t="s">
        <v>110</v>
      </c>
      <c r="E65" s="115">
        <v>36</v>
      </c>
      <c r="F65" s="34"/>
      <c r="G65" s="45"/>
      <c r="H65" s="45"/>
      <c r="I65" s="45"/>
      <c r="J65" s="45"/>
      <c r="K65" s="45"/>
      <c r="L65" s="45"/>
      <c r="M65" s="45"/>
      <c r="N65" s="45"/>
      <c r="O65" s="45"/>
      <c r="P65" s="45"/>
      <c r="Q65" s="45"/>
      <c r="R65" s="45"/>
      <c r="S65" s="45"/>
      <c r="T65" s="34"/>
      <c r="U65" s="45"/>
      <c r="V65" s="45"/>
      <c r="W65" s="45"/>
      <c r="X65" s="45"/>
      <c r="Y65" s="45"/>
      <c r="Z65" s="34">
        <v>50575</v>
      </c>
      <c r="AA65" s="34">
        <f t="shared" ref="AA65:AA66" si="20">((Z65*5.1%)+Z65)</f>
        <v>53154.324999999997</v>
      </c>
      <c r="AB65" s="34">
        <v>49385</v>
      </c>
      <c r="AC65" s="34">
        <f t="shared" ref="AC65" si="21">((AB65*5.1%)+AB65)</f>
        <v>51903.635000000002</v>
      </c>
      <c r="AD65" s="34">
        <v>49385</v>
      </c>
      <c r="AE65" s="34">
        <f t="shared" ref="AE65" si="22">((AD65*5.1%)+AD65)</f>
        <v>51903.635000000002</v>
      </c>
      <c r="AF65" s="45"/>
      <c r="AG65" s="45"/>
      <c r="AH65" s="45"/>
      <c r="AI65" s="45"/>
      <c r="AJ65" s="45"/>
      <c r="AK65" s="45"/>
      <c r="AL65" s="45"/>
      <c r="AM65" s="45"/>
      <c r="AN65" s="45"/>
      <c r="AO65" s="45"/>
      <c r="AP65" s="45"/>
      <c r="AQ65" s="45"/>
      <c r="AR65" s="45"/>
      <c r="AS65" s="45"/>
      <c r="AT65" s="45"/>
      <c r="AU65" s="45"/>
      <c r="AV65" s="45"/>
      <c r="AW65" s="45"/>
      <c r="AX65" s="45"/>
      <c r="AY65" s="45"/>
      <c r="AZ65" s="45"/>
      <c r="BA65" s="45"/>
      <c r="BB65" s="45"/>
      <c r="BC65" s="45"/>
      <c r="BD65" s="45"/>
      <c r="BE65" s="45"/>
      <c r="BF65" s="45"/>
      <c r="BG65" s="107">
        <f t="shared" si="14"/>
        <v>51903.635000000002</v>
      </c>
      <c r="BH65" s="107">
        <f t="shared" si="15"/>
        <v>52320.531666666669</v>
      </c>
      <c r="BI65" s="108">
        <f t="shared" si="16"/>
        <v>722.08620817277028</v>
      </c>
      <c r="BJ65" s="65">
        <f t="shared" si="12"/>
        <v>1.3801201653935224E-2</v>
      </c>
      <c r="BK65" s="66">
        <f t="shared" si="10"/>
        <v>52321</v>
      </c>
      <c r="BL65" s="66">
        <v>0</v>
      </c>
      <c r="BM65" s="109">
        <f t="shared" si="13"/>
        <v>52321</v>
      </c>
      <c r="BN65" s="109">
        <f t="shared" si="17"/>
        <v>1883556</v>
      </c>
      <c r="BO65" s="110" t="s">
        <v>903</v>
      </c>
    </row>
    <row r="66" spans="1:67" ht="34" x14ac:dyDescent="0.2">
      <c r="A66" s="105">
        <v>61</v>
      </c>
      <c r="B66" s="106" t="s">
        <v>111</v>
      </c>
      <c r="C66" s="106" t="s">
        <v>1186</v>
      </c>
      <c r="D66" s="115" t="s">
        <v>112</v>
      </c>
      <c r="E66" s="115">
        <v>20</v>
      </c>
      <c r="F66" s="34"/>
      <c r="G66" s="45"/>
      <c r="H66" s="45"/>
      <c r="I66" s="45"/>
      <c r="J66" s="45"/>
      <c r="K66" s="45"/>
      <c r="L66" s="45"/>
      <c r="M66" s="45"/>
      <c r="N66" s="45"/>
      <c r="O66" s="45"/>
      <c r="P66" s="45"/>
      <c r="Q66" s="45"/>
      <c r="R66" s="45"/>
      <c r="S66" s="45"/>
      <c r="T66" s="34"/>
      <c r="U66" s="45"/>
      <c r="V66" s="45"/>
      <c r="W66" s="45"/>
      <c r="X66" s="45"/>
      <c r="Y66" s="45"/>
      <c r="Z66" s="34">
        <v>18500</v>
      </c>
      <c r="AA66" s="34">
        <f t="shared" si="20"/>
        <v>19443.5</v>
      </c>
      <c r="AB66" s="34">
        <v>20500</v>
      </c>
      <c r="AC66" s="34">
        <f t="shared" ref="AC66" si="23">((AB66*5.1%)+AB66)</f>
        <v>21545.5</v>
      </c>
      <c r="AD66" s="34">
        <v>20500</v>
      </c>
      <c r="AE66" s="34">
        <f t="shared" ref="AC66:AE70" si="24">((AD66*5.1%)+AD66)</f>
        <v>21545.5</v>
      </c>
      <c r="AF66" s="45"/>
      <c r="AG66" s="45"/>
      <c r="AH66" s="45"/>
      <c r="AI66" s="45"/>
      <c r="AJ66" s="45"/>
      <c r="AK66" s="45"/>
      <c r="AL66" s="45"/>
      <c r="AM66" s="45"/>
      <c r="AN66" s="45"/>
      <c r="AO66" s="45"/>
      <c r="AP66" s="45"/>
      <c r="AQ66" s="45"/>
      <c r="AR66" s="45"/>
      <c r="AS66" s="45"/>
      <c r="AT66" s="45"/>
      <c r="AU66" s="45"/>
      <c r="AV66" s="45"/>
      <c r="AW66" s="45"/>
      <c r="AX66" s="45"/>
      <c r="AY66" s="45"/>
      <c r="AZ66" s="45"/>
      <c r="BA66" s="45"/>
      <c r="BB66" s="45"/>
      <c r="BC66" s="45"/>
      <c r="BD66" s="45"/>
      <c r="BE66" s="45"/>
      <c r="BF66" s="45"/>
      <c r="BG66" s="107">
        <f t="shared" si="14"/>
        <v>21545.5</v>
      </c>
      <c r="BH66" s="107">
        <f t="shared" si="15"/>
        <v>20844.833333333332</v>
      </c>
      <c r="BI66" s="108">
        <f t="shared" si="16"/>
        <v>1213.5902658365933</v>
      </c>
      <c r="BJ66" s="65">
        <f t="shared" si="12"/>
        <v>5.8220195212399239E-2</v>
      </c>
      <c r="BK66" s="66">
        <f t="shared" si="10"/>
        <v>20845</v>
      </c>
      <c r="BL66" s="66">
        <v>0</v>
      </c>
      <c r="BM66" s="109">
        <f t="shared" si="13"/>
        <v>20845</v>
      </c>
      <c r="BN66" s="109">
        <f t="shared" si="17"/>
        <v>416900</v>
      </c>
      <c r="BO66" s="110" t="s">
        <v>903</v>
      </c>
    </row>
    <row r="67" spans="1:67" ht="187" x14ac:dyDescent="0.2">
      <c r="A67" s="105">
        <v>62</v>
      </c>
      <c r="B67" s="106" t="s">
        <v>113</v>
      </c>
      <c r="C67" s="106" t="s">
        <v>1187</v>
      </c>
      <c r="D67" s="115" t="s">
        <v>114</v>
      </c>
      <c r="E67" s="115">
        <v>10</v>
      </c>
      <c r="F67" s="34"/>
      <c r="G67" s="45"/>
      <c r="H67" s="45"/>
      <c r="I67" s="45"/>
      <c r="J67" s="45"/>
      <c r="K67" s="45"/>
      <c r="L67" s="45"/>
      <c r="M67" s="45"/>
      <c r="N67" s="45"/>
      <c r="O67" s="45"/>
      <c r="P67" s="45"/>
      <c r="Q67" s="45"/>
      <c r="R67" s="45"/>
      <c r="S67" s="45"/>
      <c r="T67" s="34"/>
      <c r="U67" s="45"/>
      <c r="V67" s="45"/>
      <c r="W67" s="45"/>
      <c r="X67" s="45"/>
      <c r="Y67" s="45"/>
      <c r="Z67" s="34">
        <v>198500</v>
      </c>
      <c r="AA67" s="34">
        <f t="shared" ref="AA67" si="25">((Z67*5.1%)+Z67)</f>
        <v>208623.5</v>
      </c>
      <c r="AB67" s="34">
        <v>205600</v>
      </c>
      <c r="AC67" s="34">
        <f t="shared" si="24"/>
        <v>216085.6</v>
      </c>
      <c r="AD67" s="34">
        <v>198600</v>
      </c>
      <c r="AE67" s="34">
        <f t="shared" si="24"/>
        <v>208728.6</v>
      </c>
      <c r="AF67" s="45"/>
      <c r="AG67" s="45"/>
      <c r="AH67" s="45"/>
      <c r="AI67" s="45"/>
      <c r="AJ67" s="45"/>
      <c r="AK67" s="45"/>
      <c r="AL67" s="45"/>
      <c r="AM67" s="45"/>
      <c r="AN67" s="45"/>
      <c r="AO67" s="45"/>
      <c r="AP67" s="45"/>
      <c r="AQ67" s="45"/>
      <c r="AR67" s="45"/>
      <c r="AS67" s="45"/>
      <c r="AT67" s="45"/>
      <c r="AU67" s="45"/>
      <c r="AV67" s="45"/>
      <c r="AW67" s="45"/>
      <c r="AX67" s="45"/>
      <c r="AY67" s="45"/>
      <c r="AZ67" s="45"/>
      <c r="BA67" s="45"/>
      <c r="BB67" s="45"/>
      <c r="BC67" s="45"/>
      <c r="BD67" s="45"/>
      <c r="BE67" s="45"/>
      <c r="BF67" s="45"/>
      <c r="BG67" s="107">
        <f t="shared" si="14"/>
        <v>208728.6</v>
      </c>
      <c r="BH67" s="107">
        <f t="shared" si="15"/>
        <v>211145.9</v>
      </c>
      <c r="BI67" s="108">
        <f t="shared" si="16"/>
        <v>4278.2284382674115</v>
      </c>
      <c r="BJ67" s="65">
        <f t="shared" si="12"/>
        <v>2.026195364564224E-2</v>
      </c>
      <c r="BK67" s="66">
        <f t="shared" si="10"/>
        <v>211146</v>
      </c>
      <c r="BL67" s="66">
        <v>0</v>
      </c>
      <c r="BM67" s="109">
        <f t="shared" si="13"/>
        <v>211146</v>
      </c>
      <c r="BN67" s="109">
        <f t="shared" si="17"/>
        <v>2111460</v>
      </c>
      <c r="BO67" s="110" t="s">
        <v>903</v>
      </c>
    </row>
    <row r="68" spans="1:67" ht="170" x14ac:dyDescent="0.2">
      <c r="A68" s="105">
        <v>63</v>
      </c>
      <c r="B68" s="106" t="s">
        <v>115</v>
      </c>
      <c r="C68" s="106" t="s">
        <v>1188</v>
      </c>
      <c r="D68" s="115" t="s">
        <v>112</v>
      </c>
      <c r="E68" s="115">
        <v>20</v>
      </c>
      <c r="F68" s="34"/>
      <c r="G68" s="45"/>
      <c r="H68" s="45"/>
      <c r="I68" s="45"/>
      <c r="J68" s="45"/>
      <c r="K68" s="45"/>
      <c r="L68" s="45"/>
      <c r="M68" s="45"/>
      <c r="N68" s="45"/>
      <c r="O68" s="45"/>
      <c r="P68" s="45"/>
      <c r="Q68" s="45"/>
      <c r="R68" s="45"/>
      <c r="S68" s="45"/>
      <c r="T68" s="34"/>
      <c r="U68" s="34"/>
      <c r="V68" s="45"/>
      <c r="W68" s="45"/>
      <c r="X68" s="45"/>
      <c r="Y68" s="45"/>
      <c r="Z68" s="34">
        <v>85000</v>
      </c>
      <c r="AA68" s="34">
        <f t="shared" ref="AA68" si="26">((Z68*5.1%)+Z68)</f>
        <v>89335</v>
      </c>
      <c r="AB68" s="34">
        <v>88500</v>
      </c>
      <c r="AC68" s="34">
        <f t="shared" si="24"/>
        <v>93013.5</v>
      </c>
      <c r="AD68" s="34">
        <v>78500</v>
      </c>
      <c r="AE68" s="34">
        <f t="shared" si="24"/>
        <v>82503.5</v>
      </c>
      <c r="AF68" s="45"/>
      <c r="AG68" s="45"/>
      <c r="AH68" s="45"/>
      <c r="AI68" s="45"/>
      <c r="AJ68" s="45"/>
      <c r="AK68" s="45"/>
      <c r="AL68" s="45"/>
      <c r="AM68" s="45"/>
      <c r="AN68" s="45"/>
      <c r="AO68" s="45"/>
      <c r="AP68" s="45"/>
      <c r="AQ68" s="45"/>
      <c r="AR68" s="45"/>
      <c r="AS68" s="45"/>
      <c r="AT68" s="45"/>
      <c r="AU68" s="45"/>
      <c r="AV68" s="45"/>
      <c r="AW68" s="45"/>
      <c r="AX68" s="45"/>
      <c r="AY68" s="45"/>
      <c r="AZ68" s="45"/>
      <c r="BA68" s="45"/>
      <c r="BB68" s="45"/>
      <c r="BC68" s="45"/>
      <c r="BD68" s="45"/>
      <c r="BE68" s="45"/>
      <c r="BF68" s="45"/>
      <c r="BG68" s="107">
        <f t="shared" si="14"/>
        <v>89335</v>
      </c>
      <c r="BH68" s="107">
        <f t="shared" si="15"/>
        <v>88284</v>
      </c>
      <c r="BI68" s="108">
        <f t="shared" si="16"/>
        <v>5333.2425174559612</v>
      </c>
      <c r="BJ68" s="65">
        <f t="shared" si="12"/>
        <v>6.0410068839834637E-2</v>
      </c>
      <c r="BK68" s="66">
        <f t="shared" si="10"/>
        <v>88284</v>
      </c>
      <c r="BL68" s="66">
        <v>0</v>
      </c>
      <c r="BM68" s="109">
        <f t="shared" si="13"/>
        <v>88284</v>
      </c>
      <c r="BN68" s="109">
        <f t="shared" si="17"/>
        <v>1765680</v>
      </c>
      <c r="BO68" s="110" t="s">
        <v>903</v>
      </c>
    </row>
    <row r="69" spans="1:67" ht="170" x14ac:dyDescent="0.2">
      <c r="A69" s="105">
        <v>64</v>
      </c>
      <c r="B69" s="106" t="s">
        <v>116</v>
      </c>
      <c r="C69" s="106" t="s">
        <v>1189</v>
      </c>
      <c r="D69" s="115" t="s">
        <v>117</v>
      </c>
      <c r="E69" s="115">
        <v>2</v>
      </c>
      <c r="F69" s="34">
        <v>60000</v>
      </c>
      <c r="G69" s="34">
        <f t="shared" ref="G69" si="27">((F69*5.1%)+F69)</f>
        <v>63060</v>
      </c>
      <c r="H69" s="34">
        <v>58000</v>
      </c>
      <c r="I69" s="34">
        <f t="shared" ref="I69" si="28">((H69*5.1%)+H69)</f>
        <v>60958</v>
      </c>
      <c r="J69" s="45"/>
      <c r="K69" s="45"/>
      <c r="L69" s="45"/>
      <c r="M69" s="45"/>
      <c r="N69" s="45"/>
      <c r="O69" s="45"/>
      <c r="P69" s="45"/>
      <c r="Q69" s="45"/>
      <c r="R69" s="45"/>
      <c r="S69" s="45"/>
      <c r="T69" s="34"/>
      <c r="U69" s="45"/>
      <c r="V69" s="45"/>
      <c r="W69" s="45"/>
      <c r="X69" s="45"/>
      <c r="Y69" s="45"/>
      <c r="Z69" s="34"/>
      <c r="AA69" s="34"/>
      <c r="AB69" s="34"/>
      <c r="AC69" s="34"/>
      <c r="AD69" s="34"/>
      <c r="AE69" s="34"/>
      <c r="AF69" s="45"/>
      <c r="AG69" s="45"/>
      <c r="AH69" s="45"/>
      <c r="AI69" s="45"/>
      <c r="AJ69" s="45"/>
      <c r="AK69" s="45"/>
      <c r="AL69" s="45"/>
      <c r="AM69" s="45"/>
      <c r="AN69" s="45"/>
      <c r="AO69" s="45"/>
      <c r="AP69" s="45"/>
      <c r="AQ69" s="45"/>
      <c r="AR69" s="45"/>
      <c r="AS69" s="45"/>
      <c r="AT69" s="45"/>
      <c r="AU69" s="45"/>
      <c r="AV69" s="45"/>
      <c r="AW69" s="45"/>
      <c r="AX69" s="45"/>
      <c r="AY69" s="45"/>
      <c r="AZ69" s="45"/>
      <c r="BA69" s="45"/>
      <c r="BB69" s="45"/>
      <c r="BC69" s="45"/>
      <c r="BD69" s="45"/>
      <c r="BE69" s="45"/>
      <c r="BF69" s="45"/>
      <c r="BG69" s="107">
        <f t="shared" si="14"/>
        <v>62009</v>
      </c>
      <c r="BH69" s="107">
        <f t="shared" si="15"/>
        <v>62009</v>
      </c>
      <c r="BI69" s="108">
        <f t="shared" si="16"/>
        <v>1486.3384540541228</v>
      </c>
      <c r="BJ69" s="65">
        <f t="shared" si="12"/>
        <v>2.3969721396154154E-2</v>
      </c>
      <c r="BK69" s="66">
        <f t="shared" si="10"/>
        <v>62009</v>
      </c>
      <c r="BL69" s="66">
        <v>0</v>
      </c>
      <c r="BM69" s="109">
        <f t="shared" ref="BM69:BM100" si="29">ROUNDUP(IF(BJ69&lt;15%,BH69,BG69),0)</f>
        <v>62009</v>
      </c>
      <c r="BN69" s="109">
        <f t="shared" si="17"/>
        <v>124018</v>
      </c>
      <c r="BO69" s="110" t="s">
        <v>903</v>
      </c>
    </row>
    <row r="70" spans="1:67" ht="85" x14ac:dyDescent="0.2">
      <c r="A70" s="105">
        <v>65</v>
      </c>
      <c r="B70" s="106" t="s">
        <v>118</v>
      </c>
      <c r="C70" s="106" t="s">
        <v>119</v>
      </c>
      <c r="D70" s="115" t="s">
        <v>117</v>
      </c>
      <c r="E70" s="115">
        <v>2</v>
      </c>
      <c r="F70" s="34"/>
      <c r="G70" s="45"/>
      <c r="H70" s="45"/>
      <c r="I70" s="45"/>
      <c r="J70" s="45"/>
      <c r="K70" s="45"/>
      <c r="L70" s="45"/>
      <c r="M70" s="45"/>
      <c r="N70" s="45"/>
      <c r="O70" s="45"/>
      <c r="P70" s="45"/>
      <c r="Q70" s="45"/>
      <c r="R70" s="45"/>
      <c r="S70" s="45"/>
      <c r="T70" s="34"/>
      <c r="U70" s="45"/>
      <c r="V70" s="45"/>
      <c r="W70" s="45"/>
      <c r="X70" s="45"/>
      <c r="Y70" s="45"/>
      <c r="Z70" s="34">
        <v>78500</v>
      </c>
      <c r="AA70" s="34">
        <f t="shared" ref="AA70" si="30">((Z70*5.1%)+Z70)</f>
        <v>82503.5</v>
      </c>
      <c r="AB70" s="34">
        <v>81500</v>
      </c>
      <c r="AC70" s="34">
        <f t="shared" si="24"/>
        <v>85656.5</v>
      </c>
      <c r="AD70" s="34">
        <v>81500</v>
      </c>
      <c r="AE70" s="34">
        <f t="shared" ref="AE70" si="31">((AD70*5.1%)+AD70)</f>
        <v>85656.5</v>
      </c>
      <c r="AF70" s="45"/>
      <c r="AG70" s="45"/>
      <c r="AH70" s="45"/>
      <c r="AI70" s="45"/>
      <c r="AJ70" s="45"/>
      <c r="AK70" s="45"/>
      <c r="AL70" s="45"/>
      <c r="AM70" s="45"/>
      <c r="AN70" s="45"/>
      <c r="AO70" s="45"/>
      <c r="AP70" s="45"/>
      <c r="AQ70" s="45"/>
      <c r="AR70" s="45"/>
      <c r="AS70" s="45"/>
      <c r="AT70" s="45"/>
      <c r="AU70" s="45"/>
      <c r="AV70" s="45"/>
      <c r="AW70" s="45"/>
      <c r="AX70" s="45"/>
      <c r="AY70" s="45"/>
      <c r="AZ70" s="45"/>
      <c r="BA70" s="45"/>
      <c r="BB70" s="45"/>
      <c r="BC70" s="45"/>
      <c r="BD70" s="45"/>
      <c r="BE70" s="45"/>
      <c r="BF70" s="45"/>
      <c r="BG70" s="107">
        <f t="shared" ref="BG70:BG101" si="32">MEDIAN(G70,I70,K70,M70,O70,Q70,S70,U70,W70,Y70,AA70,AC70,AE70,AG70,AI70,AK70,AM70,AN70,AP70,AR70,AS70,AU70,AX70,AZ70,BB70)</f>
        <v>85656.5</v>
      </c>
      <c r="BH70" s="107">
        <f t="shared" ref="BH70:BH101" si="33">AVERAGE(G70,I70,K70,M70,O70,Q70,S70,U70,W70,Y70,AA70,AC70,AE70,AG70,AI70,AK70,AM70,AN70,AP70,AR70,AS70,AU70:AX70,AZ70,BB70)</f>
        <v>84605.5</v>
      </c>
      <c r="BI70" s="108">
        <f t="shared" ref="BI70:BI101" si="34">STDEV(G70,I70,K70,M70,O70,Q70,S70,U70,W70,Y70,AA70,AC70,AE70,AG70,AI70,AK70,AM70,AN70,AP70,AR70,AS70,AU70,AX70,AZ70,BB70)</f>
        <v>1820.38539875489</v>
      </c>
      <c r="BJ70" s="65">
        <f t="shared" si="12"/>
        <v>2.1516159100234501E-2</v>
      </c>
      <c r="BK70" s="66">
        <f t="shared" si="10"/>
        <v>84606</v>
      </c>
      <c r="BL70" s="66">
        <v>0</v>
      </c>
      <c r="BM70" s="109">
        <f t="shared" si="29"/>
        <v>84606</v>
      </c>
      <c r="BN70" s="109">
        <f t="shared" ref="BN70:BN101" si="35">BM70*E70</f>
        <v>169212</v>
      </c>
      <c r="BO70" s="110" t="s">
        <v>903</v>
      </c>
    </row>
    <row r="71" spans="1:67" ht="170" x14ac:dyDescent="0.2">
      <c r="A71" s="105">
        <v>66</v>
      </c>
      <c r="B71" s="106" t="s">
        <v>120</v>
      </c>
      <c r="C71" s="106" t="s">
        <v>121</v>
      </c>
      <c r="D71" s="115" t="s">
        <v>117</v>
      </c>
      <c r="E71" s="115">
        <v>2</v>
      </c>
      <c r="F71" s="45"/>
      <c r="G71" s="45"/>
      <c r="H71" s="45"/>
      <c r="I71" s="45"/>
      <c r="J71" s="45"/>
      <c r="K71" s="45"/>
      <c r="L71" s="45"/>
      <c r="M71" s="45"/>
      <c r="N71" s="45"/>
      <c r="O71" s="45"/>
      <c r="P71" s="45"/>
      <c r="Q71" s="45"/>
      <c r="R71" s="45"/>
      <c r="S71" s="45"/>
      <c r="T71" s="45"/>
      <c r="U71" s="45"/>
      <c r="V71" s="45"/>
      <c r="W71" s="45"/>
      <c r="X71" s="45"/>
      <c r="Y71" s="45"/>
      <c r="Z71" s="34">
        <v>132500</v>
      </c>
      <c r="AA71" s="34">
        <f t="shared" ref="AA71" si="36">((Z71*5.1%)+Z71)</f>
        <v>139257.5</v>
      </c>
      <c r="AB71" s="34">
        <v>128600</v>
      </c>
      <c r="AC71" s="34">
        <f t="shared" ref="AC71" si="37">((AB71*5.1%)+AB71)</f>
        <v>135158.6</v>
      </c>
      <c r="AD71" s="34">
        <v>128600</v>
      </c>
      <c r="AE71" s="34">
        <f t="shared" ref="AE71" si="38">((AD71*5.1%)+AD71)</f>
        <v>135158.6</v>
      </c>
      <c r="AF71" s="45"/>
      <c r="AG71" s="45"/>
      <c r="AH71" s="45"/>
      <c r="AI71" s="45"/>
      <c r="AJ71" s="45"/>
      <c r="AK71" s="45"/>
      <c r="AL71" s="45"/>
      <c r="AM71" s="45"/>
      <c r="AN71" s="45"/>
      <c r="AO71" s="45"/>
      <c r="AP71" s="45"/>
      <c r="AQ71" s="45"/>
      <c r="AR71" s="45"/>
      <c r="AS71" s="45"/>
      <c r="AT71" s="45"/>
      <c r="AU71" s="45"/>
      <c r="AV71" s="45"/>
      <c r="AW71" s="45"/>
      <c r="AX71" s="45"/>
      <c r="AY71" s="45"/>
      <c r="AZ71" s="45"/>
      <c r="BA71" s="45"/>
      <c r="BB71" s="45"/>
      <c r="BC71" s="45"/>
      <c r="BD71" s="45"/>
      <c r="BE71" s="45"/>
      <c r="BF71" s="45"/>
      <c r="BG71" s="107">
        <f t="shared" si="32"/>
        <v>135158.6</v>
      </c>
      <c r="BH71" s="107">
        <f t="shared" si="33"/>
        <v>136524.9</v>
      </c>
      <c r="BI71" s="108">
        <f t="shared" si="34"/>
        <v>2366.5010183813538</v>
      </c>
      <c r="BJ71" s="65">
        <f t="shared" si="12"/>
        <v>1.7333841800150403E-2</v>
      </c>
      <c r="BK71" s="66">
        <f t="shared" si="10"/>
        <v>136525</v>
      </c>
      <c r="BL71" s="66">
        <v>0</v>
      </c>
      <c r="BM71" s="109">
        <f t="shared" si="29"/>
        <v>136525</v>
      </c>
      <c r="BN71" s="109">
        <f t="shared" si="35"/>
        <v>273050</v>
      </c>
      <c r="BO71" s="110" t="s">
        <v>903</v>
      </c>
    </row>
    <row r="72" spans="1:67" ht="113" customHeight="1" x14ac:dyDescent="0.2">
      <c r="A72" s="105">
        <v>67</v>
      </c>
      <c r="B72" s="106" t="s">
        <v>122</v>
      </c>
      <c r="C72" s="106" t="s">
        <v>123</v>
      </c>
      <c r="D72" s="115" t="s">
        <v>117</v>
      </c>
      <c r="E72" s="115">
        <v>2</v>
      </c>
      <c r="F72" s="45"/>
      <c r="G72" s="45"/>
      <c r="H72" s="45"/>
      <c r="I72" s="45"/>
      <c r="J72" s="45"/>
      <c r="K72" s="45"/>
      <c r="L72" s="45"/>
      <c r="M72" s="45"/>
      <c r="N72" s="45"/>
      <c r="O72" s="45"/>
      <c r="P72" s="45"/>
      <c r="Q72" s="45"/>
      <c r="R72" s="45"/>
      <c r="S72" s="45"/>
      <c r="T72" s="45"/>
      <c r="U72" s="45"/>
      <c r="V72" s="45"/>
      <c r="W72" s="45"/>
      <c r="X72" s="45"/>
      <c r="Y72" s="45"/>
      <c r="Z72" s="34">
        <v>85600</v>
      </c>
      <c r="AA72" s="34">
        <f t="shared" ref="AA72" si="39">((Z72*5.1%)+Z72)</f>
        <v>89965.6</v>
      </c>
      <c r="AB72" s="34">
        <v>88500</v>
      </c>
      <c r="AC72" s="34">
        <f t="shared" ref="AC72" si="40">((AB72*5.1%)+AB72)</f>
        <v>93013.5</v>
      </c>
      <c r="AD72" s="34">
        <v>88500</v>
      </c>
      <c r="AE72" s="34">
        <f t="shared" ref="AE72" si="41">((AD72*5.1%)+AD72)</f>
        <v>93013.5</v>
      </c>
      <c r="AF72" s="45"/>
      <c r="AG72" s="45"/>
      <c r="AH72" s="45"/>
      <c r="AI72" s="45"/>
      <c r="AJ72" s="45"/>
      <c r="AK72" s="45"/>
      <c r="AL72" s="45"/>
      <c r="AM72" s="45"/>
      <c r="AN72" s="45"/>
      <c r="AO72" s="45"/>
      <c r="AP72" s="45"/>
      <c r="AQ72" s="45"/>
      <c r="AR72" s="45"/>
      <c r="AS72" s="45"/>
      <c r="AT72" s="45"/>
      <c r="AU72" s="45"/>
      <c r="AV72" s="45"/>
      <c r="AW72" s="45"/>
      <c r="AX72" s="45"/>
      <c r="AY72" s="45"/>
      <c r="AZ72" s="45"/>
      <c r="BA72" s="45"/>
      <c r="BB72" s="45"/>
      <c r="BC72" s="45"/>
      <c r="BD72" s="45"/>
      <c r="BE72" s="45"/>
      <c r="BF72" s="45"/>
      <c r="BG72" s="107">
        <f t="shared" si="32"/>
        <v>93013.5</v>
      </c>
      <c r="BH72" s="107">
        <f t="shared" si="33"/>
        <v>91997.533333333326</v>
      </c>
      <c r="BI72" s="108">
        <f t="shared" si="34"/>
        <v>1759.705885463057</v>
      </c>
      <c r="BJ72" s="65">
        <f t="shared" si="12"/>
        <v>1.9127750730958626E-2</v>
      </c>
      <c r="BK72" s="66">
        <f t="shared" si="10"/>
        <v>91998</v>
      </c>
      <c r="BL72" s="66">
        <v>0</v>
      </c>
      <c r="BM72" s="109">
        <f t="shared" si="29"/>
        <v>91998</v>
      </c>
      <c r="BN72" s="109">
        <f t="shared" si="35"/>
        <v>183996</v>
      </c>
      <c r="BO72" s="110" t="s">
        <v>903</v>
      </c>
    </row>
    <row r="73" spans="1:67" ht="404" x14ac:dyDescent="0.2">
      <c r="A73" s="105">
        <v>68</v>
      </c>
      <c r="B73" s="106" t="s">
        <v>124</v>
      </c>
      <c r="C73" s="106" t="s">
        <v>1190</v>
      </c>
      <c r="D73" s="115" t="s">
        <v>117</v>
      </c>
      <c r="E73" s="115">
        <v>2</v>
      </c>
      <c r="F73" s="45"/>
      <c r="G73" s="45"/>
      <c r="H73" s="45"/>
      <c r="I73" s="45"/>
      <c r="J73" s="45"/>
      <c r="K73" s="45"/>
      <c r="L73" s="45"/>
      <c r="M73" s="45"/>
      <c r="N73" s="45"/>
      <c r="O73" s="45"/>
      <c r="P73" s="45"/>
      <c r="Q73" s="45"/>
      <c r="R73" s="45"/>
      <c r="S73" s="45"/>
      <c r="T73" s="45"/>
      <c r="U73" s="45"/>
      <c r="V73" s="45"/>
      <c r="W73" s="45"/>
      <c r="X73" s="45"/>
      <c r="Y73" s="45"/>
      <c r="Z73" s="34">
        <v>98500</v>
      </c>
      <c r="AA73" s="34">
        <f t="shared" ref="AA73" si="42">((Z73*5.1%)+Z73)</f>
        <v>103523.5</v>
      </c>
      <c r="AB73" s="34">
        <v>94500</v>
      </c>
      <c r="AC73" s="34">
        <f t="shared" ref="AC73" si="43">((AB73*5.1%)+AB73)</f>
        <v>99319.5</v>
      </c>
      <c r="AD73" s="34">
        <v>94500</v>
      </c>
      <c r="AE73" s="34">
        <f t="shared" ref="AE73" si="44">((AD73*5.1%)+AD73)</f>
        <v>99319.5</v>
      </c>
      <c r="AF73" s="45"/>
      <c r="AG73" s="45"/>
      <c r="AH73" s="45"/>
      <c r="AI73" s="45"/>
      <c r="AJ73" s="45"/>
      <c r="AK73" s="45"/>
      <c r="AL73" s="45"/>
      <c r="AM73" s="45"/>
      <c r="AN73" s="45"/>
      <c r="AO73" s="45"/>
      <c r="AP73" s="45"/>
      <c r="AQ73" s="45"/>
      <c r="AR73" s="45"/>
      <c r="AS73" s="45"/>
      <c r="AT73" s="45"/>
      <c r="AU73" s="45"/>
      <c r="AV73" s="45"/>
      <c r="AW73" s="45"/>
      <c r="AX73" s="45"/>
      <c r="AY73" s="45"/>
      <c r="AZ73" s="45"/>
      <c r="BA73" s="45"/>
      <c r="BB73" s="45"/>
      <c r="BC73" s="45"/>
      <c r="BD73" s="45"/>
      <c r="BE73" s="45"/>
      <c r="BF73" s="45"/>
      <c r="BG73" s="107">
        <f t="shared" si="32"/>
        <v>99319.5</v>
      </c>
      <c r="BH73" s="107">
        <f t="shared" si="33"/>
        <v>100720.83333333333</v>
      </c>
      <c r="BI73" s="108">
        <f t="shared" si="34"/>
        <v>2427.1805316731866</v>
      </c>
      <c r="BJ73" s="65">
        <f t="shared" si="12"/>
        <v>2.4098098192262642E-2</v>
      </c>
      <c r="BK73" s="66">
        <f t="shared" si="10"/>
        <v>100721</v>
      </c>
      <c r="BL73" s="66">
        <v>0</v>
      </c>
      <c r="BM73" s="109">
        <f t="shared" si="29"/>
        <v>100721</v>
      </c>
      <c r="BN73" s="109">
        <f t="shared" si="35"/>
        <v>201442</v>
      </c>
      <c r="BO73" s="110" t="s">
        <v>903</v>
      </c>
    </row>
    <row r="74" spans="1:67" ht="170" x14ac:dyDescent="0.2">
      <c r="A74" s="105">
        <v>69</v>
      </c>
      <c r="B74" s="106" t="s">
        <v>125</v>
      </c>
      <c r="C74" s="106" t="s">
        <v>126</v>
      </c>
      <c r="D74" s="115" t="s">
        <v>117</v>
      </c>
      <c r="E74" s="115">
        <v>2</v>
      </c>
      <c r="F74" s="45"/>
      <c r="G74" s="45"/>
      <c r="H74" s="45"/>
      <c r="I74" s="45"/>
      <c r="J74" s="45"/>
      <c r="K74" s="45"/>
      <c r="L74" s="45"/>
      <c r="M74" s="45"/>
      <c r="N74" s="45"/>
      <c r="O74" s="45"/>
      <c r="P74" s="45"/>
      <c r="Q74" s="45"/>
      <c r="R74" s="45"/>
      <c r="S74" s="45"/>
      <c r="T74" s="45"/>
      <c r="U74" s="45"/>
      <c r="V74" s="45"/>
      <c r="W74" s="45"/>
      <c r="X74" s="45"/>
      <c r="Y74" s="45"/>
      <c r="Z74" s="34">
        <v>115600</v>
      </c>
      <c r="AA74" s="34">
        <f t="shared" ref="AA74" si="45">((Z74*5.1%)+Z74)</f>
        <v>121495.6</v>
      </c>
      <c r="AB74" s="34">
        <v>105600</v>
      </c>
      <c r="AC74" s="34">
        <f t="shared" ref="AC74" si="46">((AB74*5.1%)+AB74)</f>
        <v>110985.60000000001</v>
      </c>
      <c r="AD74" s="34">
        <v>105600</v>
      </c>
      <c r="AE74" s="34">
        <f t="shared" ref="AE74" si="47">((AD74*5.1%)+AD74)</f>
        <v>110985.60000000001</v>
      </c>
      <c r="AF74" s="45"/>
      <c r="AG74" s="45"/>
      <c r="AH74" s="45"/>
      <c r="AI74" s="45"/>
      <c r="AJ74" s="45"/>
      <c r="AK74" s="45"/>
      <c r="AL74" s="45"/>
      <c r="AM74" s="45"/>
      <c r="AN74" s="45"/>
      <c r="AO74" s="45"/>
      <c r="AP74" s="45"/>
      <c r="AQ74" s="45"/>
      <c r="AR74" s="45"/>
      <c r="AS74" s="45"/>
      <c r="AT74" s="45"/>
      <c r="AU74" s="45"/>
      <c r="AV74" s="45"/>
      <c r="AW74" s="45"/>
      <c r="AX74" s="45"/>
      <c r="AY74" s="45"/>
      <c r="AZ74" s="45"/>
      <c r="BA74" s="45"/>
      <c r="BB74" s="45"/>
      <c r="BC74" s="45"/>
      <c r="BD74" s="45"/>
      <c r="BE74" s="45"/>
      <c r="BF74" s="45"/>
      <c r="BG74" s="107">
        <f t="shared" si="32"/>
        <v>110985.60000000001</v>
      </c>
      <c r="BH74" s="107">
        <f t="shared" si="33"/>
        <v>114488.93333333335</v>
      </c>
      <c r="BI74" s="108">
        <f t="shared" si="34"/>
        <v>6067.9513291829671</v>
      </c>
      <c r="BJ74" s="65">
        <f t="shared" si="12"/>
        <v>5.3000330708961971E-2</v>
      </c>
      <c r="BK74" s="66">
        <f t="shared" si="10"/>
        <v>114489</v>
      </c>
      <c r="BL74" s="66">
        <v>0</v>
      </c>
      <c r="BM74" s="109">
        <f t="shared" si="29"/>
        <v>114489</v>
      </c>
      <c r="BN74" s="109">
        <f t="shared" si="35"/>
        <v>228978</v>
      </c>
      <c r="BO74" s="110" t="s">
        <v>903</v>
      </c>
    </row>
    <row r="75" spans="1:67" ht="221" x14ac:dyDescent="0.2">
      <c r="A75" s="105">
        <v>70</v>
      </c>
      <c r="B75" s="106" t="s">
        <v>127</v>
      </c>
      <c r="C75" s="106" t="s">
        <v>1191</v>
      </c>
      <c r="D75" s="115" t="s">
        <v>117</v>
      </c>
      <c r="E75" s="115">
        <v>2</v>
      </c>
      <c r="F75" s="45"/>
      <c r="G75" s="45"/>
      <c r="H75" s="45"/>
      <c r="I75" s="45"/>
      <c r="J75" s="45"/>
      <c r="K75" s="45"/>
      <c r="L75" s="45"/>
      <c r="M75" s="45"/>
      <c r="N75" s="45"/>
      <c r="O75" s="45"/>
      <c r="P75" s="45"/>
      <c r="Q75" s="45"/>
      <c r="R75" s="45"/>
      <c r="S75" s="45"/>
      <c r="T75" s="45"/>
      <c r="U75" s="45"/>
      <c r="V75" s="45"/>
      <c r="W75" s="45"/>
      <c r="X75" s="45"/>
      <c r="Y75" s="45"/>
      <c r="Z75" s="34"/>
      <c r="AA75" s="34"/>
      <c r="AB75" s="34"/>
      <c r="AC75" s="34"/>
      <c r="AD75" s="34"/>
      <c r="AE75" s="34"/>
      <c r="AF75" s="45"/>
      <c r="AG75" s="45"/>
      <c r="AH75" s="45"/>
      <c r="AI75" s="45"/>
      <c r="AJ75" s="45"/>
      <c r="AK75" s="45"/>
      <c r="AL75" s="45"/>
      <c r="AM75" s="45"/>
      <c r="AN75" s="45"/>
      <c r="AO75" s="45"/>
      <c r="AP75" s="45"/>
      <c r="AQ75" s="45"/>
      <c r="AR75" s="45"/>
      <c r="AS75" s="45">
        <v>50000</v>
      </c>
      <c r="AT75" s="45"/>
      <c r="AU75" s="45">
        <v>45000</v>
      </c>
      <c r="AV75" s="45"/>
      <c r="AW75" s="45"/>
      <c r="AX75" s="45"/>
      <c r="AY75" s="45"/>
      <c r="AZ75" s="45"/>
      <c r="BA75" s="45"/>
      <c r="BB75" s="45"/>
      <c r="BC75" s="45"/>
      <c r="BD75" s="45"/>
      <c r="BE75" s="45"/>
      <c r="BF75" s="45"/>
      <c r="BG75" s="107">
        <f t="shared" si="32"/>
        <v>47500</v>
      </c>
      <c r="BH75" s="107">
        <f t="shared" si="33"/>
        <v>47500</v>
      </c>
      <c r="BI75" s="108">
        <f t="shared" si="34"/>
        <v>3535.5339059327375</v>
      </c>
      <c r="BJ75" s="65">
        <f t="shared" si="12"/>
        <v>7.4432292756478682E-2</v>
      </c>
      <c r="BK75" s="66">
        <f t="shared" si="10"/>
        <v>47500</v>
      </c>
      <c r="BL75" s="66">
        <v>0</v>
      </c>
      <c r="BM75" s="109">
        <f t="shared" si="29"/>
        <v>47500</v>
      </c>
      <c r="BN75" s="109">
        <f t="shared" si="35"/>
        <v>95000</v>
      </c>
      <c r="BO75" s="110" t="s">
        <v>903</v>
      </c>
    </row>
    <row r="76" spans="1:67" ht="51" x14ac:dyDescent="0.2">
      <c r="A76" s="105">
        <v>71</v>
      </c>
      <c r="B76" s="106" t="s">
        <v>128</v>
      </c>
      <c r="C76" s="106" t="s">
        <v>129</v>
      </c>
      <c r="D76" s="115" t="s">
        <v>117</v>
      </c>
      <c r="E76" s="115">
        <v>2</v>
      </c>
      <c r="F76" s="45"/>
      <c r="G76" s="45"/>
      <c r="H76" s="45"/>
      <c r="I76" s="45"/>
      <c r="J76" s="45"/>
      <c r="K76" s="45"/>
      <c r="L76" s="45"/>
      <c r="M76" s="45"/>
      <c r="N76" s="45"/>
      <c r="O76" s="45"/>
      <c r="P76" s="45"/>
      <c r="Q76" s="45"/>
      <c r="R76" s="45"/>
      <c r="S76" s="45"/>
      <c r="T76" s="45"/>
      <c r="U76" s="45"/>
      <c r="V76" s="45"/>
      <c r="W76" s="45"/>
      <c r="X76" s="45"/>
      <c r="Y76" s="45"/>
      <c r="Z76" s="34"/>
      <c r="AA76" s="34"/>
      <c r="AB76" s="34"/>
      <c r="AC76" s="34"/>
      <c r="AD76" s="34"/>
      <c r="AE76" s="34"/>
      <c r="AF76" s="45"/>
      <c r="AG76" s="45"/>
      <c r="AH76" s="45"/>
      <c r="AI76" s="45"/>
      <c r="AJ76" s="45"/>
      <c r="AK76" s="45"/>
      <c r="AL76" s="45"/>
      <c r="AM76" s="45"/>
      <c r="AN76" s="45"/>
      <c r="AO76" s="45"/>
      <c r="AP76" s="45"/>
      <c r="AQ76" s="45"/>
      <c r="AR76" s="45"/>
      <c r="AS76" s="45">
        <v>70000</v>
      </c>
      <c r="AT76" s="45"/>
      <c r="AU76" s="45">
        <v>62000</v>
      </c>
      <c r="AV76" s="45"/>
      <c r="AW76" s="45"/>
      <c r="AX76" s="45"/>
      <c r="AY76" s="45"/>
      <c r="AZ76" s="45"/>
      <c r="BA76" s="45"/>
      <c r="BB76" s="45"/>
      <c r="BC76" s="45"/>
      <c r="BD76" s="45"/>
      <c r="BE76" s="45"/>
      <c r="BF76" s="45"/>
      <c r="BG76" s="107">
        <f t="shared" si="32"/>
        <v>66000</v>
      </c>
      <c r="BH76" s="107">
        <f t="shared" si="33"/>
        <v>66000</v>
      </c>
      <c r="BI76" s="108">
        <f t="shared" si="34"/>
        <v>5656.8542494923804</v>
      </c>
      <c r="BJ76" s="65">
        <f t="shared" si="12"/>
        <v>8.5709912871096666E-2</v>
      </c>
      <c r="BK76" s="66">
        <f t="shared" si="10"/>
        <v>66000</v>
      </c>
      <c r="BL76" s="66">
        <v>0</v>
      </c>
      <c r="BM76" s="109">
        <f t="shared" si="29"/>
        <v>66000</v>
      </c>
      <c r="BN76" s="109">
        <f t="shared" si="35"/>
        <v>132000</v>
      </c>
      <c r="BO76" s="110" t="s">
        <v>903</v>
      </c>
    </row>
    <row r="77" spans="1:67" ht="319" x14ac:dyDescent="0.2">
      <c r="A77" s="105">
        <v>72</v>
      </c>
      <c r="B77" s="106" t="s">
        <v>130</v>
      </c>
      <c r="C77" s="106" t="s">
        <v>1192</v>
      </c>
      <c r="D77" s="115" t="s">
        <v>117</v>
      </c>
      <c r="E77" s="115">
        <v>2</v>
      </c>
      <c r="F77" s="45"/>
      <c r="G77" s="45"/>
      <c r="H77" s="45"/>
      <c r="I77" s="45"/>
      <c r="J77" s="45"/>
      <c r="K77" s="45"/>
      <c r="L77" s="45"/>
      <c r="M77" s="45"/>
      <c r="N77" s="45"/>
      <c r="O77" s="45"/>
      <c r="P77" s="45"/>
      <c r="Q77" s="45"/>
      <c r="R77" s="45"/>
      <c r="S77" s="45"/>
      <c r="T77" s="45"/>
      <c r="U77" s="45"/>
      <c r="V77" s="45"/>
      <c r="W77" s="45"/>
      <c r="X77" s="45"/>
      <c r="Y77" s="45"/>
      <c r="Z77" s="34">
        <v>132500</v>
      </c>
      <c r="AA77" s="34">
        <f t="shared" ref="AA77" si="48">((Z77*5.1%)+Z77)</f>
        <v>139257.5</v>
      </c>
      <c r="AB77" s="34">
        <v>145600</v>
      </c>
      <c r="AC77" s="34">
        <f t="shared" ref="AC77" si="49">((AB77*5.1%)+AB77)</f>
        <v>153025.60000000001</v>
      </c>
      <c r="AD77" s="34">
        <v>145600</v>
      </c>
      <c r="AE77" s="34">
        <f t="shared" ref="AE77" si="50">((AD77*5.1%)+AD77)</f>
        <v>153025.60000000001</v>
      </c>
      <c r="AF77" s="45"/>
      <c r="AG77" s="45"/>
      <c r="AH77" s="45"/>
      <c r="AI77" s="45"/>
      <c r="AJ77" s="45"/>
      <c r="AK77" s="45"/>
      <c r="AL77" s="45"/>
      <c r="AM77" s="45"/>
      <c r="AN77" s="45"/>
      <c r="AO77" s="45"/>
      <c r="AP77" s="45"/>
      <c r="AQ77" s="45"/>
      <c r="AR77" s="45"/>
      <c r="AS77" s="45"/>
      <c r="AT77" s="45"/>
      <c r="AU77" s="45"/>
      <c r="AV77" s="45"/>
      <c r="AW77" s="45"/>
      <c r="AX77" s="45"/>
      <c r="AY77" s="45"/>
      <c r="AZ77" s="45"/>
      <c r="BA77" s="45"/>
      <c r="BB77" s="45"/>
      <c r="BC77" s="45"/>
      <c r="BD77" s="45"/>
      <c r="BE77" s="45"/>
      <c r="BF77" s="45"/>
      <c r="BG77" s="107">
        <f t="shared" si="32"/>
        <v>153025.60000000001</v>
      </c>
      <c r="BH77" s="107">
        <f t="shared" si="33"/>
        <v>148436.23333333331</v>
      </c>
      <c r="BI77" s="108">
        <f t="shared" si="34"/>
        <v>7949.0162412296895</v>
      </c>
      <c r="BJ77" s="65">
        <f t="shared" si="12"/>
        <v>5.3551724284050757E-2</v>
      </c>
      <c r="BK77" s="66">
        <f t="shared" si="10"/>
        <v>148437</v>
      </c>
      <c r="BL77" s="66">
        <v>0</v>
      </c>
      <c r="BM77" s="109">
        <f t="shared" si="29"/>
        <v>148437</v>
      </c>
      <c r="BN77" s="109">
        <f t="shared" si="35"/>
        <v>296874</v>
      </c>
      <c r="BO77" s="110" t="s">
        <v>903</v>
      </c>
    </row>
    <row r="78" spans="1:67" ht="102" x14ac:dyDescent="0.2">
      <c r="A78" s="105">
        <v>73</v>
      </c>
      <c r="B78" s="106" t="s">
        <v>131</v>
      </c>
      <c r="C78" s="106" t="s">
        <v>1193</v>
      </c>
      <c r="D78" s="115" t="s">
        <v>117</v>
      </c>
      <c r="E78" s="115">
        <v>2</v>
      </c>
      <c r="F78" s="45"/>
      <c r="G78" s="45"/>
      <c r="H78" s="45"/>
      <c r="I78" s="45"/>
      <c r="J78" s="45"/>
      <c r="K78" s="45"/>
      <c r="L78" s="45"/>
      <c r="M78" s="45"/>
      <c r="N78" s="45"/>
      <c r="O78" s="45"/>
      <c r="P78" s="45"/>
      <c r="Q78" s="45"/>
      <c r="R78" s="45"/>
      <c r="S78" s="45"/>
      <c r="T78" s="45"/>
      <c r="U78" s="45"/>
      <c r="V78" s="45"/>
      <c r="W78" s="45"/>
      <c r="X78" s="45"/>
      <c r="Y78" s="45"/>
      <c r="Z78" s="34">
        <v>85000</v>
      </c>
      <c r="AA78" s="34">
        <f t="shared" ref="AA78:AA83" si="51">((Z78*5.1%)+Z78)</f>
        <v>89335</v>
      </c>
      <c r="AB78" s="34">
        <v>90500</v>
      </c>
      <c r="AC78" s="34">
        <f t="shared" ref="AC78" si="52">((AB78*5.1%)+AB78)</f>
        <v>95115.5</v>
      </c>
      <c r="AD78" s="34">
        <v>90500</v>
      </c>
      <c r="AE78" s="34">
        <f t="shared" ref="AE78" si="53">((AD78*5.1%)+AD78)</f>
        <v>95115.5</v>
      </c>
      <c r="AF78" s="45"/>
      <c r="AG78" s="45"/>
      <c r="AH78" s="45"/>
      <c r="AI78" s="45"/>
      <c r="AJ78" s="45"/>
      <c r="AK78" s="45"/>
      <c r="AL78" s="45"/>
      <c r="AM78" s="45"/>
      <c r="AN78" s="45"/>
      <c r="AO78" s="45"/>
      <c r="AP78" s="45"/>
      <c r="AQ78" s="45"/>
      <c r="AR78" s="45"/>
      <c r="AS78" s="45"/>
      <c r="AT78" s="45"/>
      <c r="AU78" s="45"/>
      <c r="AV78" s="45"/>
      <c r="AW78" s="45"/>
      <c r="AX78" s="45"/>
      <c r="AY78" s="45"/>
      <c r="AZ78" s="45"/>
      <c r="BA78" s="45"/>
      <c r="BB78" s="45"/>
      <c r="BC78" s="45"/>
      <c r="BD78" s="45"/>
      <c r="BE78" s="45"/>
      <c r="BF78" s="45"/>
      <c r="BG78" s="107">
        <f t="shared" si="32"/>
        <v>95115.5</v>
      </c>
      <c r="BH78" s="107">
        <f t="shared" si="33"/>
        <v>93188.666666666672</v>
      </c>
      <c r="BI78" s="108">
        <f t="shared" si="34"/>
        <v>3337.3732310506316</v>
      </c>
      <c r="BJ78" s="65">
        <f t="shared" si="12"/>
        <v>3.5813080607627161E-2</v>
      </c>
      <c r="BK78" s="66">
        <f t="shared" si="10"/>
        <v>93189</v>
      </c>
      <c r="BL78" s="66">
        <v>0</v>
      </c>
      <c r="BM78" s="109">
        <f t="shared" si="29"/>
        <v>93189</v>
      </c>
      <c r="BN78" s="109">
        <f t="shared" si="35"/>
        <v>186378</v>
      </c>
      <c r="BO78" s="110" t="s">
        <v>903</v>
      </c>
    </row>
    <row r="79" spans="1:67" ht="85" x14ac:dyDescent="0.2">
      <c r="A79" s="105">
        <v>74</v>
      </c>
      <c r="B79" s="106" t="s">
        <v>132</v>
      </c>
      <c r="C79" s="106" t="s">
        <v>1194</v>
      </c>
      <c r="D79" s="115" t="s">
        <v>7</v>
      </c>
      <c r="E79" s="115">
        <v>45</v>
      </c>
      <c r="F79" s="45"/>
      <c r="G79" s="45"/>
      <c r="H79" s="45"/>
      <c r="I79" s="45"/>
      <c r="J79" s="45"/>
      <c r="K79" s="45"/>
      <c r="L79" s="45"/>
      <c r="M79" s="45"/>
      <c r="N79" s="45"/>
      <c r="O79" s="45"/>
      <c r="P79" s="45"/>
      <c r="Q79" s="45"/>
      <c r="R79" s="45"/>
      <c r="S79" s="45"/>
      <c r="T79" s="34"/>
      <c r="U79" s="34"/>
      <c r="V79" s="45"/>
      <c r="W79" s="45"/>
      <c r="X79" s="45"/>
      <c r="Y79" s="45"/>
      <c r="Z79" s="34">
        <v>17255</v>
      </c>
      <c r="AA79" s="34">
        <f t="shared" si="51"/>
        <v>18135.005000000001</v>
      </c>
      <c r="AB79" s="34">
        <v>19635</v>
      </c>
      <c r="AC79" s="34">
        <f t="shared" ref="AC79" si="54">((AB79*5.1%)+AB79)</f>
        <v>20636.384999999998</v>
      </c>
      <c r="AD79" s="45"/>
      <c r="AE79" s="45"/>
      <c r="AF79" s="45"/>
      <c r="AG79" s="45"/>
      <c r="AH79" s="45"/>
      <c r="AI79" s="45"/>
      <c r="AJ79" s="45"/>
      <c r="AK79" s="45"/>
      <c r="AL79" s="45"/>
      <c r="AM79" s="45"/>
      <c r="AN79" s="45"/>
      <c r="AO79" s="45"/>
      <c r="AP79" s="45"/>
      <c r="AQ79" s="45"/>
      <c r="AR79" s="45"/>
      <c r="AS79" s="45"/>
      <c r="AT79" s="45"/>
      <c r="AU79" s="45"/>
      <c r="AV79" s="45"/>
      <c r="AW79" s="45"/>
      <c r="AX79" s="45"/>
      <c r="AY79" s="45"/>
      <c r="AZ79" s="45"/>
      <c r="BA79" s="45"/>
      <c r="BB79" s="45"/>
      <c r="BC79" s="45"/>
      <c r="BD79" s="45"/>
      <c r="BE79" s="45"/>
      <c r="BF79" s="45"/>
      <c r="BG79" s="107">
        <f t="shared" si="32"/>
        <v>19385.695</v>
      </c>
      <c r="BH79" s="107">
        <f t="shared" si="33"/>
        <v>19385.695</v>
      </c>
      <c r="BI79" s="108">
        <f t="shared" si="34"/>
        <v>1768.7427603244043</v>
      </c>
      <c r="BJ79" s="65">
        <f t="shared" si="12"/>
        <v>9.1239584669231835E-2</v>
      </c>
      <c r="BK79" s="66">
        <f>BM79/1.19</f>
        <v>16290.756302521009</v>
      </c>
      <c r="BL79" s="66">
        <f>BK79*19%</f>
        <v>3095.2436974789916</v>
      </c>
      <c r="BM79" s="109">
        <f t="shared" si="29"/>
        <v>19386</v>
      </c>
      <c r="BN79" s="109">
        <f t="shared" si="35"/>
        <v>872370</v>
      </c>
      <c r="BO79" s="110" t="s">
        <v>903</v>
      </c>
    </row>
    <row r="80" spans="1:67" ht="85" x14ac:dyDescent="0.2">
      <c r="A80" s="105">
        <v>75</v>
      </c>
      <c r="B80" s="106" t="s">
        <v>132</v>
      </c>
      <c r="C80" s="106" t="s">
        <v>1195</v>
      </c>
      <c r="D80" s="115" t="s">
        <v>7</v>
      </c>
      <c r="E80" s="115">
        <v>90</v>
      </c>
      <c r="F80" s="45"/>
      <c r="G80" s="45"/>
      <c r="H80" s="45"/>
      <c r="I80" s="45"/>
      <c r="J80" s="45"/>
      <c r="K80" s="45"/>
      <c r="L80" s="45"/>
      <c r="M80" s="45"/>
      <c r="N80" s="45"/>
      <c r="O80" s="45"/>
      <c r="P80" s="45"/>
      <c r="Q80" s="45"/>
      <c r="R80" s="45"/>
      <c r="S80" s="45"/>
      <c r="T80" s="34"/>
      <c r="U80" s="34"/>
      <c r="V80" s="45"/>
      <c r="W80" s="45"/>
      <c r="X80" s="45"/>
      <c r="Y80" s="45"/>
      <c r="Z80" s="34">
        <v>17255</v>
      </c>
      <c r="AA80" s="34">
        <f t="shared" si="51"/>
        <v>18135.005000000001</v>
      </c>
      <c r="AB80" s="34">
        <v>19635</v>
      </c>
      <c r="AC80" s="34">
        <f t="shared" ref="AC80" si="55">((AB80*5.1%)+AB80)</f>
        <v>20636.384999999998</v>
      </c>
      <c r="AD80" s="45"/>
      <c r="AE80" s="45"/>
      <c r="AF80" s="45"/>
      <c r="AG80" s="45"/>
      <c r="AH80" s="45"/>
      <c r="AI80" s="45"/>
      <c r="AJ80" s="45"/>
      <c r="AK80" s="45"/>
      <c r="AL80" s="45"/>
      <c r="AM80" s="45"/>
      <c r="AN80" s="45"/>
      <c r="AO80" s="45"/>
      <c r="AP80" s="45"/>
      <c r="AQ80" s="45"/>
      <c r="AR80" s="45"/>
      <c r="AS80" s="45"/>
      <c r="AT80" s="45"/>
      <c r="AU80" s="45"/>
      <c r="AV80" s="45"/>
      <c r="AW80" s="45"/>
      <c r="AX80" s="45"/>
      <c r="AY80" s="45"/>
      <c r="AZ80" s="45"/>
      <c r="BA80" s="45"/>
      <c r="BB80" s="45"/>
      <c r="BC80" s="45"/>
      <c r="BD80" s="45"/>
      <c r="BE80" s="45"/>
      <c r="BF80" s="45"/>
      <c r="BG80" s="107">
        <f t="shared" si="32"/>
        <v>19385.695</v>
      </c>
      <c r="BH80" s="107">
        <f t="shared" si="33"/>
        <v>19385.695</v>
      </c>
      <c r="BI80" s="108">
        <f t="shared" si="34"/>
        <v>1768.7427603244043</v>
      </c>
      <c r="BJ80" s="65">
        <f t="shared" si="12"/>
        <v>9.1239584669231835E-2</v>
      </c>
      <c r="BK80" s="66">
        <f>BM80/1.19</f>
        <v>16290.756302521009</v>
      </c>
      <c r="BL80" s="66">
        <f t="shared" ref="BL80:BL129" si="56">BK80*19%</f>
        <v>3095.2436974789916</v>
      </c>
      <c r="BM80" s="109">
        <f t="shared" si="29"/>
        <v>19386</v>
      </c>
      <c r="BN80" s="109">
        <f t="shared" si="35"/>
        <v>1744740</v>
      </c>
      <c r="BO80" s="110" t="s">
        <v>903</v>
      </c>
    </row>
    <row r="81" spans="1:67" ht="102" x14ac:dyDescent="0.2">
      <c r="A81" s="105">
        <v>76</v>
      </c>
      <c r="B81" s="106" t="s">
        <v>132</v>
      </c>
      <c r="C81" s="106" t="s">
        <v>1196</v>
      </c>
      <c r="D81" s="115" t="s">
        <v>7</v>
      </c>
      <c r="E81" s="115">
        <v>90</v>
      </c>
      <c r="F81" s="45"/>
      <c r="G81" s="45"/>
      <c r="H81" s="45"/>
      <c r="I81" s="45"/>
      <c r="J81" s="45"/>
      <c r="K81" s="45"/>
      <c r="L81" s="45"/>
      <c r="M81" s="45"/>
      <c r="N81" s="45"/>
      <c r="O81" s="45"/>
      <c r="P81" s="45"/>
      <c r="Q81" s="45"/>
      <c r="R81" s="45"/>
      <c r="S81" s="45"/>
      <c r="T81" s="34"/>
      <c r="U81" s="34"/>
      <c r="V81" s="45"/>
      <c r="W81" s="45"/>
      <c r="X81" s="45"/>
      <c r="Y81" s="45"/>
      <c r="Z81" s="34">
        <v>17255</v>
      </c>
      <c r="AA81" s="34">
        <f t="shared" si="51"/>
        <v>18135.005000000001</v>
      </c>
      <c r="AB81" s="34">
        <v>19635</v>
      </c>
      <c r="AC81" s="34">
        <f t="shared" ref="AC81" si="57">((AB81*5.1%)+AB81)</f>
        <v>20636.384999999998</v>
      </c>
      <c r="AD81" s="45"/>
      <c r="AE81" s="45"/>
      <c r="AF81" s="45"/>
      <c r="AG81" s="45"/>
      <c r="AH81" s="45"/>
      <c r="AI81" s="45"/>
      <c r="AJ81" s="45"/>
      <c r="AK81" s="45"/>
      <c r="AL81" s="45"/>
      <c r="AM81" s="45"/>
      <c r="AN81" s="45"/>
      <c r="AO81" s="45"/>
      <c r="AP81" s="45"/>
      <c r="AQ81" s="45"/>
      <c r="AR81" s="45"/>
      <c r="AS81" s="45"/>
      <c r="AT81" s="45"/>
      <c r="AU81" s="45"/>
      <c r="AV81" s="45"/>
      <c r="AW81" s="45"/>
      <c r="AX81" s="45"/>
      <c r="AY81" s="45"/>
      <c r="AZ81" s="45"/>
      <c r="BA81" s="45"/>
      <c r="BB81" s="45"/>
      <c r="BC81" s="45"/>
      <c r="BD81" s="45"/>
      <c r="BE81" s="45"/>
      <c r="BF81" s="45"/>
      <c r="BG81" s="107">
        <f t="shared" si="32"/>
        <v>19385.695</v>
      </c>
      <c r="BH81" s="107">
        <f t="shared" si="33"/>
        <v>19385.695</v>
      </c>
      <c r="BI81" s="108">
        <f t="shared" si="34"/>
        <v>1768.7427603244043</v>
      </c>
      <c r="BJ81" s="65">
        <f t="shared" si="12"/>
        <v>9.1239584669231835E-2</v>
      </c>
      <c r="BK81" s="66">
        <f>BM81/1.19</f>
        <v>16290.756302521009</v>
      </c>
      <c r="BL81" s="66">
        <f t="shared" si="56"/>
        <v>3095.2436974789916</v>
      </c>
      <c r="BM81" s="109">
        <f t="shared" si="29"/>
        <v>19386</v>
      </c>
      <c r="BN81" s="109">
        <f t="shared" si="35"/>
        <v>1744740</v>
      </c>
      <c r="BO81" s="110" t="s">
        <v>903</v>
      </c>
    </row>
    <row r="82" spans="1:67" ht="102" x14ac:dyDescent="0.2">
      <c r="A82" s="105">
        <v>77</v>
      </c>
      <c r="B82" s="106" t="s">
        <v>132</v>
      </c>
      <c r="C82" s="106" t="s">
        <v>1197</v>
      </c>
      <c r="D82" s="115" t="s">
        <v>7</v>
      </c>
      <c r="E82" s="115">
        <v>40</v>
      </c>
      <c r="F82" s="45"/>
      <c r="G82" s="45"/>
      <c r="H82" s="45"/>
      <c r="I82" s="45"/>
      <c r="J82" s="45"/>
      <c r="K82" s="45"/>
      <c r="L82" s="45"/>
      <c r="M82" s="45"/>
      <c r="N82" s="45"/>
      <c r="O82" s="45"/>
      <c r="P82" s="45"/>
      <c r="Q82" s="45"/>
      <c r="R82" s="45"/>
      <c r="S82" s="45"/>
      <c r="T82" s="34"/>
      <c r="U82" s="34"/>
      <c r="V82" s="45"/>
      <c r="W82" s="45"/>
      <c r="X82" s="45"/>
      <c r="Y82" s="45"/>
      <c r="Z82" s="34">
        <v>17255</v>
      </c>
      <c r="AA82" s="34">
        <f t="shared" si="51"/>
        <v>18135.005000000001</v>
      </c>
      <c r="AB82" s="34">
        <v>19635</v>
      </c>
      <c r="AC82" s="34">
        <f t="shared" ref="AC82" si="58">((AB82*5.1%)+AB82)</f>
        <v>20636.384999999998</v>
      </c>
      <c r="AD82" s="45"/>
      <c r="AE82" s="45"/>
      <c r="AF82" s="45"/>
      <c r="AG82" s="45"/>
      <c r="AH82" s="45"/>
      <c r="AI82" s="45"/>
      <c r="AJ82" s="45"/>
      <c r="AK82" s="45"/>
      <c r="AL82" s="45"/>
      <c r="AM82" s="45"/>
      <c r="AN82" s="45"/>
      <c r="AO82" s="45"/>
      <c r="AP82" s="45"/>
      <c r="AQ82" s="45"/>
      <c r="AR82" s="45"/>
      <c r="AS82" s="45"/>
      <c r="AT82" s="45"/>
      <c r="AU82" s="45"/>
      <c r="AV82" s="45"/>
      <c r="AW82" s="45"/>
      <c r="AX82" s="45"/>
      <c r="AY82" s="45"/>
      <c r="AZ82" s="45"/>
      <c r="BA82" s="45"/>
      <c r="BB82" s="45"/>
      <c r="BC82" s="45"/>
      <c r="BD82" s="45"/>
      <c r="BE82" s="45"/>
      <c r="BF82" s="45"/>
      <c r="BG82" s="107">
        <f t="shared" si="32"/>
        <v>19385.695</v>
      </c>
      <c r="BH82" s="107">
        <f t="shared" si="33"/>
        <v>19385.695</v>
      </c>
      <c r="BI82" s="108">
        <f t="shared" si="34"/>
        <v>1768.7427603244043</v>
      </c>
      <c r="BJ82" s="65">
        <f t="shared" si="12"/>
        <v>9.1239584669231835E-2</v>
      </c>
      <c r="BK82" s="66">
        <f>BM82/1.19</f>
        <v>16290.756302521009</v>
      </c>
      <c r="BL82" s="66">
        <f t="shared" si="56"/>
        <v>3095.2436974789916</v>
      </c>
      <c r="BM82" s="109">
        <f t="shared" si="29"/>
        <v>19386</v>
      </c>
      <c r="BN82" s="109">
        <f t="shared" si="35"/>
        <v>775440</v>
      </c>
      <c r="BO82" s="110" t="s">
        <v>903</v>
      </c>
    </row>
    <row r="83" spans="1:67" ht="68" x14ac:dyDescent="0.2">
      <c r="A83" s="105">
        <v>78</v>
      </c>
      <c r="B83" s="106" t="s">
        <v>133</v>
      </c>
      <c r="C83" s="106" t="s">
        <v>134</v>
      </c>
      <c r="D83" s="115" t="s">
        <v>117</v>
      </c>
      <c r="E83" s="115">
        <v>2</v>
      </c>
      <c r="F83" s="45"/>
      <c r="G83" s="45"/>
      <c r="H83" s="45"/>
      <c r="I83" s="45"/>
      <c r="J83" s="45"/>
      <c r="K83" s="45"/>
      <c r="L83" s="45"/>
      <c r="M83" s="45"/>
      <c r="N83" s="45"/>
      <c r="O83" s="45"/>
      <c r="P83" s="45"/>
      <c r="Q83" s="45"/>
      <c r="R83" s="45"/>
      <c r="S83" s="45"/>
      <c r="T83" s="34"/>
      <c r="U83" s="34"/>
      <c r="V83" s="45"/>
      <c r="W83" s="45"/>
      <c r="X83" s="45"/>
      <c r="Y83" s="45"/>
      <c r="Z83" s="34">
        <v>101150</v>
      </c>
      <c r="AA83" s="34">
        <f t="shared" si="51"/>
        <v>106308.65</v>
      </c>
      <c r="AB83" s="34">
        <v>84500</v>
      </c>
      <c r="AC83" s="34">
        <f t="shared" ref="AC83" si="59">((AB83*5.1%)+AB83)</f>
        <v>88809.5</v>
      </c>
      <c r="AD83" s="45"/>
      <c r="AE83" s="45"/>
      <c r="AF83" s="45"/>
      <c r="AG83" s="45"/>
      <c r="AH83" s="45"/>
      <c r="AI83" s="45"/>
      <c r="AJ83" s="45"/>
      <c r="AK83" s="45"/>
      <c r="AL83" s="45"/>
      <c r="AM83" s="45"/>
      <c r="AN83" s="45"/>
      <c r="AO83" s="45"/>
      <c r="AP83" s="45"/>
      <c r="AQ83" s="45"/>
      <c r="AR83" s="45"/>
      <c r="AS83" s="45"/>
      <c r="AT83" s="45"/>
      <c r="AU83" s="45"/>
      <c r="AV83" s="45"/>
      <c r="AW83" s="45"/>
      <c r="AX83" s="45"/>
      <c r="AY83" s="45"/>
      <c r="AZ83" s="45"/>
      <c r="BA83" s="45"/>
      <c r="BB83" s="45"/>
      <c r="BC83" s="45"/>
      <c r="BD83" s="45"/>
      <c r="BE83" s="45"/>
      <c r="BF83" s="45"/>
      <c r="BG83" s="107">
        <f t="shared" si="32"/>
        <v>97559.074999999997</v>
      </c>
      <c r="BH83" s="107">
        <f t="shared" si="33"/>
        <v>97559.074999999997</v>
      </c>
      <c r="BI83" s="108">
        <f t="shared" si="34"/>
        <v>12373.76763000057</v>
      </c>
      <c r="BJ83" s="65">
        <f t="shared" si="12"/>
        <v>0.12683358908436318</v>
      </c>
      <c r="BK83" s="66">
        <f>BM83</f>
        <v>97560</v>
      </c>
      <c r="BL83" s="66">
        <v>0</v>
      </c>
      <c r="BM83" s="109">
        <f t="shared" si="29"/>
        <v>97560</v>
      </c>
      <c r="BN83" s="109">
        <f t="shared" si="35"/>
        <v>195120</v>
      </c>
      <c r="BO83" s="110" t="s">
        <v>903</v>
      </c>
    </row>
    <row r="84" spans="1:67" ht="85" x14ac:dyDescent="0.2">
      <c r="A84" s="105">
        <v>79</v>
      </c>
      <c r="B84" s="106" t="s">
        <v>135</v>
      </c>
      <c r="C84" s="106" t="s">
        <v>136</v>
      </c>
      <c r="D84" s="115" t="s">
        <v>117</v>
      </c>
      <c r="E84" s="115">
        <v>2</v>
      </c>
      <c r="F84" s="34">
        <v>48000</v>
      </c>
      <c r="G84" s="34">
        <f t="shared" ref="G84:G85" si="60">((F84*5.1%)+F84)</f>
        <v>50448</v>
      </c>
      <c r="H84" s="34">
        <v>45500</v>
      </c>
      <c r="I84" s="34">
        <f t="shared" ref="I84:I85" si="61">((H84*5.1%)+H84)</f>
        <v>47820.5</v>
      </c>
      <c r="J84" s="45"/>
      <c r="K84" s="45"/>
      <c r="L84" s="45"/>
      <c r="M84" s="45"/>
      <c r="N84" s="45"/>
      <c r="O84" s="45"/>
      <c r="P84" s="45"/>
      <c r="Q84" s="45"/>
      <c r="R84" s="45"/>
      <c r="S84" s="45"/>
      <c r="T84" s="34">
        <v>52000</v>
      </c>
      <c r="U84" s="34">
        <f t="shared" ref="U84" si="62">((T84*5.1%)+T84)</f>
        <v>54652</v>
      </c>
      <c r="V84" s="45"/>
      <c r="W84" s="45"/>
      <c r="X84" s="45"/>
      <c r="Y84" s="45"/>
      <c r="Z84" s="34"/>
      <c r="AA84" s="34"/>
      <c r="AB84" s="34"/>
      <c r="AC84" s="34"/>
      <c r="AD84" s="45"/>
      <c r="AE84" s="45"/>
      <c r="AF84" s="45"/>
      <c r="AG84" s="45"/>
      <c r="AH84" s="45"/>
      <c r="AI84" s="45"/>
      <c r="AJ84" s="45"/>
      <c r="AK84" s="45"/>
      <c r="AL84" s="45"/>
      <c r="AM84" s="45"/>
      <c r="AN84" s="45"/>
      <c r="AO84" s="45"/>
      <c r="AP84" s="45"/>
      <c r="AQ84" s="45"/>
      <c r="AR84" s="45"/>
      <c r="AS84" s="45"/>
      <c r="AT84" s="45"/>
      <c r="AU84" s="45"/>
      <c r="AV84" s="45"/>
      <c r="AW84" s="45"/>
      <c r="AX84" s="45"/>
      <c r="AY84" s="45"/>
      <c r="AZ84" s="45"/>
      <c r="BA84" s="45"/>
      <c r="BB84" s="45"/>
      <c r="BC84" s="45"/>
      <c r="BD84" s="45"/>
      <c r="BE84" s="45"/>
      <c r="BF84" s="45"/>
      <c r="BG84" s="107">
        <f t="shared" si="32"/>
        <v>50448</v>
      </c>
      <c r="BH84" s="107">
        <f t="shared" si="33"/>
        <v>50973.5</v>
      </c>
      <c r="BI84" s="108">
        <f t="shared" si="34"/>
        <v>3445.9339445207015</v>
      </c>
      <c r="BJ84" s="65">
        <f t="shared" si="12"/>
        <v>6.7602459013422697E-2</v>
      </c>
      <c r="BK84" s="66">
        <f>BM84</f>
        <v>50974</v>
      </c>
      <c r="BL84" s="66">
        <v>0</v>
      </c>
      <c r="BM84" s="109">
        <f t="shared" si="29"/>
        <v>50974</v>
      </c>
      <c r="BN84" s="109">
        <f t="shared" si="35"/>
        <v>101948</v>
      </c>
      <c r="BO84" s="110" t="s">
        <v>903</v>
      </c>
    </row>
    <row r="85" spans="1:67" ht="242" x14ac:dyDescent="0.2">
      <c r="A85" s="105">
        <v>80</v>
      </c>
      <c r="B85" s="106" t="s">
        <v>137</v>
      </c>
      <c r="C85" s="106" t="s">
        <v>1198</v>
      </c>
      <c r="D85" s="115" t="s">
        <v>117</v>
      </c>
      <c r="E85" s="115">
        <v>2</v>
      </c>
      <c r="F85" s="34">
        <v>45000</v>
      </c>
      <c r="G85" s="34">
        <f t="shared" si="60"/>
        <v>47295</v>
      </c>
      <c r="H85" s="34">
        <v>40000</v>
      </c>
      <c r="I85" s="34">
        <f t="shared" si="61"/>
        <v>42040</v>
      </c>
      <c r="J85" s="45"/>
      <c r="K85" s="45"/>
      <c r="L85" s="45"/>
      <c r="M85" s="45"/>
      <c r="N85" s="45"/>
      <c r="O85" s="45"/>
      <c r="P85" s="45"/>
      <c r="Q85" s="45"/>
      <c r="R85" s="45"/>
      <c r="S85" s="45"/>
      <c r="T85" s="45"/>
      <c r="U85" s="45"/>
      <c r="V85" s="45"/>
      <c r="W85" s="45"/>
      <c r="X85" s="45"/>
      <c r="Y85" s="45"/>
      <c r="Z85" s="45"/>
      <c r="AA85" s="45"/>
      <c r="AB85" s="45"/>
      <c r="AC85" s="45"/>
      <c r="AD85" s="45"/>
      <c r="AE85" s="45"/>
      <c r="AF85" s="45"/>
      <c r="AG85" s="45"/>
      <c r="AH85" s="45"/>
      <c r="AI85" s="45"/>
      <c r="AJ85" s="45"/>
      <c r="AK85" s="45"/>
      <c r="AL85" s="45"/>
      <c r="AM85" s="45"/>
      <c r="AN85" s="45"/>
      <c r="AO85" s="45"/>
      <c r="AP85" s="45"/>
      <c r="AQ85" s="45"/>
      <c r="AR85" s="45"/>
      <c r="AS85" s="45"/>
      <c r="AT85" s="45"/>
      <c r="AU85" s="45"/>
      <c r="AV85" s="45"/>
      <c r="AW85" s="45"/>
      <c r="AX85" s="45"/>
      <c r="AY85" s="45"/>
      <c r="AZ85" s="45"/>
      <c r="BA85" s="45"/>
      <c r="BB85" s="45"/>
      <c r="BC85" s="45"/>
      <c r="BD85" s="45"/>
      <c r="BE85" s="45"/>
      <c r="BF85" s="45"/>
      <c r="BG85" s="107">
        <f t="shared" si="32"/>
        <v>44667.5</v>
      </c>
      <c r="BH85" s="107">
        <f t="shared" si="33"/>
        <v>44667.5</v>
      </c>
      <c r="BI85" s="108">
        <f t="shared" si="34"/>
        <v>3715.8461351353071</v>
      </c>
      <c r="BJ85" s="65">
        <f t="shared" si="12"/>
        <v>8.3189033080770289E-2</v>
      </c>
      <c r="BK85" s="66">
        <f t="shared" ref="BK85:BK105" si="63">BM85</f>
        <v>44668</v>
      </c>
      <c r="BL85" s="66">
        <v>0</v>
      </c>
      <c r="BM85" s="109">
        <f t="shared" si="29"/>
        <v>44668</v>
      </c>
      <c r="BN85" s="109">
        <f t="shared" si="35"/>
        <v>89336</v>
      </c>
      <c r="BO85" s="110" t="s">
        <v>903</v>
      </c>
    </row>
    <row r="86" spans="1:67" ht="68" x14ac:dyDescent="0.2">
      <c r="A86" s="105">
        <v>81</v>
      </c>
      <c r="B86" s="106" t="s">
        <v>138</v>
      </c>
      <c r="C86" s="106" t="s">
        <v>139</v>
      </c>
      <c r="D86" s="115" t="s">
        <v>117</v>
      </c>
      <c r="E86" s="115">
        <v>2</v>
      </c>
      <c r="F86" s="45"/>
      <c r="G86" s="45"/>
      <c r="H86" s="45"/>
      <c r="I86" s="45"/>
      <c r="J86" s="45"/>
      <c r="K86" s="45"/>
      <c r="L86" s="45"/>
      <c r="M86" s="45"/>
      <c r="N86" s="45"/>
      <c r="O86" s="45"/>
      <c r="P86" s="45"/>
      <c r="Q86" s="45"/>
      <c r="R86" s="45"/>
      <c r="S86" s="45"/>
      <c r="T86" s="45"/>
      <c r="U86" s="45"/>
      <c r="V86" s="45"/>
      <c r="W86" s="45"/>
      <c r="X86" s="45"/>
      <c r="Y86" s="45"/>
      <c r="Z86" s="34">
        <v>85000</v>
      </c>
      <c r="AA86" s="34">
        <f t="shared" ref="AA86:AA88" si="64">((Z86*5.1%)+Z86)</f>
        <v>89335</v>
      </c>
      <c r="AB86" s="34">
        <v>84500</v>
      </c>
      <c r="AC86" s="34">
        <f t="shared" ref="AC86:AC88" si="65">((AB86*5.1%)+AB86)</f>
        <v>88809.5</v>
      </c>
      <c r="AD86" s="34">
        <v>84500</v>
      </c>
      <c r="AE86" s="34">
        <f t="shared" ref="AE86:AE88" si="66">((AD86*5.1%)+AD86)</f>
        <v>88809.5</v>
      </c>
      <c r="AF86" s="45"/>
      <c r="AG86" s="45"/>
      <c r="AH86" s="45"/>
      <c r="AI86" s="45"/>
      <c r="AJ86" s="45"/>
      <c r="AK86" s="45"/>
      <c r="AL86" s="45"/>
      <c r="AM86" s="45"/>
      <c r="AN86" s="45"/>
      <c r="AO86" s="45"/>
      <c r="AP86" s="45"/>
      <c r="AQ86" s="45"/>
      <c r="AR86" s="45"/>
      <c r="AS86" s="45"/>
      <c r="AT86" s="45"/>
      <c r="AU86" s="45"/>
      <c r="AV86" s="45"/>
      <c r="AW86" s="45"/>
      <c r="AX86" s="45"/>
      <c r="AY86" s="45"/>
      <c r="AZ86" s="45"/>
      <c r="BA86" s="45"/>
      <c r="BB86" s="45"/>
      <c r="BC86" s="45"/>
      <c r="BD86" s="45"/>
      <c r="BE86" s="45"/>
      <c r="BF86" s="45"/>
      <c r="BG86" s="107">
        <f t="shared" si="32"/>
        <v>88809.5</v>
      </c>
      <c r="BH86" s="107">
        <f t="shared" si="33"/>
        <v>88984.666666666672</v>
      </c>
      <c r="BI86" s="108">
        <f t="shared" si="34"/>
        <v>303.39756645914838</v>
      </c>
      <c r="BJ86" s="65">
        <f t="shared" si="12"/>
        <v>3.4095488337970029E-3</v>
      </c>
      <c r="BK86" s="66">
        <f t="shared" si="63"/>
        <v>88985</v>
      </c>
      <c r="BL86" s="66">
        <v>0</v>
      </c>
      <c r="BM86" s="109">
        <f t="shared" si="29"/>
        <v>88985</v>
      </c>
      <c r="BN86" s="109">
        <f t="shared" si="35"/>
        <v>177970</v>
      </c>
      <c r="BO86" s="110" t="s">
        <v>903</v>
      </c>
    </row>
    <row r="87" spans="1:67" ht="85" x14ac:dyDescent="0.2">
      <c r="A87" s="105">
        <v>82</v>
      </c>
      <c r="B87" s="106" t="s">
        <v>140</v>
      </c>
      <c r="C87" s="106" t="s">
        <v>141</v>
      </c>
      <c r="D87" s="115" t="s">
        <v>117</v>
      </c>
      <c r="E87" s="115">
        <v>2</v>
      </c>
      <c r="F87" s="45"/>
      <c r="G87" s="45"/>
      <c r="H87" s="45"/>
      <c r="I87" s="45"/>
      <c r="J87" s="45"/>
      <c r="K87" s="45"/>
      <c r="L87" s="45"/>
      <c r="M87" s="45"/>
      <c r="N87" s="45"/>
      <c r="O87" s="45"/>
      <c r="P87" s="45"/>
      <c r="Q87" s="45"/>
      <c r="R87" s="45"/>
      <c r="S87" s="45"/>
      <c r="T87" s="45"/>
      <c r="U87" s="45"/>
      <c r="V87" s="45"/>
      <c r="W87" s="45"/>
      <c r="X87" s="45"/>
      <c r="Y87" s="45"/>
      <c r="Z87" s="34">
        <v>85000</v>
      </c>
      <c r="AA87" s="34">
        <f t="shared" si="64"/>
        <v>89335</v>
      </c>
      <c r="AB87" s="34">
        <v>85000</v>
      </c>
      <c r="AC87" s="34">
        <f t="shared" si="65"/>
        <v>89335</v>
      </c>
      <c r="AD87" s="34">
        <v>85000</v>
      </c>
      <c r="AE87" s="34">
        <f t="shared" si="66"/>
        <v>89335</v>
      </c>
      <c r="AF87" s="45"/>
      <c r="AG87" s="45"/>
      <c r="AH87" s="45"/>
      <c r="AI87" s="45"/>
      <c r="AJ87" s="45"/>
      <c r="AK87" s="45"/>
      <c r="AL87" s="45"/>
      <c r="AM87" s="45"/>
      <c r="AN87" s="45"/>
      <c r="AO87" s="45"/>
      <c r="AP87" s="45"/>
      <c r="AQ87" s="45"/>
      <c r="AR87" s="45"/>
      <c r="AS87" s="45"/>
      <c r="AT87" s="45"/>
      <c r="AU87" s="45"/>
      <c r="AV87" s="45"/>
      <c r="AW87" s="45"/>
      <c r="AX87" s="45"/>
      <c r="AY87" s="45"/>
      <c r="AZ87" s="45"/>
      <c r="BA87" s="45"/>
      <c r="BB87" s="45"/>
      <c r="BC87" s="45"/>
      <c r="BD87" s="45"/>
      <c r="BE87" s="45"/>
      <c r="BF87" s="45"/>
      <c r="BG87" s="107">
        <f t="shared" si="32"/>
        <v>89335</v>
      </c>
      <c r="BH87" s="107">
        <f t="shared" si="33"/>
        <v>89335</v>
      </c>
      <c r="BI87" s="108">
        <f t="shared" si="34"/>
        <v>0</v>
      </c>
      <c r="BJ87" s="65">
        <f t="shared" si="12"/>
        <v>0</v>
      </c>
      <c r="BK87" s="66">
        <f t="shared" si="63"/>
        <v>89335</v>
      </c>
      <c r="BL87" s="66">
        <v>0</v>
      </c>
      <c r="BM87" s="109">
        <f t="shared" si="29"/>
        <v>89335</v>
      </c>
      <c r="BN87" s="109">
        <f t="shared" si="35"/>
        <v>178670</v>
      </c>
      <c r="BO87" s="110" t="s">
        <v>903</v>
      </c>
    </row>
    <row r="88" spans="1:67" ht="68" x14ac:dyDescent="0.2">
      <c r="A88" s="105">
        <v>83</v>
      </c>
      <c r="B88" s="106" t="s">
        <v>142</v>
      </c>
      <c r="C88" s="106" t="s">
        <v>143</v>
      </c>
      <c r="D88" s="115" t="s">
        <v>144</v>
      </c>
      <c r="E88" s="115">
        <v>2</v>
      </c>
      <c r="F88" s="45"/>
      <c r="G88" s="45"/>
      <c r="H88" s="45"/>
      <c r="I88" s="45"/>
      <c r="J88" s="45"/>
      <c r="K88" s="45"/>
      <c r="L88" s="45"/>
      <c r="M88" s="45"/>
      <c r="N88" s="45"/>
      <c r="O88" s="45"/>
      <c r="P88" s="45"/>
      <c r="Q88" s="45"/>
      <c r="R88" s="45"/>
      <c r="S88" s="45"/>
      <c r="T88" s="45"/>
      <c r="U88" s="45"/>
      <c r="V88" s="45"/>
      <c r="W88" s="45"/>
      <c r="X88" s="45"/>
      <c r="Y88" s="45"/>
      <c r="Z88" s="34">
        <v>85000</v>
      </c>
      <c r="AA88" s="34">
        <f t="shared" si="64"/>
        <v>89335</v>
      </c>
      <c r="AB88" s="34">
        <v>85000</v>
      </c>
      <c r="AC88" s="34">
        <f t="shared" si="65"/>
        <v>89335</v>
      </c>
      <c r="AD88" s="34">
        <v>85000</v>
      </c>
      <c r="AE88" s="34">
        <f t="shared" si="66"/>
        <v>89335</v>
      </c>
      <c r="AF88" s="45"/>
      <c r="AG88" s="45"/>
      <c r="AH88" s="45"/>
      <c r="AI88" s="45"/>
      <c r="AJ88" s="45"/>
      <c r="AK88" s="45"/>
      <c r="AL88" s="45"/>
      <c r="AM88" s="45"/>
      <c r="AN88" s="45"/>
      <c r="AO88" s="45"/>
      <c r="AP88" s="45"/>
      <c r="AQ88" s="45"/>
      <c r="AR88" s="45"/>
      <c r="AS88" s="45"/>
      <c r="AT88" s="45"/>
      <c r="AU88" s="45"/>
      <c r="AV88" s="45"/>
      <c r="AW88" s="45"/>
      <c r="AX88" s="45"/>
      <c r="AY88" s="45"/>
      <c r="AZ88" s="45"/>
      <c r="BA88" s="45"/>
      <c r="BB88" s="45"/>
      <c r="BC88" s="45"/>
      <c r="BD88" s="45"/>
      <c r="BE88" s="45"/>
      <c r="BF88" s="45"/>
      <c r="BG88" s="107">
        <f t="shared" si="32"/>
        <v>89335</v>
      </c>
      <c r="BH88" s="107">
        <f t="shared" si="33"/>
        <v>89335</v>
      </c>
      <c r="BI88" s="108">
        <f t="shared" si="34"/>
        <v>0</v>
      </c>
      <c r="BJ88" s="65">
        <f t="shared" ref="BJ88:BJ89" si="67">BI88/BH88</f>
        <v>0</v>
      </c>
      <c r="BK88" s="66">
        <f t="shared" si="63"/>
        <v>89335</v>
      </c>
      <c r="BL88" s="66">
        <v>0</v>
      </c>
      <c r="BM88" s="109">
        <f t="shared" si="29"/>
        <v>89335</v>
      </c>
      <c r="BN88" s="109">
        <f t="shared" si="35"/>
        <v>178670</v>
      </c>
      <c r="BO88" s="110" t="s">
        <v>903</v>
      </c>
    </row>
    <row r="89" spans="1:67" ht="238" x14ac:dyDescent="0.2">
      <c r="A89" s="105">
        <v>84</v>
      </c>
      <c r="B89" s="106" t="s">
        <v>145</v>
      </c>
      <c r="C89" s="106" t="s">
        <v>1199</v>
      </c>
      <c r="D89" s="115" t="s">
        <v>117</v>
      </c>
      <c r="E89" s="115">
        <v>1</v>
      </c>
      <c r="F89" s="34">
        <v>25000</v>
      </c>
      <c r="G89" s="34">
        <f t="shared" ref="G89:I94" si="68">((F89*5.1%)+F89)</f>
        <v>26275</v>
      </c>
      <c r="H89" s="34">
        <v>25000</v>
      </c>
      <c r="I89" s="34">
        <f t="shared" ref="I89:I90" si="69">((H89*5.1%)+H89)</f>
        <v>26275</v>
      </c>
      <c r="J89" s="45"/>
      <c r="K89" s="45"/>
      <c r="L89" s="45"/>
      <c r="M89" s="45"/>
      <c r="N89" s="45"/>
      <c r="O89" s="45"/>
      <c r="P89" s="45"/>
      <c r="Q89" s="45"/>
      <c r="R89" s="45"/>
      <c r="S89" s="45"/>
      <c r="T89" s="45"/>
      <c r="U89" s="45"/>
      <c r="V89" s="45"/>
      <c r="W89" s="45"/>
      <c r="X89" s="45"/>
      <c r="Y89" s="45"/>
      <c r="Z89" s="45"/>
      <c r="AA89" s="45"/>
      <c r="AB89" s="45"/>
      <c r="AC89" s="45"/>
      <c r="AD89" s="45"/>
      <c r="AE89" s="45"/>
      <c r="AF89" s="45"/>
      <c r="AG89" s="45"/>
      <c r="AH89" s="45"/>
      <c r="AI89" s="45"/>
      <c r="AJ89" s="45"/>
      <c r="AK89" s="45"/>
      <c r="AL89" s="45"/>
      <c r="AM89" s="45"/>
      <c r="AN89" s="45"/>
      <c r="AO89" s="45"/>
      <c r="AP89" s="45"/>
      <c r="AQ89" s="45"/>
      <c r="AR89" s="45"/>
      <c r="AS89" s="45"/>
      <c r="AT89" s="45"/>
      <c r="AU89" s="45"/>
      <c r="AV89" s="45"/>
      <c r="AW89" s="45"/>
      <c r="AX89" s="45"/>
      <c r="AY89" s="45"/>
      <c r="AZ89" s="45"/>
      <c r="BA89" s="45"/>
      <c r="BB89" s="45"/>
      <c r="BC89" s="45"/>
      <c r="BD89" s="45"/>
      <c r="BE89" s="45"/>
      <c r="BF89" s="45"/>
      <c r="BG89" s="107">
        <f t="shared" si="32"/>
        <v>26275</v>
      </c>
      <c r="BH89" s="107">
        <f t="shared" si="33"/>
        <v>26275</v>
      </c>
      <c r="BI89" s="108">
        <f t="shared" si="34"/>
        <v>0</v>
      </c>
      <c r="BJ89" s="65">
        <f t="shared" si="67"/>
        <v>0</v>
      </c>
      <c r="BK89" s="66">
        <f t="shared" si="63"/>
        <v>26275</v>
      </c>
      <c r="BL89" s="66">
        <v>0</v>
      </c>
      <c r="BM89" s="109">
        <f t="shared" si="29"/>
        <v>26275</v>
      </c>
      <c r="BN89" s="109">
        <f t="shared" si="35"/>
        <v>26275</v>
      </c>
      <c r="BO89" s="110" t="s">
        <v>903</v>
      </c>
    </row>
    <row r="90" spans="1:67" ht="251" x14ac:dyDescent="0.2">
      <c r="A90" s="105">
        <v>85</v>
      </c>
      <c r="B90" s="106" t="s">
        <v>146</v>
      </c>
      <c r="C90" s="106" t="s">
        <v>1200</v>
      </c>
      <c r="D90" s="115" t="s">
        <v>117</v>
      </c>
      <c r="E90" s="115">
        <v>2</v>
      </c>
      <c r="F90" s="34">
        <v>33000</v>
      </c>
      <c r="G90" s="34">
        <f t="shared" si="68"/>
        <v>34683</v>
      </c>
      <c r="H90" s="34">
        <v>35000</v>
      </c>
      <c r="I90" s="34">
        <f t="shared" si="69"/>
        <v>36785</v>
      </c>
      <c r="J90" s="45"/>
      <c r="K90" s="45"/>
      <c r="L90" s="45"/>
      <c r="M90" s="45"/>
      <c r="N90" s="45"/>
      <c r="O90" s="45"/>
      <c r="P90" s="45"/>
      <c r="Q90" s="45"/>
      <c r="R90" s="45"/>
      <c r="S90" s="45"/>
      <c r="T90" s="45"/>
      <c r="U90" s="45"/>
      <c r="V90" s="45"/>
      <c r="W90" s="45"/>
      <c r="X90" s="45"/>
      <c r="Y90" s="45"/>
      <c r="Z90" s="45"/>
      <c r="AA90" s="45"/>
      <c r="AB90" s="45"/>
      <c r="AC90" s="45"/>
      <c r="AD90" s="45"/>
      <c r="AE90" s="45"/>
      <c r="AF90" s="45"/>
      <c r="AG90" s="45"/>
      <c r="AH90" s="45"/>
      <c r="AI90" s="45"/>
      <c r="AJ90" s="45"/>
      <c r="AK90" s="45"/>
      <c r="AL90" s="45"/>
      <c r="AM90" s="45"/>
      <c r="AN90" s="45"/>
      <c r="AO90" s="45"/>
      <c r="AP90" s="45"/>
      <c r="AQ90" s="45"/>
      <c r="AR90" s="45"/>
      <c r="AS90" s="45"/>
      <c r="AT90" s="45"/>
      <c r="AU90" s="45"/>
      <c r="AV90" s="45"/>
      <c r="AW90" s="45"/>
      <c r="AX90" s="45"/>
      <c r="AY90" s="45"/>
      <c r="AZ90" s="45"/>
      <c r="BA90" s="45"/>
      <c r="BB90" s="45"/>
      <c r="BC90" s="45"/>
      <c r="BD90" s="45"/>
      <c r="BE90" s="45"/>
      <c r="BF90" s="45"/>
      <c r="BG90" s="107">
        <f t="shared" si="32"/>
        <v>35734</v>
      </c>
      <c r="BH90" s="107">
        <f t="shared" si="33"/>
        <v>35734</v>
      </c>
      <c r="BI90" s="108">
        <f t="shared" si="34"/>
        <v>1486.3384540541228</v>
      </c>
      <c r="BJ90" s="65">
        <f t="shared" ref="BJ90:BJ149" si="70">BI90/BH90</f>
        <v>4.1594516540385144E-2</v>
      </c>
      <c r="BK90" s="66">
        <f t="shared" si="63"/>
        <v>35734</v>
      </c>
      <c r="BL90" s="66">
        <v>0</v>
      </c>
      <c r="BM90" s="109">
        <f t="shared" si="29"/>
        <v>35734</v>
      </c>
      <c r="BN90" s="109">
        <f t="shared" si="35"/>
        <v>71468</v>
      </c>
      <c r="BO90" s="110" t="s">
        <v>903</v>
      </c>
    </row>
    <row r="91" spans="1:67" ht="301" x14ac:dyDescent="0.2">
      <c r="A91" s="105">
        <v>86</v>
      </c>
      <c r="B91" s="106" t="s">
        <v>147</v>
      </c>
      <c r="C91" s="106" t="s">
        <v>1201</v>
      </c>
      <c r="D91" s="115" t="s">
        <v>148</v>
      </c>
      <c r="E91" s="115">
        <v>2</v>
      </c>
      <c r="F91" s="45"/>
      <c r="G91" s="45"/>
      <c r="H91" s="45"/>
      <c r="I91" s="45"/>
      <c r="J91" s="45"/>
      <c r="K91" s="45"/>
      <c r="L91" s="45"/>
      <c r="M91" s="45"/>
      <c r="N91" s="45"/>
      <c r="O91" s="45"/>
      <c r="P91" s="45"/>
      <c r="Q91" s="45"/>
      <c r="R91" s="45"/>
      <c r="S91" s="45"/>
      <c r="T91" s="45"/>
      <c r="U91" s="45"/>
      <c r="V91" s="45"/>
      <c r="W91" s="45"/>
      <c r="X91" s="45"/>
      <c r="Y91" s="45"/>
      <c r="Z91" s="34">
        <v>98500</v>
      </c>
      <c r="AA91" s="34">
        <f t="shared" ref="AA91" si="71">((Z91*5.1%)+Z91)</f>
        <v>103523.5</v>
      </c>
      <c r="AB91" s="34">
        <v>94500</v>
      </c>
      <c r="AC91" s="34">
        <f t="shared" ref="AC91" si="72">((AB91*5.1%)+AB91)</f>
        <v>99319.5</v>
      </c>
      <c r="AD91" s="34">
        <v>78500</v>
      </c>
      <c r="AE91" s="34">
        <f t="shared" ref="AE91" si="73">((AD91*5.1%)+AD91)</f>
        <v>82503.5</v>
      </c>
      <c r="AF91" s="45"/>
      <c r="AG91" s="45"/>
      <c r="AH91" s="45"/>
      <c r="AI91" s="45"/>
      <c r="AJ91" s="45"/>
      <c r="AK91" s="45"/>
      <c r="AL91" s="45"/>
      <c r="AM91" s="45"/>
      <c r="AN91" s="45"/>
      <c r="AO91" s="45"/>
      <c r="AP91" s="45"/>
      <c r="AQ91" s="45"/>
      <c r="AR91" s="45"/>
      <c r="AS91" s="45"/>
      <c r="AT91" s="45"/>
      <c r="AU91" s="45"/>
      <c r="AV91" s="45"/>
      <c r="AW91" s="45"/>
      <c r="AX91" s="45"/>
      <c r="AY91" s="45"/>
      <c r="AZ91" s="45"/>
      <c r="BA91" s="45"/>
      <c r="BB91" s="45"/>
      <c r="BC91" s="45"/>
      <c r="BD91" s="45"/>
      <c r="BE91" s="45"/>
      <c r="BF91" s="45"/>
      <c r="BG91" s="107">
        <f t="shared" si="32"/>
        <v>99319.5</v>
      </c>
      <c r="BH91" s="107">
        <f t="shared" si="33"/>
        <v>95115.5</v>
      </c>
      <c r="BI91" s="108">
        <f t="shared" si="34"/>
        <v>11122.738511715539</v>
      </c>
      <c r="BJ91" s="65">
        <f t="shared" si="70"/>
        <v>0.11693928446694324</v>
      </c>
      <c r="BK91" s="66">
        <f t="shared" si="63"/>
        <v>95116</v>
      </c>
      <c r="BL91" s="66">
        <v>0</v>
      </c>
      <c r="BM91" s="109">
        <f t="shared" si="29"/>
        <v>95116</v>
      </c>
      <c r="BN91" s="109">
        <f t="shared" si="35"/>
        <v>190232</v>
      </c>
      <c r="BO91" s="110" t="s">
        <v>903</v>
      </c>
    </row>
    <row r="92" spans="1:67" ht="68" x14ac:dyDescent="0.2">
      <c r="A92" s="105">
        <v>87</v>
      </c>
      <c r="B92" s="106" t="s">
        <v>149</v>
      </c>
      <c r="C92" s="106" t="s">
        <v>150</v>
      </c>
      <c r="D92" s="115" t="s">
        <v>117</v>
      </c>
      <c r="E92" s="115">
        <v>9</v>
      </c>
      <c r="F92" s="34">
        <v>48500</v>
      </c>
      <c r="G92" s="34">
        <f t="shared" si="68"/>
        <v>50973.5</v>
      </c>
      <c r="H92" s="34">
        <v>52000</v>
      </c>
      <c r="I92" s="34">
        <f t="shared" si="68"/>
        <v>54652</v>
      </c>
      <c r="J92" s="45"/>
      <c r="K92" s="45"/>
      <c r="L92" s="45"/>
      <c r="M92" s="45"/>
      <c r="N92" s="45"/>
      <c r="O92" s="45"/>
      <c r="P92" s="45"/>
      <c r="Q92" s="45"/>
      <c r="R92" s="45"/>
      <c r="S92" s="45"/>
      <c r="T92" s="45"/>
      <c r="U92" s="45"/>
      <c r="V92" s="45"/>
      <c r="W92" s="45"/>
      <c r="X92" s="45"/>
      <c r="Y92" s="45"/>
      <c r="Z92" s="45"/>
      <c r="AA92" s="45"/>
      <c r="AB92" s="45"/>
      <c r="AC92" s="45"/>
      <c r="AD92" s="45"/>
      <c r="AE92" s="45"/>
      <c r="AF92" s="45"/>
      <c r="AG92" s="45"/>
      <c r="AH92" s="45"/>
      <c r="AI92" s="45"/>
      <c r="AJ92" s="45"/>
      <c r="AK92" s="45"/>
      <c r="AL92" s="45"/>
      <c r="AM92" s="45"/>
      <c r="AN92" s="45"/>
      <c r="AO92" s="45"/>
      <c r="AP92" s="45"/>
      <c r="AQ92" s="45"/>
      <c r="AR92" s="45"/>
      <c r="AS92" s="45"/>
      <c r="AT92" s="45"/>
      <c r="AU92" s="45"/>
      <c r="AV92" s="45"/>
      <c r="AW92" s="45"/>
      <c r="AX92" s="45"/>
      <c r="AY92" s="45"/>
      <c r="AZ92" s="45"/>
      <c r="BA92" s="45"/>
      <c r="BB92" s="45"/>
      <c r="BC92" s="45"/>
      <c r="BD92" s="45"/>
      <c r="BE92" s="45"/>
      <c r="BF92" s="45"/>
      <c r="BG92" s="107">
        <f t="shared" si="32"/>
        <v>52812.75</v>
      </c>
      <c r="BH92" s="107">
        <f t="shared" si="33"/>
        <v>52812.75</v>
      </c>
      <c r="BI92" s="108">
        <f t="shared" si="34"/>
        <v>2601.092294594715</v>
      </c>
      <c r="BJ92" s="65">
        <f t="shared" si="70"/>
        <v>4.9251218590107788E-2</v>
      </c>
      <c r="BK92" s="66">
        <f t="shared" si="63"/>
        <v>52813</v>
      </c>
      <c r="BL92" s="66">
        <v>0</v>
      </c>
      <c r="BM92" s="109">
        <f t="shared" si="29"/>
        <v>52813</v>
      </c>
      <c r="BN92" s="109">
        <f t="shared" si="35"/>
        <v>475317</v>
      </c>
      <c r="BO92" s="110" t="s">
        <v>903</v>
      </c>
    </row>
    <row r="93" spans="1:67" ht="102" x14ac:dyDescent="0.2">
      <c r="A93" s="105">
        <v>88</v>
      </c>
      <c r="B93" s="106" t="s">
        <v>151</v>
      </c>
      <c r="C93" s="106" t="s">
        <v>152</v>
      </c>
      <c r="D93" s="115" t="s">
        <v>117</v>
      </c>
      <c r="E93" s="115">
        <v>6</v>
      </c>
      <c r="F93" s="34">
        <v>52000</v>
      </c>
      <c r="G93" s="34">
        <f t="shared" si="68"/>
        <v>54652</v>
      </c>
      <c r="H93" s="34">
        <v>61000</v>
      </c>
      <c r="I93" s="34">
        <f t="shared" si="68"/>
        <v>64111</v>
      </c>
      <c r="J93" s="45"/>
      <c r="K93" s="45"/>
      <c r="L93" s="45"/>
      <c r="M93" s="45"/>
      <c r="N93" s="45"/>
      <c r="O93" s="45"/>
      <c r="P93" s="45"/>
      <c r="Q93" s="45"/>
      <c r="R93" s="45"/>
      <c r="S93" s="45"/>
      <c r="T93" s="45"/>
      <c r="U93" s="45"/>
      <c r="V93" s="45"/>
      <c r="W93" s="45"/>
      <c r="X93" s="45"/>
      <c r="Y93" s="45"/>
      <c r="Z93" s="45"/>
      <c r="AA93" s="45"/>
      <c r="AB93" s="45"/>
      <c r="AC93" s="45"/>
      <c r="AD93" s="45"/>
      <c r="AE93" s="45"/>
      <c r="AF93" s="45"/>
      <c r="AG93" s="45"/>
      <c r="AH93" s="45"/>
      <c r="AI93" s="45"/>
      <c r="AJ93" s="45"/>
      <c r="AK93" s="45"/>
      <c r="AL93" s="45"/>
      <c r="AM93" s="45"/>
      <c r="AN93" s="45"/>
      <c r="AO93" s="45"/>
      <c r="AP93" s="45"/>
      <c r="AQ93" s="45"/>
      <c r="AR93" s="45"/>
      <c r="AS93" s="45"/>
      <c r="AT93" s="45"/>
      <c r="AU93" s="45"/>
      <c r="AV93" s="45"/>
      <c r="AW93" s="45"/>
      <c r="AX93" s="45"/>
      <c r="AY93" s="45"/>
      <c r="AZ93" s="45"/>
      <c r="BA93" s="45"/>
      <c r="BB93" s="45"/>
      <c r="BC93" s="45"/>
      <c r="BD93" s="45"/>
      <c r="BE93" s="45"/>
      <c r="BF93" s="45"/>
      <c r="BG93" s="107">
        <f t="shared" si="32"/>
        <v>59381.5</v>
      </c>
      <c r="BH93" s="107">
        <f t="shared" si="33"/>
        <v>59381.5</v>
      </c>
      <c r="BI93" s="108">
        <f t="shared" si="34"/>
        <v>6688.5230432435528</v>
      </c>
      <c r="BJ93" s="65">
        <f t="shared" si="70"/>
        <v>0.11263647841909606</v>
      </c>
      <c r="BK93" s="66">
        <f t="shared" si="63"/>
        <v>59382</v>
      </c>
      <c r="BL93" s="66">
        <v>0</v>
      </c>
      <c r="BM93" s="109">
        <f t="shared" si="29"/>
        <v>59382</v>
      </c>
      <c r="BN93" s="109">
        <f t="shared" si="35"/>
        <v>356292</v>
      </c>
      <c r="BO93" s="110" t="s">
        <v>903</v>
      </c>
    </row>
    <row r="94" spans="1:67" ht="119" x14ac:dyDescent="0.2">
      <c r="A94" s="105">
        <v>89</v>
      </c>
      <c r="B94" s="106" t="s">
        <v>153</v>
      </c>
      <c r="C94" s="106" t="s">
        <v>154</v>
      </c>
      <c r="D94" s="115" t="s">
        <v>155</v>
      </c>
      <c r="E94" s="115">
        <v>2</v>
      </c>
      <c r="F94" s="34">
        <v>60000</v>
      </c>
      <c r="G94" s="34">
        <f t="shared" si="68"/>
        <v>63060</v>
      </c>
      <c r="H94" s="34">
        <v>63500</v>
      </c>
      <c r="I94" s="34">
        <f t="shared" si="68"/>
        <v>66738.5</v>
      </c>
      <c r="J94" s="45"/>
      <c r="K94" s="45"/>
      <c r="L94" s="45"/>
      <c r="M94" s="45"/>
      <c r="N94" s="45"/>
      <c r="O94" s="45"/>
      <c r="P94" s="45"/>
      <c r="Q94" s="45"/>
      <c r="R94" s="45"/>
      <c r="S94" s="45"/>
      <c r="T94" s="45"/>
      <c r="U94" s="45"/>
      <c r="V94" s="45"/>
      <c r="W94" s="45"/>
      <c r="X94" s="45"/>
      <c r="Y94" s="45"/>
      <c r="Z94" s="45"/>
      <c r="AA94" s="45"/>
      <c r="AB94" s="45"/>
      <c r="AC94" s="45"/>
      <c r="AD94" s="45"/>
      <c r="AE94" s="45"/>
      <c r="AF94" s="45"/>
      <c r="AG94" s="45"/>
      <c r="AH94" s="45"/>
      <c r="AI94" s="45"/>
      <c r="AJ94" s="45"/>
      <c r="AK94" s="45"/>
      <c r="AL94" s="45"/>
      <c r="AM94" s="45"/>
      <c r="AN94" s="45"/>
      <c r="AO94" s="45"/>
      <c r="AP94" s="45"/>
      <c r="AQ94" s="45"/>
      <c r="AR94" s="45"/>
      <c r="AS94" s="45"/>
      <c r="AT94" s="45"/>
      <c r="AU94" s="45"/>
      <c r="AV94" s="45"/>
      <c r="AW94" s="45"/>
      <c r="AX94" s="45"/>
      <c r="AY94" s="45"/>
      <c r="AZ94" s="45"/>
      <c r="BA94" s="45"/>
      <c r="BB94" s="45"/>
      <c r="BC94" s="45"/>
      <c r="BD94" s="45"/>
      <c r="BE94" s="45"/>
      <c r="BF94" s="45"/>
      <c r="BG94" s="107">
        <f t="shared" si="32"/>
        <v>64899.25</v>
      </c>
      <c r="BH94" s="107">
        <f t="shared" si="33"/>
        <v>64899.25</v>
      </c>
      <c r="BI94" s="108">
        <f t="shared" si="34"/>
        <v>2601.092294594715</v>
      </c>
      <c r="BJ94" s="65">
        <f t="shared" si="70"/>
        <v>4.0078926868873141E-2</v>
      </c>
      <c r="BK94" s="66">
        <f t="shared" si="63"/>
        <v>64900</v>
      </c>
      <c r="BL94" s="66">
        <v>0</v>
      </c>
      <c r="BM94" s="109">
        <f t="shared" si="29"/>
        <v>64900</v>
      </c>
      <c r="BN94" s="109">
        <f t="shared" si="35"/>
        <v>129800</v>
      </c>
      <c r="BO94" s="110" t="s">
        <v>903</v>
      </c>
    </row>
    <row r="95" spans="1:67" ht="102" x14ac:dyDescent="0.2">
      <c r="A95" s="105">
        <v>90</v>
      </c>
      <c r="B95" s="106" t="s">
        <v>156</v>
      </c>
      <c r="C95" s="106" t="s">
        <v>157</v>
      </c>
      <c r="D95" s="115" t="s">
        <v>112</v>
      </c>
      <c r="E95" s="115">
        <v>2</v>
      </c>
      <c r="F95" s="34"/>
      <c r="G95" s="45"/>
      <c r="H95" s="34"/>
      <c r="I95" s="45"/>
      <c r="J95" s="45"/>
      <c r="K95" s="45"/>
      <c r="L95" s="45"/>
      <c r="M95" s="45"/>
      <c r="N95" s="45"/>
      <c r="O95" s="45"/>
      <c r="P95" s="45"/>
      <c r="Q95" s="45"/>
      <c r="R95" s="45"/>
      <c r="S95" s="45"/>
      <c r="T95" s="45"/>
      <c r="U95" s="45"/>
      <c r="V95" s="45"/>
      <c r="W95" s="45"/>
      <c r="X95" s="45"/>
      <c r="Y95" s="45"/>
      <c r="Z95" s="34">
        <v>98500</v>
      </c>
      <c r="AA95" s="34">
        <f t="shared" ref="AA95" si="74">((Z95*5.1%)+Z95)</f>
        <v>103523.5</v>
      </c>
      <c r="AB95" s="34">
        <v>94500</v>
      </c>
      <c r="AC95" s="34">
        <f t="shared" ref="AC95" si="75">((AB95*5.1%)+AB95)</f>
        <v>99319.5</v>
      </c>
      <c r="AD95" s="34">
        <v>94500</v>
      </c>
      <c r="AE95" s="34">
        <f t="shared" ref="AA95:AE96" si="76">((AD95*5.1%)+AD95)</f>
        <v>99319.5</v>
      </c>
      <c r="AF95" s="45"/>
      <c r="AG95" s="45"/>
      <c r="AH95" s="45"/>
      <c r="AI95" s="45"/>
      <c r="AJ95" s="45"/>
      <c r="AK95" s="45"/>
      <c r="AL95" s="45"/>
      <c r="AM95" s="45"/>
      <c r="AN95" s="45"/>
      <c r="AO95" s="45"/>
      <c r="AP95" s="45"/>
      <c r="AQ95" s="45"/>
      <c r="AR95" s="45"/>
      <c r="AS95" s="45"/>
      <c r="AT95" s="45"/>
      <c r="AU95" s="45"/>
      <c r="AV95" s="45"/>
      <c r="AW95" s="45"/>
      <c r="AX95" s="45"/>
      <c r="AY95" s="45"/>
      <c r="AZ95" s="45"/>
      <c r="BA95" s="45"/>
      <c r="BB95" s="45"/>
      <c r="BC95" s="45"/>
      <c r="BD95" s="45"/>
      <c r="BE95" s="45"/>
      <c r="BF95" s="45"/>
      <c r="BG95" s="107">
        <f t="shared" si="32"/>
        <v>99319.5</v>
      </c>
      <c r="BH95" s="107">
        <f t="shared" si="33"/>
        <v>100720.83333333333</v>
      </c>
      <c r="BI95" s="108">
        <f t="shared" si="34"/>
        <v>2427.1805316731866</v>
      </c>
      <c r="BJ95" s="65">
        <f t="shared" si="70"/>
        <v>2.4098098192262642E-2</v>
      </c>
      <c r="BK95" s="66">
        <f t="shared" si="63"/>
        <v>100721</v>
      </c>
      <c r="BL95" s="66">
        <v>0</v>
      </c>
      <c r="BM95" s="109">
        <f t="shared" si="29"/>
        <v>100721</v>
      </c>
      <c r="BN95" s="109">
        <f t="shared" si="35"/>
        <v>201442</v>
      </c>
      <c r="BO95" s="110" t="s">
        <v>903</v>
      </c>
    </row>
    <row r="96" spans="1:67" ht="119" x14ac:dyDescent="0.2">
      <c r="A96" s="105">
        <v>91</v>
      </c>
      <c r="B96" s="106" t="s">
        <v>1237</v>
      </c>
      <c r="C96" s="106" t="s">
        <v>1236</v>
      </c>
      <c r="D96" s="115" t="s">
        <v>158</v>
      </c>
      <c r="E96" s="115">
        <v>2</v>
      </c>
      <c r="F96" s="34"/>
      <c r="G96" s="45"/>
      <c r="H96" s="34"/>
      <c r="I96" s="45"/>
      <c r="J96" s="45"/>
      <c r="K96" s="45"/>
      <c r="L96" s="45"/>
      <c r="M96" s="45"/>
      <c r="N96" s="45"/>
      <c r="O96" s="45"/>
      <c r="P96" s="45"/>
      <c r="Q96" s="45"/>
      <c r="R96" s="45"/>
      <c r="S96" s="45"/>
      <c r="T96" s="45"/>
      <c r="U96" s="45"/>
      <c r="V96" s="45"/>
      <c r="W96" s="45"/>
      <c r="X96" s="45"/>
      <c r="Y96" s="45"/>
      <c r="Z96" s="34">
        <v>85000</v>
      </c>
      <c r="AA96" s="34">
        <f t="shared" si="76"/>
        <v>89335</v>
      </c>
      <c r="AB96" s="34">
        <v>68500</v>
      </c>
      <c r="AC96" s="34">
        <f t="shared" si="76"/>
        <v>71993.5</v>
      </c>
      <c r="AD96" s="34">
        <v>68500</v>
      </c>
      <c r="AE96" s="34">
        <f t="shared" si="76"/>
        <v>71993.5</v>
      </c>
      <c r="AF96" s="45"/>
      <c r="AG96" s="45"/>
      <c r="AH96" s="45"/>
      <c r="AI96" s="45"/>
      <c r="AJ96" s="45"/>
      <c r="AK96" s="45"/>
      <c r="AL96" s="45"/>
      <c r="AM96" s="45"/>
      <c r="AN96" s="45"/>
      <c r="AO96" s="45"/>
      <c r="AP96" s="45"/>
      <c r="AQ96" s="45"/>
      <c r="AR96" s="45"/>
      <c r="AS96" s="45"/>
      <c r="AT96" s="45"/>
      <c r="AU96" s="45"/>
      <c r="AV96" s="45"/>
      <c r="AW96" s="45"/>
      <c r="AX96" s="45"/>
      <c r="AY96" s="45"/>
      <c r="AZ96" s="45"/>
      <c r="BA96" s="45"/>
      <c r="BB96" s="45"/>
      <c r="BC96" s="45"/>
      <c r="BD96" s="45"/>
      <c r="BE96" s="45"/>
      <c r="BF96" s="45"/>
      <c r="BG96" s="107">
        <f t="shared" si="32"/>
        <v>71993.5</v>
      </c>
      <c r="BH96" s="107">
        <f t="shared" si="33"/>
        <v>77774</v>
      </c>
      <c r="BI96" s="108">
        <f t="shared" si="34"/>
        <v>10012.119693151895</v>
      </c>
      <c r="BJ96" s="65">
        <f t="shared" si="70"/>
        <v>0.1287335059679571</v>
      </c>
      <c r="BK96" s="66">
        <f t="shared" si="63"/>
        <v>77774</v>
      </c>
      <c r="BL96" s="66">
        <v>0</v>
      </c>
      <c r="BM96" s="109">
        <f t="shared" si="29"/>
        <v>77774</v>
      </c>
      <c r="BN96" s="109">
        <f t="shared" si="35"/>
        <v>155548</v>
      </c>
      <c r="BO96" s="110" t="s">
        <v>903</v>
      </c>
    </row>
    <row r="97" spans="1:67" ht="68" x14ac:dyDescent="0.2">
      <c r="A97" s="105">
        <v>92</v>
      </c>
      <c r="B97" s="106" t="s">
        <v>159</v>
      </c>
      <c r="C97" s="106" t="s">
        <v>160</v>
      </c>
      <c r="D97" s="115" t="s">
        <v>112</v>
      </c>
      <c r="E97" s="115">
        <v>10</v>
      </c>
      <c r="F97" s="34">
        <v>193000</v>
      </c>
      <c r="G97" s="34">
        <f t="shared" ref="G97:I98" si="77">((F97*5.1%)+F97)</f>
        <v>202843</v>
      </c>
      <c r="H97" s="34">
        <v>198000</v>
      </c>
      <c r="I97" s="34">
        <f t="shared" ref="I97" si="78">((H97*5.1%)+H97)</f>
        <v>208098</v>
      </c>
      <c r="J97" s="45"/>
      <c r="K97" s="45"/>
      <c r="L97" s="45"/>
      <c r="M97" s="45"/>
      <c r="N97" s="45"/>
      <c r="O97" s="45"/>
      <c r="P97" s="45"/>
      <c r="Q97" s="45"/>
      <c r="R97" s="45"/>
      <c r="S97" s="45"/>
      <c r="T97" s="34"/>
      <c r="U97" s="34"/>
      <c r="V97" s="45"/>
      <c r="W97" s="45"/>
      <c r="X97" s="45"/>
      <c r="Y97" s="45"/>
      <c r="Z97" s="45"/>
      <c r="AA97" s="45"/>
      <c r="AB97" s="45"/>
      <c r="AC97" s="45"/>
      <c r="AD97" s="45"/>
      <c r="AE97" s="45"/>
      <c r="AF97" s="45"/>
      <c r="AG97" s="45"/>
      <c r="AH97" s="45"/>
      <c r="AI97" s="45"/>
      <c r="AJ97" s="45"/>
      <c r="AK97" s="45"/>
      <c r="AL97" s="45"/>
      <c r="AM97" s="45"/>
      <c r="AN97" s="45"/>
      <c r="AO97" s="45"/>
      <c r="AP97" s="45"/>
      <c r="AQ97" s="45"/>
      <c r="AR97" s="45"/>
      <c r="AS97" s="45"/>
      <c r="AT97" s="45"/>
      <c r="AU97" s="45"/>
      <c r="AV97" s="45"/>
      <c r="AW97" s="45"/>
      <c r="AX97" s="45"/>
      <c r="AY97" s="45"/>
      <c r="AZ97" s="45"/>
      <c r="BA97" s="45"/>
      <c r="BB97" s="45"/>
      <c r="BC97" s="45"/>
      <c r="BD97" s="45"/>
      <c r="BE97" s="45"/>
      <c r="BF97" s="45"/>
      <c r="BG97" s="107">
        <f t="shared" si="32"/>
        <v>205470.5</v>
      </c>
      <c r="BH97" s="107">
        <f t="shared" si="33"/>
        <v>205470.5</v>
      </c>
      <c r="BI97" s="108">
        <f t="shared" si="34"/>
        <v>3715.8461351353071</v>
      </c>
      <c r="BJ97" s="65">
        <f t="shared" si="70"/>
        <v>1.8084572408863107E-2</v>
      </c>
      <c r="BK97" s="66">
        <f t="shared" si="63"/>
        <v>205471</v>
      </c>
      <c r="BL97" s="66">
        <v>0</v>
      </c>
      <c r="BM97" s="109">
        <f t="shared" si="29"/>
        <v>205471</v>
      </c>
      <c r="BN97" s="109">
        <f t="shared" si="35"/>
        <v>2054710</v>
      </c>
      <c r="BO97" s="110" t="s">
        <v>903</v>
      </c>
    </row>
    <row r="98" spans="1:67" ht="119" x14ac:dyDescent="0.2">
      <c r="A98" s="105">
        <v>93</v>
      </c>
      <c r="B98" s="112" t="s">
        <v>161</v>
      </c>
      <c r="C98" s="112" t="s">
        <v>1236</v>
      </c>
      <c r="D98" s="116" t="s">
        <v>162</v>
      </c>
      <c r="E98" s="116">
        <v>7</v>
      </c>
      <c r="F98" s="32">
        <v>52000</v>
      </c>
      <c r="G98" s="32">
        <f t="shared" si="77"/>
        <v>54652</v>
      </c>
      <c r="H98" s="32">
        <v>48000</v>
      </c>
      <c r="I98" s="32">
        <f t="shared" si="77"/>
        <v>50448</v>
      </c>
      <c r="J98" s="46"/>
      <c r="K98" s="46"/>
      <c r="L98" s="46"/>
      <c r="M98" s="46"/>
      <c r="N98" s="46"/>
      <c r="O98" s="46"/>
      <c r="P98" s="46"/>
      <c r="Q98" s="46"/>
      <c r="R98" s="46"/>
      <c r="S98" s="46"/>
      <c r="T98" s="46"/>
      <c r="U98" s="46"/>
      <c r="V98" s="46"/>
      <c r="W98" s="46"/>
      <c r="X98" s="46"/>
      <c r="Y98" s="46"/>
      <c r="Z98" s="46"/>
      <c r="AA98" s="46"/>
      <c r="AB98" s="46"/>
      <c r="AC98" s="46"/>
      <c r="AD98" s="46"/>
      <c r="AE98" s="46"/>
      <c r="AF98" s="46"/>
      <c r="AG98" s="46"/>
      <c r="AH98" s="46"/>
      <c r="AI98" s="46"/>
      <c r="AJ98" s="46"/>
      <c r="AK98" s="46"/>
      <c r="AL98" s="46"/>
      <c r="AM98" s="46"/>
      <c r="AN98" s="46"/>
      <c r="AO98" s="46"/>
      <c r="AP98" s="46"/>
      <c r="AQ98" s="46"/>
      <c r="AR98" s="46"/>
      <c r="AS98" s="46"/>
      <c r="AT98" s="46"/>
      <c r="AU98" s="46"/>
      <c r="AV98" s="46"/>
      <c r="AW98" s="46"/>
      <c r="AX98" s="46"/>
      <c r="AY98" s="46"/>
      <c r="AZ98" s="46"/>
      <c r="BA98" s="46"/>
      <c r="BB98" s="46"/>
      <c r="BC98" s="46"/>
      <c r="BD98" s="46"/>
      <c r="BE98" s="46"/>
      <c r="BF98" s="46"/>
      <c r="BG98" s="107">
        <f t="shared" si="32"/>
        <v>52550</v>
      </c>
      <c r="BH98" s="107">
        <f t="shared" si="33"/>
        <v>52550</v>
      </c>
      <c r="BI98" s="108">
        <f t="shared" si="34"/>
        <v>2972.6769081082457</v>
      </c>
      <c r="BJ98" s="65">
        <f t="shared" si="70"/>
        <v>5.6568542494923803E-2</v>
      </c>
      <c r="BK98" s="66">
        <f t="shared" si="63"/>
        <v>52550</v>
      </c>
      <c r="BL98" s="66">
        <v>0</v>
      </c>
      <c r="BM98" s="109">
        <f t="shared" si="29"/>
        <v>52550</v>
      </c>
      <c r="BN98" s="109">
        <f t="shared" si="35"/>
        <v>367850</v>
      </c>
      <c r="BO98" s="110" t="s">
        <v>903</v>
      </c>
    </row>
    <row r="99" spans="1:67" ht="119" x14ac:dyDescent="0.2">
      <c r="A99" s="105">
        <v>94</v>
      </c>
      <c r="B99" s="111" t="s">
        <v>163</v>
      </c>
      <c r="C99" s="117" t="s">
        <v>1240</v>
      </c>
      <c r="D99" s="115" t="s">
        <v>164</v>
      </c>
      <c r="E99" s="118">
        <v>1</v>
      </c>
      <c r="F99" s="45"/>
      <c r="G99" s="45"/>
      <c r="H99" s="45"/>
      <c r="I99" s="45"/>
      <c r="J99" s="45"/>
      <c r="K99" s="45"/>
      <c r="L99" s="45"/>
      <c r="M99" s="45"/>
      <c r="N99" s="45"/>
      <c r="O99" s="45"/>
      <c r="P99" s="45"/>
      <c r="Q99" s="45"/>
      <c r="R99" s="45"/>
      <c r="S99" s="45"/>
      <c r="T99" s="45"/>
      <c r="U99" s="45"/>
      <c r="V99" s="45"/>
      <c r="W99" s="45"/>
      <c r="X99" s="45"/>
      <c r="Y99" s="45"/>
      <c r="Z99" s="45"/>
      <c r="AA99" s="45"/>
      <c r="AB99" s="45"/>
      <c r="AC99" s="45"/>
      <c r="AD99" s="45"/>
      <c r="AE99" s="45"/>
      <c r="AF99" s="45"/>
      <c r="AG99" s="45"/>
      <c r="AH99" s="45"/>
      <c r="AI99" s="45"/>
      <c r="AJ99" s="45"/>
      <c r="AK99" s="45"/>
      <c r="AL99" s="45"/>
      <c r="AM99" s="45"/>
      <c r="AN99" s="45"/>
      <c r="AO99" s="45"/>
      <c r="AP99" s="45"/>
      <c r="AQ99" s="45"/>
      <c r="AR99" s="45">
        <v>52000</v>
      </c>
      <c r="AS99" s="45">
        <v>49100</v>
      </c>
      <c r="AT99" s="45"/>
      <c r="AU99" s="45"/>
      <c r="AV99" s="45"/>
      <c r="AW99" s="45"/>
      <c r="AX99" s="45"/>
      <c r="AY99" s="45"/>
      <c r="AZ99" s="45"/>
      <c r="BA99" s="45"/>
      <c r="BB99" s="45"/>
      <c r="BC99" s="45"/>
      <c r="BD99" s="45"/>
      <c r="BE99" s="45"/>
      <c r="BF99" s="45"/>
      <c r="BG99" s="107">
        <f t="shared" si="32"/>
        <v>50550</v>
      </c>
      <c r="BH99" s="107">
        <f t="shared" si="33"/>
        <v>50550</v>
      </c>
      <c r="BI99" s="108">
        <f t="shared" si="34"/>
        <v>2050.609665440988</v>
      </c>
      <c r="BJ99" s="65">
        <f t="shared" si="70"/>
        <v>4.056596766451015E-2</v>
      </c>
      <c r="BK99" s="66">
        <f t="shared" si="63"/>
        <v>50550</v>
      </c>
      <c r="BL99" s="66">
        <v>0</v>
      </c>
      <c r="BM99" s="109">
        <f t="shared" si="29"/>
        <v>50550</v>
      </c>
      <c r="BN99" s="109">
        <f t="shared" si="35"/>
        <v>50550</v>
      </c>
      <c r="BO99" s="110" t="s">
        <v>903</v>
      </c>
    </row>
    <row r="100" spans="1:67" ht="136" x14ac:dyDescent="0.2">
      <c r="A100" s="105">
        <v>95</v>
      </c>
      <c r="B100" s="111" t="s">
        <v>165</v>
      </c>
      <c r="C100" s="117" t="s">
        <v>1238</v>
      </c>
      <c r="D100" s="115" t="s">
        <v>166</v>
      </c>
      <c r="E100" s="118">
        <v>1</v>
      </c>
      <c r="F100" s="45"/>
      <c r="G100" s="45"/>
      <c r="H100" s="45"/>
      <c r="I100" s="45"/>
      <c r="J100" s="45"/>
      <c r="K100" s="45"/>
      <c r="L100" s="45"/>
      <c r="M100" s="45"/>
      <c r="N100" s="45"/>
      <c r="O100" s="45"/>
      <c r="P100" s="45"/>
      <c r="Q100" s="45"/>
      <c r="R100" s="45"/>
      <c r="S100" s="45"/>
      <c r="T100" s="45"/>
      <c r="U100" s="45"/>
      <c r="V100" s="45"/>
      <c r="W100" s="45"/>
      <c r="X100" s="45"/>
      <c r="Y100" s="45"/>
      <c r="Z100" s="45"/>
      <c r="AA100" s="45"/>
      <c r="AB100" s="45"/>
      <c r="AC100" s="45"/>
      <c r="AD100" s="45"/>
      <c r="AE100" s="45"/>
      <c r="AF100" s="45"/>
      <c r="AG100" s="45"/>
      <c r="AH100" s="45"/>
      <c r="AI100" s="45"/>
      <c r="AJ100" s="45"/>
      <c r="AK100" s="45"/>
      <c r="AL100" s="45"/>
      <c r="AM100" s="45"/>
      <c r="AN100" s="45"/>
      <c r="AO100" s="45"/>
      <c r="AP100" s="45"/>
      <c r="AQ100" s="45"/>
      <c r="AR100" s="45">
        <v>56000</v>
      </c>
      <c r="AS100" s="45">
        <v>51300</v>
      </c>
      <c r="AT100" s="45"/>
      <c r="AU100" s="45"/>
      <c r="AV100" s="45"/>
      <c r="AW100" s="45"/>
      <c r="AX100" s="45"/>
      <c r="AY100" s="45"/>
      <c r="AZ100" s="45"/>
      <c r="BA100" s="45"/>
      <c r="BB100" s="45"/>
      <c r="BC100" s="45"/>
      <c r="BD100" s="45"/>
      <c r="BE100" s="45"/>
      <c r="BF100" s="45"/>
      <c r="BG100" s="107">
        <f t="shared" si="32"/>
        <v>53650</v>
      </c>
      <c r="BH100" s="107">
        <f t="shared" si="33"/>
        <v>53650</v>
      </c>
      <c r="BI100" s="108">
        <f t="shared" si="34"/>
        <v>3323.4018715767734</v>
      </c>
      <c r="BJ100" s="65">
        <f t="shared" si="70"/>
        <v>6.1945980830881146E-2</v>
      </c>
      <c r="BK100" s="66">
        <f t="shared" si="63"/>
        <v>53650</v>
      </c>
      <c r="BL100" s="66">
        <v>0</v>
      </c>
      <c r="BM100" s="109">
        <f t="shared" si="29"/>
        <v>53650</v>
      </c>
      <c r="BN100" s="109">
        <f t="shared" si="35"/>
        <v>53650</v>
      </c>
      <c r="BO100" s="110" t="s">
        <v>903</v>
      </c>
    </row>
    <row r="101" spans="1:67" ht="102" x14ac:dyDescent="0.2">
      <c r="A101" s="105">
        <v>96</v>
      </c>
      <c r="B101" s="111" t="s">
        <v>167</v>
      </c>
      <c r="C101" s="117" t="s">
        <v>1241</v>
      </c>
      <c r="D101" s="115" t="s">
        <v>169</v>
      </c>
      <c r="E101" s="118">
        <v>1</v>
      </c>
      <c r="F101" s="45"/>
      <c r="G101" s="45"/>
      <c r="H101" s="45"/>
      <c r="I101" s="45"/>
      <c r="J101" s="45"/>
      <c r="K101" s="45"/>
      <c r="L101" s="45"/>
      <c r="M101" s="45"/>
      <c r="N101" s="45"/>
      <c r="O101" s="45"/>
      <c r="P101" s="45"/>
      <c r="Q101" s="45"/>
      <c r="R101" s="45"/>
      <c r="S101" s="45"/>
      <c r="T101" s="45"/>
      <c r="U101" s="45"/>
      <c r="V101" s="45"/>
      <c r="W101" s="45"/>
      <c r="X101" s="45"/>
      <c r="Y101" s="45"/>
      <c r="Z101" s="45"/>
      <c r="AA101" s="45"/>
      <c r="AB101" s="45"/>
      <c r="AC101" s="45"/>
      <c r="AD101" s="45"/>
      <c r="AE101" s="45"/>
      <c r="AF101" s="45"/>
      <c r="AG101" s="45"/>
      <c r="AH101" s="45"/>
      <c r="AI101" s="45"/>
      <c r="AJ101" s="45"/>
      <c r="AK101" s="45"/>
      <c r="AL101" s="45"/>
      <c r="AM101" s="45"/>
      <c r="AN101" s="45"/>
      <c r="AO101" s="45"/>
      <c r="AP101" s="45"/>
      <c r="AQ101" s="45"/>
      <c r="AR101" s="45">
        <v>67000</v>
      </c>
      <c r="AS101" s="45">
        <v>63200</v>
      </c>
      <c r="AT101" s="45"/>
      <c r="AU101" s="45"/>
      <c r="AV101" s="45"/>
      <c r="AW101" s="45"/>
      <c r="AX101" s="45"/>
      <c r="AY101" s="45"/>
      <c r="AZ101" s="45"/>
      <c r="BA101" s="45"/>
      <c r="BB101" s="45"/>
      <c r="BC101" s="45"/>
      <c r="BD101" s="45"/>
      <c r="BE101" s="45"/>
      <c r="BF101" s="45"/>
      <c r="BG101" s="107">
        <f t="shared" si="32"/>
        <v>65100</v>
      </c>
      <c r="BH101" s="107">
        <f t="shared" si="33"/>
        <v>65100</v>
      </c>
      <c r="BI101" s="108">
        <f t="shared" si="34"/>
        <v>2687.0057685088805</v>
      </c>
      <c r="BJ101" s="65">
        <f t="shared" si="70"/>
        <v>4.1275050207509684E-2</v>
      </c>
      <c r="BK101" s="66">
        <f t="shared" si="63"/>
        <v>65100</v>
      </c>
      <c r="BL101" s="66">
        <v>0</v>
      </c>
      <c r="BM101" s="109">
        <f t="shared" ref="BM101:BM132" si="79">ROUNDUP(IF(BJ101&lt;15%,BH101,BG101),0)</f>
        <v>65100</v>
      </c>
      <c r="BN101" s="109">
        <f t="shared" si="35"/>
        <v>65100</v>
      </c>
      <c r="BO101" s="110" t="s">
        <v>903</v>
      </c>
    </row>
    <row r="102" spans="1:67" ht="102" x14ac:dyDescent="0.2">
      <c r="A102" s="105">
        <v>97</v>
      </c>
      <c r="B102" s="111" t="s">
        <v>168</v>
      </c>
      <c r="C102" s="117" t="s">
        <v>1239</v>
      </c>
      <c r="D102" s="115" t="s">
        <v>169</v>
      </c>
      <c r="E102" s="118">
        <v>1</v>
      </c>
      <c r="F102" s="45"/>
      <c r="G102" s="45"/>
      <c r="H102" s="45"/>
      <c r="I102" s="45"/>
      <c r="J102" s="45"/>
      <c r="K102" s="45"/>
      <c r="L102" s="45"/>
      <c r="M102" s="45"/>
      <c r="N102" s="45"/>
      <c r="O102" s="45"/>
      <c r="P102" s="45"/>
      <c r="Q102" s="45"/>
      <c r="R102" s="45"/>
      <c r="S102" s="45"/>
      <c r="T102" s="45"/>
      <c r="U102" s="45"/>
      <c r="V102" s="45"/>
      <c r="W102" s="45"/>
      <c r="X102" s="45"/>
      <c r="Y102" s="45"/>
      <c r="Z102" s="45"/>
      <c r="AA102" s="45"/>
      <c r="AB102" s="45"/>
      <c r="AC102" s="45"/>
      <c r="AD102" s="45"/>
      <c r="AE102" s="45"/>
      <c r="AF102" s="45"/>
      <c r="AG102" s="45"/>
      <c r="AH102" s="45"/>
      <c r="AI102" s="45"/>
      <c r="AJ102" s="45"/>
      <c r="AK102" s="45"/>
      <c r="AL102" s="45"/>
      <c r="AM102" s="45"/>
      <c r="AN102" s="45"/>
      <c r="AO102" s="45"/>
      <c r="AP102" s="45"/>
      <c r="AQ102" s="45"/>
      <c r="AR102" s="45">
        <v>27000</v>
      </c>
      <c r="AS102" s="45">
        <v>26100</v>
      </c>
      <c r="AT102" s="45"/>
      <c r="AU102" s="45"/>
      <c r="AV102" s="45"/>
      <c r="AW102" s="45"/>
      <c r="AX102" s="45"/>
      <c r="AY102" s="45"/>
      <c r="AZ102" s="45"/>
      <c r="BA102" s="45"/>
      <c r="BB102" s="45"/>
      <c r="BC102" s="45"/>
      <c r="BD102" s="45"/>
      <c r="BE102" s="45"/>
      <c r="BF102" s="45"/>
      <c r="BG102" s="107">
        <f t="shared" ref="BG102:BG134" si="80">MEDIAN(G102,I102,K102,M102,O102,Q102,S102,U102,W102,Y102,AA102,AC102,AE102,AG102,AI102,AK102,AM102,AN102,AP102,AR102,AS102,AU102,AX102,AZ102,BB102)</f>
        <v>26550</v>
      </c>
      <c r="BH102" s="107">
        <f t="shared" ref="BH102:BH134" si="81">AVERAGE(G102,I102,K102,M102,O102,Q102,S102,U102,W102,Y102,AA102,AC102,AE102,AG102,AI102,AK102,AM102,AN102,AP102,AR102,AS102,AU102:AX102,AZ102,BB102)</f>
        <v>26550</v>
      </c>
      <c r="BI102" s="108">
        <f t="shared" ref="BI102:BI134" si="82">STDEV(G102,I102,K102,M102,O102,Q102,S102,U102,W102,Y102,AA102,AC102,AE102,AG102,AI102,AK102,AM102,AN102,AP102,AR102,AS102,AU102,AX102,AZ102,BB102)</f>
        <v>636.3961030678928</v>
      </c>
      <c r="BJ102" s="65">
        <f t="shared" si="70"/>
        <v>2.3969721396154154E-2</v>
      </c>
      <c r="BK102" s="66">
        <f t="shared" si="63"/>
        <v>26550</v>
      </c>
      <c r="BL102" s="66">
        <v>0</v>
      </c>
      <c r="BM102" s="109">
        <f t="shared" si="79"/>
        <v>26550</v>
      </c>
      <c r="BN102" s="109">
        <f t="shared" ref="BN102:BN133" si="83">BM102*E102</f>
        <v>26550</v>
      </c>
      <c r="BO102" s="110" t="s">
        <v>903</v>
      </c>
    </row>
    <row r="103" spans="1:67" ht="51" x14ac:dyDescent="0.2">
      <c r="A103" s="105">
        <v>98</v>
      </c>
      <c r="B103" s="111" t="s">
        <v>170</v>
      </c>
      <c r="C103" s="117" t="s">
        <v>171</v>
      </c>
      <c r="D103" s="115" t="s">
        <v>172</v>
      </c>
      <c r="E103" s="118">
        <v>150</v>
      </c>
      <c r="F103" s="45"/>
      <c r="G103" s="45"/>
      <c r="H103" s="45"/>
      <c r="I103" s="45"/>
      <c r="J103" s="45"/>
      <c r="K103" s="45"/>
      <c r="L103" s="45"/>
      <c r="M103" s="45"/>
      <c r="N103" s="45"/>
      <c r="O103" s="45"/>
      <c r="P103" s="45"/>
      <c r="Q103" s="45"/>
      <c r="R103" s="45"/>
      <c r="S103" s="45"/>
      <c r="T103" s="45"/>
      <c r="U103" s="45"/>
      <c r="V103" s="45"/>
      <c r="W103" s="45"/>
      <c r="X103" s="45"/>
      <c r="Y103" s="45"/>
      <c r="Z103" s="45"/>
      <c r="AA103" s="45"/>
      <c r="AB103" s="45"/>
      <c r="AC103" s="45"/>
      <c r="AD103" s="45"/>
      <c r="AE103" s="45"/>
      <c r="AF103" s="45"/>
      <c r="AG103" s="45"/>
      <c r="AH103" s="45"/>
      <c r="AI103" s="45"/>
      <c r="AJ103" s="45"/>
      <c r="AK103" s="45"/>
      <c r="AL103" s="45"/>
      <c r="AM103" s="45"/>
      <c r="AN103" s="45"/>
      <c r="AO103" s="45"/>
      <c r="AP103" s="45"/>
      <c r="AQ103" s="45"/>
      <c r="AR103" s="45">
        <v>5700</v>
      </c>
      <c r="AS103" s="45">
        <v>4000</v>
      </c>
      <c r="AT103" s="45"/>
      <c r="AU103" s="45"/>
      <c r="AV103" s="45"/>
      <c r="AW103" s="45"/>
      <c r="AX103" s="45"/>
      <c r="AY103" s="45"/>
      <c r="AZ103" s="45"/>
      <c r="BA103" s="45"/>
      <c r="BB103" s="45"/>
      <c r="BC103" s="45"/>
      <c r="BD103" s="45"/>
      <c r="BE103" s="45"/>
      <c r="BF103" s="45"/>
      <c r="BG103" s="107">
        <f t="shared" si="80"/>
        <v>4850</v>
      </c>
      <c r="BH103" s="107">
        <f t="shared" si="81"/>
        <v>4850</v>
      </c>
      <c r="BI103" s="108">
        <f t="shared" si="82"/>
        <v>1202.0815280171307</v>
      </c>
      <c r="BJ103" s="65">
        <f t="shared" si="70"/>
        <v>0.24785186144683108</v>
      </c>
      <c r="BK103" s="66">
        <f t="shared" si="63"/>
        <v>4850</v>
      </c>
      <c r="BL103" s="66">
        <v>0</v>
      </c>
      <c r="BM103" s="109">
        <f t="shared" si="79"/>
        <v>4850</v>
      </c>
      <c r="BN103" s="109">
        <f t="shared" si="83"/>
        <v>727500</v>
      </c>
      <c r="BO103" s="110" t="s">
        <v>902</v>
      </c>
    </row>
    <row r="104" spans="1:67" ht="51" x14ac:dyDescent="0.2">
      <c r="A104" s="105">
        <v>99</v>
      </c>
      <c r="B104" s="111" t="s">
        <v>173</v>
      </c>
      <c r="C104" s="117" t="s">
        <v>174</v>
      </c>
      <c r="D104" s="115" t="s">
        <v>172</v>
      </c>
      <c r="E104" s="118">
        <v>150</v>
      </c>
      <c r="F104" s="45"/>
      <c r="G104" s="45"/>
      <c r="H104" s="45"/>
      <c r="I104" s="45"/>
      <c r="J104" s="45"/>
      <c r="K104" s="45"/>
      <c r="L104" s="45"/>
      <c r="M104" s="45"/>
      <c r="N104" s="45"/>
      <c r="O104" s="45"/>
      <c r="P104" s="45"/>
      <c r="Q104" s="45"/>
      <c r="R104" s="45"/>
      <c r="S104" s="45"/>
      <c r="T104" s="45"/>
      <c r="U104" s="45"/>
      <c r="V104" s="45"/>
      <c r="W104" s="45"/>
      <c r="X104" s="45"/>
      <c r="Y104" s="45"/>
      <c r="Z104" s="45"/>
      <c r="AA104" s="45"/>
      <c r="AB104" s="45"/>
      <c r="AC104" s="45"/>
      <c r="AD104" s="45"/>
      <c r="AE104" s="45"/>
      <c r="AF104" s="45"/>
      <c r="AG104" s="45"/>
      <c r="AH104" s="45"/>
      <c r="AI104" s="45"/>
      <c r="AJ104" s="45"/>
      <c r="AK104" s="45"/>
      <c r="AL104" s="45"/>
      <c r="AM104" s="45"/>
      <c r="AN104" s="45"/>
      <c r="AO104" s="45"/>
      <c r="AP104" s="45"/>
      <c r="AQ104" s="45"/>
      <c r="AR104" s="45">
        <v>5700</v>
      </c>
      <c r="AS104" s="45">
        <v>3880</v>
      </c>
      <c r="AT104" s="45"/>
      <c r="AU104" s="45"/>
      <c r="AV104" s="45"/>
      <c r="AW104" s="45"/>
      <c r="AX104" s="45"/>
      <c r="AY104" s="45"/>
      <c r="AZ104" s="45"/>
      <c r="BA104" s="45"/>
      <c r="BB104" s="45"/>
      <c r="BC104" s="45"/>
      <c r="BD104" s="45"/>
      <c r="BE104" s="45"/>
      <c r="BF104" s="45"/>
      <c r="BG104" s="107">
        <f t="shared" si="80"/>
        <v>4790</v>
      </c>
      <c r="BH104" s="107">
        <f t="shared" si="81"/>
        <v>4790</v>
      </c>
      <c r="BI104" s="108">
        <f t="shared" si="82"/>
        <v>1286.9343417595164</v>
      </c>
      <c r="BJ104" s="65">
        <f t="shared" si="70"/>
        <v>0.26867105255939799</v>
      </c>
      <c r="BK104" s="66">
        <f t="shared" si="63"/>
        <v>4790</v>
      </c>
      <c r="BL104" s="66">
        <v>0</v>
      </c>
      <c r="BM104" s="109">
        <f t="shared" si="79"/>
        <v>4790</v>
      </c>
      <c r="BN104" s="109">
        <f t="shared" si="83"/>
        <v>718500</v>
      </c>
      <c r="BO104" s="110" t="s">
        <v>902</v>
      </c>
    </row>
    <row r="105" spans="1:67" ht="85" x14ac:dyDescent="0.2">
      <c r="A105" s="105">
        <v>100</v>
      </c>
      <c r="B105" s="111" t="s">
        <v>175</v>
      </c>
      <c r="C105" s="117" t="s">
        <v>176</v>
      </c>
      <c r="D105" s="115" t="s">
        <v>172</v>
      </c>
      <c r="E105" s="118">
        <v>150</v>
      </c>
      <c r="F105" s="45"/>
      <c r="G105" s="45"/>
      <c r="H105" s="45"/>
      <c r="I105" s="45"/>
      <c r="J105" s="45"/>
      <c r="K105" s="45"/>
      <c r="L105" s="45"/>
      <c r="M105" s="45"/>
      <c r="N105" s="45"/>
      <c r="O105" s="45"/>
      <c r="P105" s="45"/>
      <c r="Q105" s="45"/>
      <c r="R105" s="45"/>
      <c r="S105" s="45"/>
      <c r="T105" s="45"/>
      <c r="U105" s="45"/>
      <c r="V105" s="45"/>
      <c r="W105" s="45"/>
      <c r="X105" s="45"/>
      <c r="Y105" s="45"/>
      <c r="Z105" s="45"/>
      <c r="AA105" s="45"/>
      <c r="AB105" s="45"/>
      <c r="AC105" s="45"/>
      <c r="AD105" s="45"/>
      <c r="AE105" s="45"/>
      <c r="AF105" s="45"/>
      <c r="AG105" s="45"/>
      <c r="AH105" s="45"/>
      <c r="AI105" s="45"/>
      <c r="AJ105" s="45"/>
      <c r="AK105" s="45"/>
      <c r="AL105" s="45"/>
      <c r="AM105" s="45"/>
      <c r="AN105" s="45"/>
      <c r="AO105" s="45"/>
      <c r="AP105" s="45"/>
      <c r="AQ105" s="45"/>
      <c r="AR105" s="45">
        <v>5700</v>
      </c>
      <c r="AS105" s="45">
        <v>3880</v>
      </c>
      <c r="AT105" s="45"/>
      <c r="AU105" s="45"/>
      <c r="AV105" s="45"/>
      <c r="AW105" s="45"/>
      <c r="AX105" s="45"/>
      <c r="AY105" s="45"/>
      <c r="AZ105" s="45"/>
      <c r="BA105" s="45"/>
      <c r="BB105" s="45"/>
      <c r="BC105" s="45"/>
      <c r="BD105" s="45"/>
      <c r="BE105" s="45"/>
      <c r="BF105" s="45"/>
      <c r="BG105" s="107">
        <f t="shared" si="80"/>
        <v>4790</v>
      </c>
      <c r="BH105" s="107">
        <f t="shared" si="81"/>
        <v>4790</v>
      </c>
      <c r="BI105" s="108">
        <f t="shared" si="82"/>
        <v>1286.9343417595164</v>
      </c>
      <c r="BJ105" s="65">
        <f t="shared" si="70"/>
        <v>0.26867105255939799</v>
      </c>
      <c r="BK105" s="66">
        <f t="shared" si="63"/>
        <v>4790</v>
      </c>
      <c r="BL105" s="66">
        <v>0</v>
      </c>
      <c r="BM105" s="109">
        <f t="shared" si="79"/>
        <v>4790</v>
      </c>
      <c r="BN105" s="109">
        <f t="shared" si="83"/>
        <v>718500</v>
      </c>
      <c r="BO105" s="110" t="s">
        <v>902</v>
      </c>
    </row>
    <row r="106" spans="1:67" ht="119" x14ac:dyDescent="0.2">
      <c r="A106" s="105">
        <v>101</v>
      </c>
      <c r="B106" s="111" t="s">
        <v>177</v>
      </c>
      <c r="C106" s="117" t="s">
        <v>1242</v>
      </c>
      <c r="D106" s="115" t="s">
        <v>178</v>
      </c>
      <c r="E106" s="118">
        <v>1</v>
      </c>
      <c r="F106" s="45"/>
      <c r="G106" s="45"/>
      <c r="H106" s="45"/>
      <c r="I106" s="45"/>
      <c r="J106" s="45"/>
      <c r="K106" s="45"/>
      <c r="L106" s="45"/>
      <c r="M106" s="45"/>
      <c r="N106" s="45"/>
      <c r="O106" s="45"/>
      <c r="P106" s="45"/>
      <c r="Q106" s="45"/>
      <c r="R106" s="45"/>
      <c r="S106" s="45"/>
      <c r="T106" s="45"/>
      <c r="U106" s="45"/>
      <c r="V106" s="45"/>
      <c r="W106" s="45"/>
      <c r="X106" s="45"/>
      <c r="Y106" s="45"/>
      <c r="Z106" s="45"/>
      <c r="AA106" s="45"/>
      <c r="AB106" s="45"/>
      <c r="AC106" s="45"/>
      <c r="AD106" s="45"/>
      <c r="AE106" s="45"/>
      <c r="AF106" s="45"/>
      <c r="AG106" s="45"/>
      <c r="AH106" s="45"/>
      <c r="AI106" s="45"/>
      <c r="AJ106" s="45"/>
      <c r="AK106" s="45"/>
      <c r="AL106" s="45"/>
      <c r="AM106" s="45"/>
      <c r="AN106" s="45"/>
      <c r="AO106" s="45"/>
      <c r="AP106" s="45"/>
      <c r="AQ106" s="45"/>
      <c r="AR106" s="54">
        <v>1035300</v>
      </c>
      <c r="AS106" s="76">
        <v>1000000</v>
      </c>
      <c r="AT106" s="76"/>
      <c r="AU106" s="76"/>
      <c r="AV106" s="76"/>
      <c r="AW106" s="76"/>
      <c r="AX106" s="76"/>
      <c r="AY106" s="76"/>
      <c r="AZ106" s="76"/>
      <c r="BA106" s="76"/>
      <c r="BB106" s="76"/>
      <c r="BC106" s="76"/>
      <c r="BD106" s="76"/>
      <c r="BE106" s="76"/>
      <c r="BF106" s="76"/>
      <c r="BG106" s="107">
        <f t="shared" si="80"/>
        <v>1017650</v>
      </c>
      <c r="BH106" s="107">
        <f t="shared" si="81"/>
        <v>1017650</v>
      </c>
      <c r="BI106" s="108">
        <f t="shared" si="82"/>
        <v>24960.869375885126</v>
      </c>
      <c r="BJ106" s="65">
        <f t="shared" si="70"/>
        <v>2.4527951040028622E-2</v>
      </c>
      <c r="BK106" s="66">
        <f>BM106/1.19</f>
        <v>855168.06722689082</v>
      </c>
      <c r="BL106" s="66">
        <f t="shared" si="56"/>
        <v>162481.93277310926</v>
      </c>
      <c r="BM106" s="109">
        <f t="shared" si="79"/>
        <v>1017650</v>
      </c>
      <c r="BN106" s="109">
        <f t="shared" si="83"/>
        <v>1017650</v>
      </c>
      <c r="BO106" s="110" t="s">
        <v>903</v>
      </c>
    </row>
    <row r="107" spans="1:67" ht="85" x14ac:dyDescent="0.2">
      <c r="A107" s="105">
        <v>102</v>
      </c>
      <c r="B107" s="111" t="s">
        <v>179</v>
      </c>
      <c r="C107" s="117" t="s">
        <v>180</v>
      </c>
      <c r="D107" s="115" t="s">
        <v>181</v>
      </c>
      <c r="E107" s="118">
        <v>15</v>
      </c>
      <c r="F107" s="45"/>
      <c r="G107" s="45"/>
      <c r="H107" s="45"/>
      <c r="I107" s="45"/>
      <c r="J107" s="45"/>
      <c r="K107" s="45"/>
      <c r="L107" s="45"/>
      <c r="M107" s="45"/>
      <c r="N107" s="45"/>
      <c r="O107" s="45"/>
      <c r="P107" s="45"/>
      <c r="Q107" s="45"/>
      <c r="R107" s="45"/>
      <c r="S107" s="45"/>
      <c r="T107" s="45"/>
      <c r="U107" s="45"/>
      <c r="V107" s="45"/>
      <c r="W107" s="45"/>
      <c r="X107" s="45"/>
      <c r="Y107" s="45"/>
      <c r="Z107" s="45"/>
      <c r="AA107" s="45"/>
      <c r="AB107" s="45"/>
      <c r="AC107" s="45"/>
      <c r="AD107" s="45"/>
      <c r="AE107" s="45"/>
      <c r="AF107" s="45"/>
      <c r="AG107" s="45"/>
      <c r="AH107" s="45"/>
      <c r="AI107" s="45"/>
      <c r="AJ107" s="45"/>
      <c r="AK107" s="45"/>
      <c r="AL107" s="45"/>
      <c r="AM107" s="45"/>
      <c r="AN107" s="45"/>
      <c r="AO107" s="45"/>
      <c r="AP107" s="45"/>
      <c r="AQ107" s="45"/>
      <c r="AR107" s="45">
        <v>666400</v>
      </c>
      <c r="AS107" s="45">
        <v>500000</v>
      </c>
      <c r="AT107" s="45"/>
      <c r="AU107" s="45"/>
      <c r="AV107" s="45"/>
      <c r="AW107" s="45"/>
      <c r="AX107" s="45"/>
      <c r="AY107" s="45"/>
      <c r="AZ107" s="45"/>
      <c r="BA107" s="45"/>
      <c r="BB107" s="45"/>
      <c r="BC107" s="45"/>
      <c r="BD107" s="45"/>
      <c r="BE107" s="45"/>
      <c r="BF107" s="45"/>
      <c r="BG107" s="107">
        <f t="shared" si="80"/>
        <v>583200</v>
      </c>
      <c r="BH107" s="107">
        <f t="shared" si="81"/>
        <v>583200</v>
      </c>
      <c r="BI107" s="108">
        <f t="shared" si="82"/>
        <v>117662.56838944151</v>
      </c>
      <c r="BJ107" s="65">
        <f t="shared" si="70"/>
        <v>0.20175337515336336</v>
      </c>
      <c r="BK107" s="66">
        <f>BM107/1.19</f>
        <v>490084.03361344541</v>
      </c>
      <c r="BL107" s="66">
        <f t="shared" si="56"/>
        <v>93115.966386554632</v>
      </c>
      <c r="BM107" s="109">
        <f t="shared" si="79"/>
        <v>583200</v>
      </c>
      <c r="BN107" s="109">
        <f t="shared" si="83"/>
        <v>8748000</v>
      </c>
      <c r="BO107" s="110" t="s">
        <v>902</v>
      </c>
    </row>
    <row r="108" spans="1:67" ht="136" x14ac:dyDescent="0.2">
      <c r="A108" s="105">
        <v>103</v>
      </c>
      <c r="B108" s="111" t="s">
        <v>182</v>
      </c>
      <c r="C108" s="117" t="s">
        <v>183</v>
      </c>
      <c r="D108" s="115" t="s">
        <v>184</v>
      </c>
      <c r="E108" s="118">
        <v>10</v>
      </c>
      <c r="F108" s="45"/>
      <c r="G108" s="45"/>
      <c r="H108" s="45"/>
      <c r="I108" s="45"/>
      <c r="J108" s="45"/>
      <c r="K108" s="45"/>
      <c r="L108" s="45"/>
      <c r="M108" s="45"/>
      <c r="N108" s="45"/>
      <c r="O108" s="45"/>
      <c r="P108" s="45"/>
      <c r="Q108" s="45"/>
      <c r="R108" s="45"/>
      <c r="S108" s="45"/>
      <c r="T108" s="45"/>
      <c r="U108" s="45"/>
      <c r="V108" s="45"/>
      <c r="W108" s="45"/>
      <c r="X108" s="45"/>
      <c r="Y108" s="45"/>
      <c r="Z108" s="45"/>
      <c r="AA108" s="45"/>
      <c r="AB108" s="45"/>
      <c r="AC108" s="45"/>
      <c r="AD108" s="45"/>
      <c r="AE108" s="45"/>
      <c r="AF108" s="45"/>
      <c r="AG108" s="45"/>
      <c r="AH108" s="45"/>
      <c r="AI108" s="45"/>
      <c r="AJ108" s="45"/>
      <c r="AK108" s="45"/>
      <c r="AL108" s="45"/>
      <c r="AM108" s="45"/>
      <c r="AN108" s="45"/>
      <c r="AO108" s="45"/>
      <c r="AP108" s="45"/>
      <c r="AQ108" s="45"/>
      <c r="AR108" s="45">
        <v>79000</v>
      </c>
      <c r="AS108" s="45">
        <v>70000</v>
      </c>
      <c r="AT108" s="45"/>
      <c r="AU108" s="45"/>
      <c r="AV108" s="45"/>
      <c r="AW108" s="45"/>
      <c r="AX108" s="45"/>
      <c r="AY108" s="45"/>
      <c r="AZ108" s="45"/>
      <c r="BA108" s="45"/>
      <c r="BB108" s="45"/>
      <c r="BC108" s="45"/>
      <c r="BD108" s="45"/>
      <c r="BE108" s="45"/>
      <c r="BF108" s="45"/>
      <c r="BG108" s="107">
        <f t="shared" si="80"/>
        <v>74500</v>
      </c>
      <c r="BH108" s="107">
        <f t="shared" si="81"/>
        <v>74500</v>
      </c>
      <c r="BI108" s="108">
        <f t="shared" si="82"/>
        <v>6363.9610306789273</v>
      </c>
      <c r="BJ108" s="65">
        <f t="shared" si="70"/>
        <v>8.5422295713811103E-2</v>
      </c>
      <c r="BK108" s="66">
        <f>BM108/1.19</f>
        <v>62605.042016806728</v>
      </c>
      <c r="BL108" s="66">
        <f t="shared" si="56"/>
        <v>11894.957983193279</v>
      </c>
      <c r="BM108" s="109">
        <f t="shared" si="79"/>
        <v>74500</v>
      </c>
      <c r="BN108" s="109">
        <f t="shared" si="83"/>
        <v>745000</v>
      </c>
      <c r="BO108" s="110" t="s">
        <v>903</v>
      </c>
    </row>
    <row r="109" spans="1:67" ht="187" x14ac:dyDescent="0.2">
      <c r="A109" s="105">
        <v>104</v>
      </c>
      <c r="B109" s="119" t="s">
        <v>1243</v>
      </c>
      <c r="C109" s="120" t="s">
        <v>185</v>
      </c>
      <c r="D109" s="116" t="s">
        <v>192</v>
      </c>
      <c r="E109" s="121">
        <v>20</v>
      </c>
      <c r="F109" s="46"/>
      <c r="G109" s="46"/>
      <c r="H109" s="46"/>
      <c r="I109" s="46"/>
      <c r="J109" s="46"/>
      <c r="K109" s="46"/>
      <c r="L109" s="46"/>
      <c r="M109" s="46"/>
      <c r="N109" s="46"/>
      <c r="O109" s="46"/>
      <c r="P109" s="46"/>
      <c r="Q109" s="46"/>
      <c r="R109" s="46"/>
      <c r="S109" s="46"/>
      <c r="T109" s="46"/>
      <c r="U109" s="46"/>
      <c r="V109" s="46"/>
      <c r="W109" s="46"/>
      <c r="X109" s="46"/>
      <c r="Y109" s="46"/>
      <c r="Z109" s="46"/>
      <c r="AA109" s="46"/>
      <c r="AB109" s="46"/>
      <c r="AC109" s="46"/>
      <c r="AD109" s="46"/>
      <c r="AE109" s="46"/>
      <c r="AF109" s="46"/>
      <c r="AG109" s="46"/>
      <c r="AH109" s="46"/>
      <c r="AI109" s="46"/>
      <c r="AJ109" s="46"/>
      <c r="AK109" s="46"/>
      <c r="AL109" s="46"/>
      <c r="AM109" s="46"/>
      <c r="AN109" s="46"/>
      <c r="AO109" s="46"/>
      <c r="AP109" s="46"/>
      <c r="AQ109" s="46"/>
      <c r="AR109" s="46"/>
      <c r="AS109" s="46">
        <v>60000</v>
      </c>
      <c r="AT109" s="46"/>
      <c r="AU109" s="46">
        <v>52000</v>
      </c>
      <c r="AV109" s="46"/>
      <c r="AW109" s="46"/>
      <c r="AX109" s="46"/>
      <c r="AY109" s="46"/>
      <c r="AZ109" s="46"/>
      <c r="BA109" s="46"/>
      <c r="BB109" s="46"/>
      <c r="BC109" s="46"/>
      <c r="BD109" s="46"/>
      <c r="BE109" s="46"/>
      <c r="BF109" s="46"/>
      <c r="BG109" s="107">
        <f t="shared" si="80"/>
        <v>56000</v>
      </c>
      <c r="BH109" s="107">
        <f t="shared" si="81"/>
        <v>56000</v>
      </c>
      <c r="BI109" s="108">
        <f t="shared" si="82"/>
        <v>5656.8542494923804</v>
      </c>
      <c r="BJ109" s="65">
        <f t="shared" si="70"/>
        <v>0.10101525445522108</v>
      </c>
      <c r="BK109" s="66">
        <f>BM109</f>
        <v>56000</v>
      </c>
      <c r="BL109" s="66">
        <v>0</v>
      </c>
      <c r="BM109" s="109">
        <f t="shared" si="79"/>
        <v>56000</v>
      </c>
      <c r="BN109" s="109">
        <f t="shared" si="83"/>
        <v>1120000</v>
      </c>
      <c r="BO109" s="110" t="s">
        <v>903</v>
      </c>
    </row>
    <row r="110" spans="1:67" ht="272" x14ac:dyDescent="0.2">
      <c r="A110" s="105">
        <v>105</v>
      </c>
      <c r="B110" s="111" t="s">
        <v>1244</v>
      </c>
      <c r="C110" s="117" t="s">
        <v>1247</v>
      </c>
      <c r="D110" s="115" t="s">
        <v>186</v>
      </c>
      <c r="E110" s="118">
        <v>10</v>
      </c>
      <c r="F110" s="45"/>
      <c r="G110" s="45"/>
      <c r="H110" s="45"/>
      <c r="I110" s="45"/>
      <c r="J110" s="45"/>
      <c r="K110" s="45"/>
      <c r="L110" s="45"/>
      <c r="M110" s="45"/>
      <c r="N110" s="45"/>
      <c r="O110" s="45"/>
      <c r="P110" s="45"/>
      <c r="Q110" s="45"/>
      <c r="R110" s="45"/>
      <c r="S110" s="45"/>
      <c r="T110" s="45"/>
      <c r="U110" s="45"/>
      <c r="V110" s="45"/>
      <c r="W110" s="45"/>
      <c r="X110" s="45"/>
      <c r="Y110" s="45"/>
      <c r="Z110" s="45"/>
      <c r="AA110" s="45"/>
      <c r="AB110" s="45"/>
      <c r="AC110" s="45"/>
      <c r="AD110" s="45"/>
      <c r="AE110" s="45"/>
      <c r="AF110" s="45"/>
      <c r="AG110" s="45"/>
      <c r="AH110" s="45"/>
      <c r="AI110" s="45"/>
      <c r="AJ110" s="45"/>
      <c r="AK110" s="45"/>
      <c r="AL110" s="45"/>
      <c r="AM110" s="54"/>
      <c r="AN110" s="54">
        <v>47000</v>
      </c>
      <c r="AO110" s="54"/>
      <c r="AP110" s="54">
        <v>47100</v>
      </c>
      <c r="AQ110" s="54"/>
      <c r="AR110" s="54"/>
      <c r="AS110" s="54">
        <v>50000</v>
      </c>
      <c r="AT110" s="54"/>
      <c r="AU110" s="54"/>
      <c r="AV110" s="54"/>
      <c r="AW110" s="54"/>
      <c r="AX110" s="54"/>
      <c r="AY110" s="54"/>
      <c r="AZ110" s="54"/>
      <c r="BA110" s="54"/>
      <c r="BB110" s="54"/>
      <c r="BC110" s="54"/>
      <c r="BD110" s="54"/>
      <c r="BE110" s="54"/>
      <c r="BF110" s="54"/>
      <c r="BG110" s="107">
        <f t="shared" si="80"/>
        <v>47100</v>
      </c>
      <c r="BH110" s="107">
        <f t="shared" si="81"/>
        <v>48033.333333333336</v>
      </c>
      <c r="BI110" s="108">
        <f t="shared" si="82"/>
        <v>1703.9170558842743</v>
      </c>
      <c r="BJ110" s="65">
        <f t="shared" si="70"/>
        <v>3.5473637527084129E-2</v>
      </c>
      <c r="BK110" s="66">
        <f t="shared" ref="BK110:BK121" si="84">BM110</f>
        <v>48034</v>
      </c>
      <c r="BL110" s="66">
        <v>0</v>
      </c>
      <c r="BM110" s="109">
        <f t="shared" si="79"/>
        <v>48034</v>
      </c>
      <c r="BN110" s="109">
        <f t="shared" si="83"/>
        <v>480340</v>
      </c>
      <c r="BO110" s="110" t="s">
        <v>903</v>
      </c>
    </row>
    <row r="111" spans="1:67" ht="204" x14ac:dyDescent="0.2">
      <c r="A111" s="105">
        <v>106</v>
      </c>
      <c r="B111" s="111" t="s">
        <v>1245</v>
      </c>
      <c r="C111" s="117" t="s">
        <v>1248</v>
      </c>
      <c r="D111" s="115" t="s">
        <v>187</v>
      </c>
      <c r="E111" s="118">
        <v>10</v>
      </c>
      <c r="F111" s="45"/>
      <c r="G111" s="45"/>
      <c r="H111" s="45"/>
      <c r="I111" s="45"/>
      <c r="J111" s="45"/>
      <c r="K111" s="45"/>
      <c r="L111" s="45"/>
      <c r="M111" s="45"/>
      <c r="N111" s="45"/>
      <c r="O111" s="45"/>
      <c r="P111" s="45"/>
      <c r="Q111" s="45"/>
      <c r="R111" s="45"/>
      <c r="S111" s="45"/>
      <c r="T111" s="45"/>
      <c r="U111" s="45"/>
      <c r="V111" s="45"/>
      <c r="W111" s="45"/>
      <c r="X111" s="45"/>
      <c r="Y111" s="45"/>
      <c r="Z111" s="45"/>
      <c r="AA111" s="45"/>
      <c r="AB111" s="45"/>
      <c r="AC111" s="45"/>
      <c r="AD111" s="45"/>
      <c r="AE111" s="45"/>
      <c r="AF111" s="45"/>
      <c r="AG111" s="45"/>
      <c r="AH111" s="45"/>
      <c r="AI111" s="45"/>
      <c r="AJ111" s="45"/>
      <c r="AK111" s="45"/>
      <c r="AL111" s="45"/>
      <c r="AM111" s="45"/>
      <c r="AN111" s="45">
        <v>40500</v>
      </c>
      <c r="AO111" s="45"/>
      <c r="AP111" s="45">
        <v>40800</v>
      </c>
      <c r="AQ111" s="45"/>
      <c r="AR111" s="45"/>
      <c r="AS111" s="45">
        <v>53550</v>
      </c>
      <c r="AT111" s="45"/>
      <c r="AU111" s="45"/>
      <c r="AV111" s="45"/>
      <c r="AW111" s="45"/>
      <c r="AX111" s="45"/>
      <c r="AY111" s="45"/>
      <c r="AZ111" s="45"/>
      <c r="BA111" s="45"/>
      <c r="BB111" s="45"/>
      <c r="BC111" s="45"/>
      <c r="BD111" s="45"/>
      <c r="BE111" s="45"/>
      <c r="BF111" s="45"/>
      <c r="BG111" s="107">
        <f t="shared" si="80"/>
        <v>40800</v>
      </c>
      <c r="BH111" s="107">
        <f t="shared" si="81"/>
        <v>44950</v>
      </c>
      <c r="BI111" s="108">
        <f t="shared" si="82"/>
        <v>7449.3288288274671</v>
      </c>
      <c r="BJ111" s="65">
        <f t="shared" si="70"/>
        <v>0.16572477928425955</v>
      </c>
      <c r="BK111" s="66">
        <f t="shared" si="84"/>
        <v>40800</v>
      </c>
      <c r="BL111" s="66">
        <v>0</v>
      </c>
      <c r="BM111" s="109">
        <f t="shared" si="79"/>
        <v>40800</v>
      </c>
      <c r="BN111" s="109">
        <f t="shared" si="83"/>
        <v>408000</v>
      </c>
      <c r="BO111" s="110" t="s">
        <v>902</v>
      </c>
    </row>
    <row r="112" spans="1:67" ht="153" x14ac:dyDescent="0.2">
      <c r="A112" s="105">
        <v>107</v>
      </c>
      <c r="B112" s="111" t="s">
        <v>1246</v>
      </c>
      <c r="C112" s="117" t="s">
        <v>1249</v>
      </c>
      <c r="D112" s="115" t="s">
        <v>187</v>
      </c>
      <c r="E112" s="118">
        <v>10</v>
      </c>
      <c r="F112" s="45"/>
      <c r="G112" s="45"/>
      <c r="H112" s="45"/>
      <c r="I112" s="45"/>
      <c r="J112" s="45"/>
      <c r="K112" s="45"/>
      <c r="L112" s="45"/>
      <c r="M112" s="45"/>
      <c r="N112" s="45"/>
      <c r="O112" s="45"/>
      <c r="P112" s="45"/>
      <c r="Q112" s="45"/>
      <c r="R112" s="45"/>
      <c r="S112" s="45"/>
      <c r="T112" s="45"/>
      <c r="U112" s="45"/>
      <c r="V112" s="45"/>
      <c r="W112" s="45"/>
      <c r="X112" s="45"/>
      <c r="Y112" s="45"/>
      <c r="Z112" s="45"/>
      <c r="AA112" s="45"/>
      <c r="AB112" s="45"/>
      <c r="AC112" s="45"/>
      <c r="AD112" s="45"/>
      <c r="AE112" s="45"/>
      <c r="AF112" s="45"/>
      <c r="AG112" s="45"/>
      <c r="AH112" s="45"/>
      <c r="AI112" s="45"/>
      <c r="AJ112" s="45"/>
      <c r="AK112" s="45"/>
      <c r="AL112" s="45"/>
      <c r="AM112" s="45"/>
      <c r="AN112" s="45"/>
      <c r="AO112" s="45"/>
      <c r="AP112" s="45"/>
      <c r="AQ112" s="45"/>
      <c r="AR112" s="45">
        <v>119000</v>
      </c>
      <c r="AS112" s="45">
        <v>107100</v>
      </c>
      <c r="AT112" s="45"/>
      <c r="AU112" s="45"/>
      <c r="AV112" s="45"/>
      <c r="AW112" s="45"/>
      <c r="AX112" s="45"/>
      <c r="AY112" s="45"/>
      <c r="AZ112" s="45"/>
      <c r="BA112" s="45"/>
      <c r="BB112" s="45"/>
      <c r="BC112" s="45"/>
      <c r="BD112" s="45"/>
      <c r="BE112" s="45"/>
      <c r="BF112" s="45"/>
      <c r="BG112" s="107">
        <f t="shared" si="80"/>
        <v>113050</v>
      </c>
      <c r="BH112" s="107">
        <f t="shared" si="81"/>
        <v>113050</v>
      </c>
      <c r="BI112" s="108">
        <f t="shared" si="82"/>
        <v>8414.5706961199157</v>
      </c>
      <c r="BJ112" s="65">
        <f t="shared" si="70"/>
        <v>7.4432292756478682E-2</v>
      </c>
      <c r="BK112" s="66">
        <f t="shared" si="84"/>
        <v>113050</v>
      </c>
      <c r="BL112" s="66">
        <v>0</v>
      </c>
      <c r="BM112" s="109">
        <f t="shared" si="79"/>
        <v>113050</v>
      </c>
      <c r="BN112" s="109">
        <f t="shared" si="83"/>
        <v>1130500</v>
      </c>
      <c r="BO112" s="110" t="s">
        <v>903</v>
      </c>
    </row>
    <row r="113" spans="1:68" ht="221" x14ac:dyDescent="0.2">
      <c r="A113" s="105">
        <v>108</v>
      </c>
      <c r="B113" s="111" t="s">
        <v>1250</v>
      </c>
      <c r="C113" s="117" t="s">
        <v>1259</v>
      </c>
      <c r="D113" s="115" t="s">
        <v>188</v>
      </c>
      <c r="E113" s="118">
        <v>10</v>
      </c>
      <c r="F113" s="45"/>
      <c r="G113" s="45"/>
      <c r="H113" s="45"/>
      <c r="I113" s="45"/>
      <c r="J113" s="45"/>
      <c r="K113" s="45"/>
      <c r="L113" s="45"/>
      <c r="M113" s="45"/>
      <c r="N113" s="45"/>
      <c r="O113" s="45"/>
      <c r="P113" s="45"/>
      <c r="Q113" s="45"/>
      <c r="R113" s="45"/>
      <c r="S113" s="45"/>
      <c r="T113" s="45"/>
      <c r="U113" s="45"/>
      <c r="V113" s="45"/>
      <c r="W113" s="45"/>
      <c r="X113" s="45"/>
      <c r="Y113" s="45"/>
      <c r="Z113" s="45"/>
      <c r="AA113" s="45"/>
      <c r="AB113" s="45"/>
      <c r="AC113" s="45"/>
      <c r="AD113" s="45"/>
      <c r="AE113" s="45"/>
      <c r="AF113" s="45"/>
      <c r="AG113" s="45"/>
      <c r="AH113" s="45"/>
      <c r="AI113" s="45"/>
      <c r="AJ113" s="45"/>
      <c r="AK113" s="45"/>
      <c r="AL113" s="45"/>
      <c r="AM113" s="45"/>
      <c r="AN113" s="45"/>
      <c r="AO113" s="45"/>
      <c r="AP113" s="45"/>
      <c r="AQ113" s="45"/>
      <c r="AR113" s="45">
        <v>79000</v>
      </c>
      <c r="AS113" s="45">
        <v>69020</v>
      </c>
      <c r="AT113" s="45"/>
      <c r="AU113" s="45"/>
      <c r="AV113" s="45"/>
      <c r="AW113" s="45"/>
      <c r="AX113" s="45"/>
      <c r="AY113" s="45"/>
      <c r="AZ113" s="45"/>
      <c r="BA113" s="45"/>
      <c r="BB113" s="45"/>
      <c r="BC113" s="45"/>
      <c r="BD113" s="45"/>
      <c r="BE113" s="45"/>
      <c r="BF113" s="45"/>
      <c r="BG113" s="107">
        <f t="shared" si="80"/>
        <v>74010</v>
      </c>
      <c r="BH113" s="107">
        <f t="shared" si="81"/>
        <v>74010</v>
      </c>
      <c r="BI113" s="108">
        <f t="shared" si="82"/>
        <v>7056.9256762417444</v>
      </c>
      <c r="BJ113" s="65">
        <f t="shared" si="70"/>
        <v>9.53509752228313E-2</v>
      </c>
      <c r="BK113" s="66">
        <f t="shared" si="84"/>
        <v>74010</v>
      </c>
      <c r="BL113" s="66">
        <v>0</v>
      </c>
      <c r="BM113" s="109">
        <f t="shared" si="79"/>
        <v>74010</v>
      </c>
      <c r="BN113" s="109">
        <f t="shared" si="83"/>
        <v>740100</v>
      </c>
      <c r="BO113" s="110" t="s">
        <v>903</v>
      </c>
    </row>
    <row r="114" spans="1:68" ht="170.5" customHeight="1" x14ac:dyDescent="0.2">
      <c r="A114" s="105">
        <v>109</v>
      </c>
      <c r="B114" s="111" t="s">
        <v>1251</v>
      </c>
      <c r="C114" s="117" t="s">
        <v>189</v>
      </c>
      <c r="D114" s="115" t="s">
        <v>188</v>
      </c>
      <c r="E114" s="118">
        <v>10</v>
      </c>
      <c r="F114" s="45"/>
      <c r="G114" s="45"/>
      <c r="H114" s="45"/>
      <c r="I114" s="45"/>
      <c r="J114" s="45"/>
      <c r="K114" s="45"/>
      <c r="L114" s="45"/>
      <c r="M114" s="45"/>
      <c r="N114" s="45"/>
      <c r="O114" s="45"/>
      <c r="P114" s="45"/>
      <c r="Q114" s="45"/>
      <c r="R114" s="45"/>
      <c r="S114" s="45"/>
      <c r="T114" s="45"/>
      <c r="U114" s="45"/>
      <c r="V114" s="45"/>
      <c r="W114" s="45"/>
      <c r="X114" s="45"/>
      <c r="Y114" s="45"/>
      <c r="Z114" s="45"/>
      <c r="AA114" s="45"/>
      <c r="AB114" s="45"/>
      <c r="AC114" s="45"/>
      <c r="AD114" s="45"/>
      <c r="AE114" s="45"/>
      <c r="AF114" s="45"/>
      <c r="AG114" s="45"/>
      <c r="AH114" s="45"/>
      <c r="AI114" s="45"/>
      <c r="AJ114" s="45"/>
      <c r="AK114" s="45"/>
      <c r="AL114" s="45"/>
      <c r="AM114" s="45"/>
      <c r="AN114" s="45">
        <v>28000</v>
      </c>
      <c r="AO114" s="45"/>
      <c r="AP114" s="45">
        <v>29900</v>
      </c>
      <c r="AQ114" s="45"/>
      <c r="AR114" s="45"/>
      <c r="AS114" s="45">
        <v>35700</v>
      </c>
      <c r="AT114" s="45"/>
      <c r="AU114" s="45"/>
      <c r="AV114" s="45"/>
      <c r="AW114" s="45"/>
      <c r="AX114" s="45"/>
      <c r="AY114" s="45"/>
      <c r="AZ114" s="45"/>
      <c r="BA114" s="45"/>
      <c r="BB114" s="45"/>
      <c r="BC114" s="45"/>
      <c r="BD114" s="45"/>
      <c r="BE114" s="45"/>
      <c r="BF114" s="45"/>
      <c r="BG114" s="107">
        <f t="shared" si="80"/>
        <v>29900</v>
      </c>
      <c r="BH114" s="107">
        <f t="shared" si="81"/>
        <v>31200</v>
      </c>
      <c r="BI114" s="108">
        <f t="shared" si="82"/>
        <v>4011.234224026316</v>
      </c>
      <c r="BJ114" s="65">
        <f t="shared" si="70"/>
        <v>0.12856519948802295</v>
      </c>
      <c r="BK114" s="66">
        <f t="shared" si="84"/>
        <v>31200</v>
      </c>
      <c r="BL114" s="66">
        <v>0</v>
      </c>
      <c r="BM114" s="109">
        <f t="shared" si="79"/>
        <v>31200</v>
      </c>
      <c r="BN114" s="109">
        <f t="shared" si="83"/>
        <v>312000</v>
      </c>
      <c r="BO114" s="110" t="s">
        <v>903</v>
      </c>
    </row>
    <row r="115" spans="1:68" ht="187" x14ac:dyDescent="0.2">
      <c r="A115" s="105">
        <v>110</v>
      </c>
      <c r="B115" s="111" t="s">
        <v>1252</v>
      </c>
      <c r="C115" s="117" t="s">
        <v>1260</v>
      </c>
      <c r="D115" s="115" t="s">
        <v>188</v>
      </c>
      <c r="E115" s="118">
        <v>10</v>
      </c>
      <c r="F115" s="45"/>
      <c r="G115" s="45"/>
      <c r="H115" s="45"/>
      <c r="I115" s="45"/>
      <c r="J115" s="45"/>
      <c r="K115" s="45"/>
      <c r="L115" s="45"/>
      <c r="M115" s="45"/>
      <c r="N115" s="45"/>
      <c r="O115" s="45"/>
      <c r="P115" s="45"/>
      <c r="Q115" s="45"/>
      <c r="R115" s="45"/>
      <c r="S115" s="45"/>
      <c r="T115" s="45"/>
      <c r="U115" s="45"/>
      <c r="V115" s="45"/>
      <c r="W115" s="45"/>
      <c r="X115" s="45"/>
      <c r="Y115" s="45"/>
      <c r="Z115" s="45"/>
      <c r="AA115" s="45"/>
      <c r="AB115" s="45"/>
      <c r="AC115" s="45"/>
      <c r="AD115" s="45"/>
      <c r="AE115" s="45"/>
      <c r="AF115" s="45"/>
      <c r="AG115" s="45"/>
      <c r="AH115" s="45"/>
      <c r="AI115" s="45"/>
      <c r="AJ115" s="45"/>
      <c r="AK115" s="45"/>
      <c r="AL115" s="45"/>
      <c r="AM115" s="45"/>
      <c r="AN115" s="45"/>
      <c r="AO115" s="45"/>
      <c r="AP115" s="45"/>
      <c r="AQ115" s="45"/>
      <c r="AR115" s="45">
        <v>89000</v>
      </c>
      <c r="AS115" s="45">
        <v>80920</v>
      </c>
      <c r="AT115" s="45"/>
      <c r="AU115" s="45"/>
      <c r="AV115" s="45"/>
      <c r="AW115" s="45"/>
      <c r="AX115" s="45"/>
      <c r="AY115" s="45"/>
      <c r="AZ115" s="45"/>
      <c r="BA115" s="45"/>
      <c r="BB115" s="45"/>
      <c r="BC115" s="45"/>
      <c r="BD115" s="45"/>
      <c r="BE115" s="45"/>
      <c r="BF115" s="45"/>
      <c r="BG115" s="107">
        <f t="shared" si="80"/>
        <v>84960</v>
      </c>
      <c r="BH115" s="107">
        <f t="shared" si="81"/>
        <v>84960</v>
      </c>
      <c r="BI115" s="108">
        <f t="shared" si="82"/>
        <v>5713.4227919873038</v>
      </c>
      <c r="BJ115" s="65">
        <f t="shared" si="70"/>
        <v>6.7248385028099156E-2</v>
      </c>
      <c r="BK115" s="66">
        <f t="shared" si="84"/>
        <v>84960</v>
      </c>
      <c r="BL115" s="66">
        <v>0</v>
      </c>
      <c r="BM115" s="109">
        <f t="shared" si="79"/>
        <v>84960</v>
      </c>
      <c r="BN115" s="109">
        <f t="shared" si="83"/>
        <v>849600</v>
      </c>
      <c r="BO115" s="110" t="s">
        <v>903</v>
      </c>
    </row>
    <row r="116" spans="1:68" ht="255" x14ac:dyDescent="0.2">
      <c r="A116" s="105">
        <v>111</v>
      </c>
      <c r="B116" s="111" t="s">
        <v>1253</v>
      </c>
      <c r="C116" s="117" t="s">
        <v>1261</v>
      </c>
      <c r="D116" s="115" t="s">
        <v>188</v>
      </c>
      <c r="E116" s="118">
        <v>10</v>
      </c>
      <c r="F116" s="45"/>
      <c r="G116" s="45"/>
      <c r="H116" s="45"/>
      <c r="I116" s="45"/>
      <c r="J116" s="45"/>
      <c r="K116" s="45"/>
      <c r="L116" s="45"/>
      <c r="M116" s="45"/>
      <c r="N116" s="45"/>
      <c r="O116" s="45"/>
      <c r="P116" s="45"/>
      <c r="Q116" s="45"/>
      <c r="R116" s="45"/>
      <c r="S116" s="45"/>
      <c r="T116" s="45"/>
      <c r="U116" s="45"/>
      <c r="V116" s="45"/>
      <c r="W116" s="45"/>
      <c r="X116" s="45"/>
      <c r="Y116" s="45"/>
      <c r="Z116" s="45"/>
      <c r="AA116" s="45"/>
      <c r="AB116" s="45"/>
      <c r="AC116" s="45"/>
      <c r="AD116" s="45"/>
      <c r="AE116" s="45"/>
      <c r="AF116" s="45"/>
      <c r="AG116" s="45"/>
      <c r="AH116" s="45"/>
      <c r="AI116" s="45"/>
      <c r="AJ116" s="45"/>
      <c r="AK116" s="45"/>
      <c r="AL116" s="45"/>
      <c r="AM116" s="45"/>
      <c r="AN116" s="45"/>
      <c r="AO116" s="45"/>
      <c r="AP116" s="45"/>
      <c r="AQ116" s="45"/>
      <c r="AR116" s="45">
        <v>123000</v>
      </c>
      <c r="AS116" s="45">
        <v>119000</v>
      </c>
      <c r="AT116" s="45"/>
      <c r="AU116" s="45"/>
      <c r="AV116" s="45"/>
      <c r="AW116" s="45"/>
      <c r="AX116" s="45"/>
      <c r="AY116" s="45"/>
      <c r="AZ116" s="45"/>
      <c r="BA116" s="45"/>
      <c r="BB116" s="45"/>
      <c r="BC116" s="45"/>
      <c r="BD116" s="45"/>
      <c r="BE116" s="45"/>
      <c r="BF116" s="45"/>
      <c r="BG116" s="107">
        <f t="shared" si="80"/>
        <v>121000</v>
      </c>
      <c r="BH116" s="107">
        <f t="shared" si="81"/>
        <v>121000</v>
      </c>
      <c r="BI116" s="108">
        <f t="shared" si="82"/>
        <v>2828.4271247461902</v>
      </c>
      <c r="BJ116" s="65">
        <f t="shared" si="70"/>
        <v>2.3375430783026365E-2</v>
      </c>
      <c r="BK116" s="66">
        <f t="shared" si="84"/>
        <v>121000</v>
      </c>
      <c r="BL116" s="66">
        <v>0</v>
      </c>
      <c r="BM116" s="109">
        <f t="shared" si="79"/>
        <v>121000</v>
      </c>
      <c r="BN116" s="109">
        <f t="shared" si="83"/>
        <v>1210000</v>
      </c>
      <c r="BO116" s="110" t="s">
        <v>903</v>
      </c>
    </row>
    <row r="117" spans="1:68" ht="187" x14ac:dyDescent="0.2">
      <c r="A117" s="105">
        <v>112</v>
      </c>
      <c r="B117" s="111" t="s">
        <v>1254</v>
      </c>
      <c r="C117" s="117" t="s">
        <v>190</v>
      </c>
      <c r="D117" s="115" t="s">
        <v>188</v>
      </c>
      <c r="E117" s="118">
        <v>10</v>
      </c>
      <c r="F117" s="45"/>
      <c r="G117" s="45"/>
      <c r="H117" s="45"/>
      <c r="I117" s="45"/>
      <c r="J117" s="45"/>
      <c r="K117" s="45"/>
      <c r="L117" s="45"/>
      <c r="M117" s="45"/>
      <c r="N117" s="45"/>
      <c r="O117" s="45"/>
      <c r="P117" s="45"/>
      <c r="Q117" s="45"/>
      <c r="R117" s="45"/>
      <c r="S117" s="45"/>
      <c r="T117" s="45"/>
      <c r="U117" s="45"/>
      <c r="V117" s="45"/>
      <c r="W117" s="45"/>
      <c r="X117" s="45"/>
      <c r="Y117" s="45"/>
      <c r="Z117" s="45"/>
      <c r="AA117" s="45"/>
      <c r="AB117" s="45"/>
      <c r="AC117" s="45"/>
      <c r="AD117" s="45"/>
      <c r="AE117" s="45"/>
      <c r="AF117" s="45"/>
      <c r="AG117" s="45"/>
      <c r="AH117" s="45"/>
      <c r="AI117" s="45"/>
      <c r="AJ117" s="45"/>
      <c r="AK117" s="45"/>
      <c r="AL117" s="45"/>
      <c r="AM117" s="45"/>
      <c r="AN117" s="45"/>
      <c r="AO117" s="45"/>
      <c r="AP117" s="45"/>
      <c r="AQ117" s="45"/>
      <c r="AR117" s="45">
        <v>123000</v>
      </c>
      <c r="AS117" s="45">
        <v>114240</v>
      </c>
      <c r="AT117" s="45"/>
      <c r="AU117" s="45"/>
      <c r="AV117" s="45"/>
      <c r="AW117" s="45"/>
      <c r="AX117" s="45"/>
      <c r="AY117" s="45"/>
      <c r="AZ117" s="45"/>
      <c r="BA117" s="45"/>
      <c r="BB117" s="45"/>
      <c r="BC117" s="45"/>
      <c r="BD117" s="45"/>
      <c r="BE117" s="45"/>
      <c r="BF117" s="45"/>
      <c r="BG117" s="107">
        <f t="shared" si="80"/>
        <v>118620</v>
      </c>
      <c r="BH117" s="107">
        <f t="shared" si="81"/>
        <v>118620</v>
      </c>
      <c r="BI117" s="108">
        <f t="shared" si="82"/>
        <v>6194.2554031941563</v>
      </c>
      <c r="BJ117" s="65">
        <f t="shared" si="70"/>
        <v>5.2219317174120351E-2</v>
      </c>
      <c r="BK117" s="66">
        <f t="shared" si="84"/>
        <v>118620</v>
      </c>
      <c r="BL117" s="66">
        <v>0</v>
      </c>
      <c r="BM117" s="109">
        <f t="shared" si="79"/>
        <v>118620</v>
      </c>
      <c r="BN117" s="109">
        <f t="shared" si="83"/>
        <v>1186200</v>
      </c>
      <c r="BO117" s="110" t="s">
        <v>903</v>
      </c>
    </row>
    <row r="118" spans="1:68" ht="187" x14ac:dyDescent="0.2">
      <c r="A118" s="105">
        <v>113</v>
      </c>
      <c r="B118" s="111" t="s">
        <v>1255</v>
      </c>
      <c r="C118" s="117" t="s">
        <v>1262</v>
      </c>
      <c r="D118" s="115" t="s">
        <v>191</v>
      </c>
      <c r="E118" s="118">
        <v>5</v>
      </c>
      <c r="F118" s="45"/>
      <c r="G118" s="45"/>
      <c r="H118" s="45"/>
      <c r="I118" s="45"/>
      <c r="J118" s="45"/>
      <c r="K118" s="45"/>
      <c r="L118" s="45"/>
      <c r="M118" s="45"/>
      <c r="N118" s="45"/>
      <c r="O118" s="45"/>
      <c r="P118" s="45"/>
      <c r="Q118" s="45"/>
      <c r="R118" s="45"/>
      <c r="S118" s="45"/>
      <c r="T118" s="45"/>
      <c r="U118" s="45"/>
      <c r="V118" s="45"/>
      <c r="W118" s="45"/>
      <c r="X118" s="45"/>
      <c r="Y118" s="45"/>
      <c r="Z118" s="45"/>
      <c r="AA118" s="45"/>
      <c r="AB118" s="45"/>
      <c r="AC118" s="45"/>
      <c r="AD118" s="45"/>
      <c r="AE118" s="45"/>
      <c r="AF118" s="45"/>
      <c r="AG118" s="45"/>
      <c r="AH118" s="45"/>
      <c r="AI118" s="45"/>
      <c r="AJ118" s="45"/>
      <c r="AK118" s="45"/>
      <c r="AL118" s="45"/>
      <c r="AM118" s="45"/>
      <c r="AN118" s="45"/>
      <c r="AO118" s="45"/>
      <c r="AP118" s="45"/>
      <c r="AQ118" s="45"/>
      <c r="AR118" s="45"/>
      <c r="AS118" s="45">
        <v>119000</v>
      </c>
      <c r="AT118" s="45"/>
      <c r="AU118" s="45">
        <v>90000</v>
      </c>
      <c r="AV118" s="45"/>
      <c r="AW118" s="45"/>
      <c r="AX118" s="45"/>
      <c r="AY118" s="45"/>
      <c r="AZ118" s="45"/>
      <c r="BA118" s="45"/>
      <c r="BB118" s="45"/>
      <c r="BC118" s="45"/>
      <c r="BD118" s="45"/>
      <c r="BE118" s="45"/>
      <c r="BF118" s="45"/>
      <c r="BG118" s="107">
        <f t="shared" si="80"/>
        <v>104500</v>
      </c>
      <c r="BH118" s="107">
        <f t="shared" si="81"/>
        <v>104500</v>
      </c>
      <c r="BI118" s="108">
        <f t="shared" si="82"/>
        <v>20506.096654409877</v>
      </c>
      <c r="BJ118" s="65">
        <f t="shared" si="70"/>
        <v>0.19623058999435289</v>
      </c>
      <c r="BK118" s="66">
        <f t="shared" si="84"/>
        <v>104500</v>
      </c>
      <c r="BL118" s="66">
        <v>0</v>
      </c>
      <c r="BM118" s="109">
        <f t="shared" si="79"/>
        <v>104500</v>
      </c>
      <c r="BN118" s="109">
        <f t="shared" si="83"/>
        <v>522500</v>
      </c>
      <c r="BO118" s="110" t="s">
        <v>902</v>
      </c>
    </row>
    <row r="119" spans="1:68" ht="85" x14ac:dyDescent="0.2">
      <c r="A119" s="105">
        <v>114</v>
      </c>
      <c r="B119" s="111" t="s">
        <v>1256</v>
      </c>
      <c r="C119" s="117" t="s">
        <v>1263</v>
      </c>
      <c r="D119" s="115" t="s">
        <v>192</v>
      </c>
      <c r="E119" s="118">
        <v>4</v>
      </c>
      <c r="F119" s="45"/>
      <c r="G119" s="45"/>
      <c r="H119" s="45"/>
      <c r="I119" s="45"/>
      <c r="J119" s="45"/>
      <c r="K119" s="45"/>
      <c r="L119" s="45"/>
      <c r="M119" s="45"/>
      <c r="N119" s="45"/>
      <c r="O119" s="45"/>
      <c r="P119" s="45"/>
      <c r="Q119" s="45"/>
      <c r="R119" s="45"/>
      <c r="S119" s="45"/>
      <c r="T119" s="45"/>
      <c r="U119" s="45"/>
      <c r="V119" s="45"/>
      <c r="W119" s="45"/>
      <c r="X119" s="45"/>
      <c r="Y119" s="45"/>
      <c r="Z119" s="45"/>
      <c r="AA119" s="45"/>
      <c r="AB119" s="45"/>
      <c r="AC119" s="45"/>
      <c r="AD119" s="45"/>
      <c r="AE119" s="45"/>
      <c r="AF119" s="45"/>
      <c r="AG119" s="45"/>
      <c r="AH119" s="45"/>
      <c r="AI119" s="45"/>
      <c r="AJ119" s="45"/>
      <c r="AK119" s="45"/>
      <c r="AL119" s="45"/>
      <c r="AM119" s="45"/>
      <c r="AN119" s="45"/>
      <c r="AO119" s="45"/>
      <c r="AP119" s="45"/>
      <c r="AQ119" s="45"/>
      <c r="AR119" s="45">
        <v>67000</v>
      </c>
      <c r="AS119" s="45">
        <v>59500</v>
      </c>
      <c r="AT119" s="45"/>
      <c r="AU119" s="45"/>
      <c r="AV119" s="45"/>
      <c r="AW119" s="45"/>
      <c r="AX119" s="45"/>
      <c r="AY119" s="45"/>
      <c r="AZ119" s="45"/>
      <c r="BA119" s="45"/>
      <c r="BB119" s="45"/>
      <c r="BC119" s="45"/>
      <c r="BD119" s="45"/>
      <c r="BE119" s="45"/>
      <c r="BF119" s="45"/>
      <c r="BG119" s="107">
        <f t="shared" si="80"/>
        <v>63250</v>
      </c>
      <c r="BH119" s="107">
        <f t="shared" si="81"/>
        <v>63250</v>
      </c>
      <c r="BI119" s="108">
        <f t="shared" si="82"/>
        <v>5303.3008588991061</v>
      </c>
      <c r="BJ119" s="65">
        <f t="shared" si="70"/>
        <v>8.3846653895638043E-2</v>
      </c>
      <c r="BK119" s="66">
        <f t="shared" si="84"/>
        <v>63250</v>
      </c>
      <c r="BL119" s="66">
        <v>0</v>
      </c>
      <c r="BM119" s="109">
        <f t="shared" si="79"/>
        <v>63250</v>
      </c>
      <c r="BN119" s="109">
        <f t="shared" si="83"/>
        <v>253000</v>
      </c>
      <c r="BO119" s="110" t="s">
        <v>903</v>
      </c>
    </row>
    <row r="120" spans="1:68" ht="119" x14ac:dyDescent="0.2">
      <c r="A120" s="105">
        <v>115</v>
      </c>
      <c r="B120" s="111" t="s">
        <v>1257</v>
      </c>
      <c r="C120" s="117" t="s">
        <v>1264</v>
      </c>
      <c r="D120" s="115" t="s">
        <v>188</v>
      </c>
      <c r="E120" s="118">
        <v>4</v>
      </c>
      <c r="F120" s="45"/>
      <c r="G120" s="45"/>
      <c r="H120" s="45"/>
      <c r="I120" s="45"/>
      <c r="J120" s="45"/>
      <c r="K120" s="45"/>
      <c r="L120" s="45"/>
      <c r="M120" s="45"/>
      <c r="N120" s="45"/>
      <c r="O120" s="45"/>
      <c r="P120" s="45"/>
      <c r="Q120" s="45"/>
      <c r="R120" s="45"/>
      <c r="S120" s="45"/>
      <c r="T120" s="45"/>
      <c r="U120" s="45"/>
      <c r="V120" s="45"/>
      <c r="W120" s="45"/>
      <c r="X120" s="45"/>
      <c r="Y120" s="45"/>
      <c r="Z120" s="45"/>
      <c r="AA120" s="45"/>
      <c r="AB120" s="45"/>
      <c r="AC120" s="45"/>
      <c r="AD120" s="45"/>
      <c r="AE120" s="45"/>
      <c r="AF120" s="45"/>
      <c r="AG120" s="45"/>
      <c r="AH120" s="45"/>
      <c r="AI120" s="45"/>
      <c r="AJ120" s="45"/>
      <c r="AK120" s="45"/>
      <c r="AL120" s="45"/>
      <c r="AM120" s="45"/>
      <c r="AN120" s="45">
        <v>49000</v>
      </c>
      <c r="AO120" s="45"/>
      <c r="AP120" s="45"/>
      <c r="AQ120" s="45"/>
      <c r="AR120" s="45"/>
      <c r="AS120" s="45">
        <v>60690</v>
      </c>
      <c r="AT120" s="45"/>
      <c r="AU120" s="45"/>
      <c r="AV120" s="45"/>
      <c r="AW120" s="45"/>
      <c r="AX120" s="45"/>
      <c r="AY120" s="45"/>
      <c r="AZ120" s="45"/>
      <c r="BA120" s="45"/>
      <c r="BB120" s="45"/>
      <c r="BC120" s="45"/>
      <c r="BD120" s="45"/>
      <c r="BE120" s="45"/>
      <c r="BF120" s="45"/>
      <c r="BG120" s="107">
        <f t="shared" si="80"/>
        <v>54845</v>
      </c>
      <c r="BH120" s="107">
        <f t="shared" si="81"/>
        <v>54845</v>
      </c>
      <c r="BI120" s="108">
        <f t="shared" si="82"/>
        <v>8266.0782720707411</v>
      </c>
      <c r="BJ120" s="65">
        <f t="shared" si="70"/>
        <v>0.15071708035501397</v>
      </c>
      <c r="BK120" s="66">
        <f t="shared" si="84"/>
        <v>54845</v>
      </c>
      <c r="BL120" s="66">
        <v>0</v>
      </c>
      <c r="BM120" s="109">
        <f t="shared" si="79"/>
        <v>54845</v>
      </c>
      <c r="BN120" s="109">
        <f t="shared" si="83"/>
        <v>219380</v>
      </c>
      <c r="BO120" s="110" t="s">
        <v>902</v>
      </c>
    </row>
    <row r="121" spans="1:68" ht="153" x14ac:dyDescent="0.2">
      <c r="A121" s="105">
        <v>116</v>
      </c>
      <c r="B121" s="111" t="s">
        <v>1258</v>
      </c>
      <c r="C121" s="117" t="s">
        <v>1265</v>
      </c>
      <c r="D121" s="115" t="s">
        <v>188</v>
      </c>
      <c r="E121" s="118">
        <v>4</v>
      </c>
      <c r="F121" s="45"/>
      <c r="G121" s="45"/>
      <c r="H121" s="45"/>
      <c r="I121" s="45"/>
      <c r="J121" s="45"/>
      <c r="K121" s="45"/>
      <c r="L121" s="45"/>
      <c r="M121" s="45"/>
      <c r="N121" s="45"/>
      <c r="O121" s="45"/>
      <c r="P121" s="45"/>
      <c r="Q121" s="45"/>
      <c r="R121" s="45"/>
      <c r="S121" s="45"/>
      <c r="T121" s="45"/>
      <c r="U121" s="45"/>
      <c r="V121" s="45"/>
      <c r="W121" s="45"/>
      <c r="X121" s="45"/>
      <c r="Y121" s="45"/>
      <c r="Z121" s="45"/>
      <c r="AA121" s="45"/>
      <c r="AB121" s="45"/>
      <c r="AC121" s="45"/>
      <c r="AD121" s="45"/>
      <c r="AE121" s="45"/>
      <c r="AF121" s="45"/>
      <c r="AG121" s="45"/>
      <c r="AH121" s="45"/>
      <c r="AI121" s="45"/>
      <c r="AJ121" s="45"/>
      <c r="AK121" s="45"/>
      <c r="AL121" s="45"/>
      <c r="AM121" s="45"/>
      <c r="AN121" s="45"/>
      <c r="AO121" s="45"/>
      <c r="AP121" s="45"/>
      <c r="AQ121" s="45"/>
      <c r="AR121" s="45"/>
      <c r="AS121" s="45">
        <v>44030</v>
      </c>
      <c r="AT121" s="45"/>
      <c r="AU121" s="45">
        <v>40000</v>
      </c>
      <c r="AV121" s="45"/>
      <c r="AW121" s="45"/>
      <c r="AX121" s="45"/>
      <c r="AY121" s="45"/>
      <c r="AZ121" s="45"/>
      <c r="BA121" s="45"/>
      <c r="BB121" s="45"/>
      <c r="BC121" s="45"/>
      <c r="BD121" s="45"/>
      <c r="BE121" s="45"/>
      <c r="BF121" s="45"/>
      <c r="BG121" s="107">
        <f t="shared" si="80"/>
        <v>42015</v>
      </c>
      <c r="BH121" s="107">
        <f t="shared" si="81"/>
        <v>42015</v>
      </c>
      <c r="BI121" s="108">
        <f t="shared" si="82"/>
        <v>2849.6403281817866</v>
      </c>
      <c r="BJ121" s="65">
        <f t="shared" si="70"/>
        <v>6.7824356258045615E-2</v>
      </c>
      <c r="BK121" s="66">
        <f t="shared" si="84"/>
        <v>42015</v>
      </c>
      <c r="BL121" s="66">
        <v>0</v>
      </c>
      <c r="BM121" s="109">
        <f t="shared" si="79"/>
        <v>42015</v>
      </c>
      <c r="BN121" s="109">
        <f t="shared" si="83"/>
        <v>168060</v>
      </c>
      <c r="BO121" s="110" t="s">
        <v>903</v>
      </c>
    </row>
    <row r="122" spans="1:68" ht="213.75" customHeight="1" x14ac:dyDescent="0.2">
      <c r="A122" s="105">
        <v>117</v>
      </c>
      <c r="B122" s="111" t="s">
        <v>1085</v>
      </c>
      <c r="C122" s="117" t="s">
        <v>1266</v>
      </c>
      <c r="D122" s="115" t="s">
        <v>193</v>
      </c>
      <c r="E122" s="118">
        <v>45</v>
      </c>
      <c r="F122" s="45"/>
      <c r="G122" s="45"/>
      <c r="H122" s="45"/>
      <c r="I122" s="45"/>
      <c r="J122" s="45"/>
      <c r="K122" s="45"/>
      <c r="L122" s="45"/>
      <c r="M122" s="45"/>
      <c r="N122" s="45"/>
      <c r="O122" s="45"/>
      <c r="P122" s="45"/>
      <c r="Q122" s="45"/>
      <c r="R122" s="45"/>
      <c r="S122" s="45"/>
      <c r="T122" s="45"/>
      <c r="U122" s="45"/>
      <c r="V122" s="45"/>
      <c r="W122" s="45"/>
      <c r="X122" s="45"/>
      <c r="Y122" s="45"/>
      <c r="Z122" s="45"/>
      <c r="AA122" s="45"/>
      <c r="AB122" s="45"/>
      <c r="AC122" s="45"/>
      <c r="AD122" s="45"/>
      <c r="AE122" s="45"/>
      <c r="AF122" s="45"/>
      <c r="AG122" s="45"/>
      <c r="AH122" s="45"/>
      <c r="AI122" s="45"/>
      <c r="AJ122" s="45"/>
      <c r="AK122" s="45"/>
      <c r="AL122" s="45"/>
      <c r="AM122" s="45"/>
      <c r="AN122" s="45"/>
      <c r="AO122" s="45"/>
      <c r="AP122" s="45"/>
      <c r="AQ122" s="45"/>
      <c r="AR122" s="45">
        <v>67830</v>
      </c>
      <c r="AS122" s="45">
        <v>61880</v>
      </c>
      <c r="AT122" s="45"/>
      <c r="AU122" s="45"/>
      <c r="AV122" s="45"/>
      <c r="AW122" s="45"/>
      <c r="AX122" s="45"/>
      <c r="AY122" s="45"/>
      <c r="AZ122" s="45"/>
      <c r="BA122" s="45"/>
      <c r="BB122" s="45"/>
      <c r="BC122" s="45"/>
      <c r="BD122" s="45"/>
      <c r="BE122" s="45"/>
      <c r="BF122" s="45"/>
      <c r="BG122" s="107">
        <f t="shared" si="80"/>
        <v>64855</v>
      </c>
      <c r="BH122" s="107">
        <f t="shared" si="81"/>
        <v>64855</v>
      </c>
      <c r="BI122" s="108">
        <f t="shared" si="82"/>
        <v>4207.2853480599579</v>
      </c>
      <c r="BJ122" s="65">
        <f t="shared" si="70"/>
        <v>6.4872181760233724E-2</v>
      </c>
      <c r="BK122" s="66">
        <f>BM122/1.19</f>
        <v>54500</v>
      </c>
      <c r="BL122" s="66">
        <f t="shared" si="56"/>
        <v>10355</v>
      </c>
      <c r="BM122" s="109">
        <f t="shared" si="79"/>
        <v>64855</v>
      </c>
      <c r="BN122" s="109">
        <f t="shared" si="83"/>
        <v>2918475</v>
      </c>
      <c r="BO122" s="110" t="s">
        <v>903</v>
      </c>
      <c r="BP122" s="2"/>
    </row>
    <row r="123" spans="1:68" ht="85" x14ac:dyDescent="0.2">
      <c r="A123" s="105">
        <v>118</v>
      </c>
      <c r="B123" s="111" t="s">
        <v>1267</v>
      </c>
      <c r="C123" s="117" t="s">
        <v>1269</v>
      </c>
      <c r="D123" s="115" t="s">
        <v>194</v>
      </c>
      <c r="E123" s="118">
        <v>4</v>
      </c>
      <c r="F123" s="45"/>
      <c r="G123" s="45"/>
      <c r="H123" s="45"/>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c r="AH123" s="45"/>
      <c r="AI123" s="45"/>
      <c r="AJ123" s="45"/>
      <c r="AK123" s="45"/>
      <c r="AL123" s="45"/>
      <c r="AM123" s="45"/>
      <c r="AN123" s="45"/>
      <c r="AO123" s="45"/>
      <c r="AP123" s="45"/>
      <c r="AQ123" s="45"/>
      <c r="AR123" s="45">
        <v>84000</v>
      </c>
      <c r="AS123" s="45">
        <v>83300</v>
      </c>
      <c r="AT123" s="45"/>
      <c r="AU123" s="45"/>
      <c r="AV123" s="45"/>
      <c r="AW123" s="45"/>
      <c r="AX123" s="45"/>
      <c r="AY123" s="45"/>
      <c r="AZ123" s="45"/>
      <c r="BA123" s="45"/>
      <c r="BB123" s="45"/>
      <c r="BC123" s="45"/>
      <c r="BD123" s="45"/>
      <c r="BE123" s="45"/>
      <c r="BF123" s="45"/>
      <c r="BG123" s="107">
        <f t="shared" si="80"/>
        <v>83650</v>
      </c>
      <c r="BH123" s="107">
        <f t="shared" si="81"/>
        <v>83650</v>
      </c>
      <c r="BI123" s="108">
        <f t="shared" si="82"/>
        <v>494.97474683058329</v>
      </c>
      <c r="BJ123" s="65">
        <f t="shared" si="70"/>
        <v>5.9172115580464228E-3</v>
      </c>
      <c r="BK123" s="66">
        <f>BM123</f>
        <v>83650</v>
      </c>
      <c r="BL123" s="66">
        <v>0</v>
      </c>
      <c r="BM123" s="109">
        <f t="shared" si="79"/>
        <v>83650</v>
      </c>
      <c r="BN123" s="109">
        <f t="shared" si="83"/>
        <v>334600</v>
      </c>
      <c r="BO123" s="110" t="s">
        <v>903</v>
      </c>
    </row>
    <row r="124" spans="1:68" ht="136" x14ac:dyDescent="0.2">
      <c r="A124" s="105">
        <v>119</v>
      </c>
      <c r="B124" s="111" t="s">
        <v>1268</v>
      </c>
      <c r="C124" s="117" t="s">
        <v>1270</v>
      </c>
      <c r="D124" s="115" t="s">
        <v>194</v>
      </c>
      <c r="E124" s="118">
        <v>4</v>
      </c>
      <c r="F124" s="45"/>
      <c r="G124" s="45"/>
      <c r="H124" s="45"/>
      <c r="I124" s="45"/>
      <c r="J124" s="45"/>
      <c r="K124" s="45"/>
      <c r="L124" s="45"/>
      <c r="M124" s="45"/>
      <c r="N124" s="45"/>
      <c r="O124" s="45"/>
      <c r="P124" s="45"/>
      <c r="Q124" s="45"/>
      <c r="R124" s="45"/>
      <c r="S124" s="45"/>
      <c r="T124" s="45"/>
      <c r="U124" s="45"/>
      <c r="V124" s="45"/>
      <c r="W124" s="45"/>
      <c r="X124" s="45"/>
      <c r="Y124" s="45"/>
      <c r="Z124" s="45"/>
      <c r="AA124" s="45"/>
      <c r="AB124" s="45"/>
      <c r="AC124" s="45"/>
      <c r="AD124" s="45"/>
      <c r="AE124" s="45"/>
      <c r="AF124" s="45"/>
      <c r="AG124" s="45"/>
      <c r="AH124" s="45"/>
      <c r="AI124" s="45"/>
      <c r="AJ124" s="45"/>
      <c r="AK124" s="45"/>
      <c r="AL124" s="45"/>
      <c r="AM124" s="45"/>
      <c r="AN124" s="45"/>
      <c r="AO124" s="45"/>
      <c r="AP124" s="45"/>
      <c r="AQ124" s="45"/>
      <c r="AR124" s="45"/>
      <c r="AS124" s="45">
        <v>41650</v>
      </c>
      <c r="AT124" s="45"/>
      <c r="AU124" s="45">
        <v>35000</v>
      </c>
      <c r="AV124" s="45"/>
      <c r="AW124" s="45"/>
      <c r="AX124" s="45"/>
      <c r="AY124" s="45"/>
      <c r="AZ124" s="45"/>
      <c r="BA124" s="45"/>
      <c r="BB124" s="45"/>
      <c r="BC124" s="45"/>
      <c r="BD124" s="45"/>
      <c r="BE124" s="45"/>
      <c r="BF124" s="45"/>
      <c r="BG124" s="107">
        <f t="shared" si="80"/>
        <v>38325</v>
      </c>
      <c r="BH124" s="107">
        <f t="shared" si="81"/>
        <v>38325</v>
      </c>
      <c r="BI124" s="108">
        <f t="shared" si="82"/>
        <v>4702.260094890541</v>
      </c>
      <c r="BJ124" s="65">
        <f t="shared" si="70"/>
        <v>0.12269432732917263</v>
      </c>
      <c r="BK124" s="66">
        <f>BM124</f>
        <v>38325</v>
      </c>
      <c r="BL124" s="66">
        <v>0</v>
      </c>
      <c r="BM124" s="109">
        <f t="shared" si="79"/>
        <v>38325</v>
      </c>
      <c r="BN124" s="109">
        <f t="shared" si="83"/>
        <v>153300</v>
      </c>
      <c r="BO124" s="110" t="s">
        <v>903</v>
      </c>
    </row>
    <row r="125" spans="1:68" ht="85" x14ac:dyDescent="0.2">
      <c r="A125" s="105">
        <v>120</v>
      </c>
      <c r="B125" s="111" t="s">
        <v>1271</v>
      </c>
      <c r="C125" s="117" t="s">
        <v>195</v>
      </c>
      <c r="D125" s="115" t="s">
        <v>196</v>
      </c>
      <c r="E125" s="118">
        <v>4</v>
      </c>
      <c r="F125" s="45"/>
      <c r="G125" s="45"/>
      <c r="H125" s="45"/>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c r="AH125" s="45"/>
      <c r="AI125" s="45"/>
      <c r="AJ125" s="45"/>
      <c r="AK125" s="45"/>
      <c r="AL125" s="45"/>
      <c r="AM125" s="45"/>
      <c r="AN125" s="45"/>
      <c r="AO125" s="45"/>
      <c r="AP125" s="45"/>
      <c r="AQ125" s="45"/>
      <c r="AR125" s="45"/>
      <c r="AS125" s="45">
        <v>315350</v>
      </c>
      <c r="AT125" s="45"/>
      <c r="AU125" s="45">
        <v>220000</v>
      </c>
      <c r="AV125" s="45"/>
      <c r="AW125" s="45"/>
      <c r="AX125" s="45"/>
      <c r="AY125" s="45"/>
      <c r="AZ125" s="45"/>
      <c r="BA125" s="45"/>
      <c r="BB125" s="45"/>
      <c r="BC125" s="45"/>
      <c r="BD125" s="45"/>
      <c r="BE125" s="45"/>
      <c r="BF125" s="45"/>
      <c r="BG125" s="107">
        <f t="shared" si="80"/>
        <v>267675</v>
      </c>
      <c r="BH125" s="107">
        <f t="shared" si="81"/>
        <v>267675</v>
      </c>
      <c r="BI125" s="108">
        <f t="shared" si="82"/>
        <v>67422.6315861373</v>
      </c>
      <c r="BJ125" s="65">
        <f t="shared" si="70"/>
        <v>0.25188243797940524</v>
      </c>
      <c r="BK125" s="66">
        <f>BM125/1.19</f>
        <v>224936.97478991598</v>
      </c>
      <c r="BL125" s="66">
        <f t="shared" si="56"/>
        <v>42738.025210084037</v>
      </c>
      <c r="BM125" s="109">
        <f t="shared" si="79"/>
        <v>267675</v>
      </c>
      <c r="BN125" s="109">
        <f t="shared" si="83"/>
        <v>1070700</v>
      </c>
      <c r="BO125" s="110" t="s">
        <v>902</v>
      </c>
    </row>
    <row r="126" spans="1:68" ht="85" x14ac:dyDescent="0.2">
      <c r="A126" s="105">
        <v>121</v>
      </c>
      <c r="B126" s="111" t="s">
        <v>1271</v>
      </c>
      <c r="C126" s="117" t="s">
        <v>197</v>
      </c>
      <c r="D126" s="115" t="s">
        <v>196</v>
      </c>
      <c r="E126" s="118">
        <v>4</v>
      </c>
      <c r="F126" s="45"/>
      <c r="G126" s="45"/>
      <c r="H126" s="45"/>
      <c r="I126" s="45"/>
      <c r="J126" s="45"/>
      <c r="K126" s="45"/>
      <c r="L126" s="45"/>
      <c r="M126" s="45"/>
      <c r="N126" s="45"/>
      <c r="O126" s="45"/>
      <c r="P126" s="45"/>
      <c r="Q126" s="45"/>
      <c r="R126" s="45"/>
      <c r="S126" s="45"/>
      <c r="T126" s="45"/>
      <c r="U126" s="45"/>
      <c r="V126" s="45"/>
      <c r="W126" s="45"/>
      <c r="X126" s="45"/>
      <c r="Y126" s="45"/>
      <c r="Z126" s="45"/>
      <c r="AA126" s="45"/>
      <c r="AB126" s="45"/>
      <c r="AC126" s="45"/>
      <c r="AD126" s="45"/>
      <c r="AE126" s="45"/>
      <c r="AF126" s="45"/>
      <c r="AG126" s="45"/>
      <c r="AH126" s="45"/>
      <c r="AI126" s="45"/>
      <c r="AJ126" s="45"/>
      <c r="AK126" s="45"/>
      <c r="AL126" s="45"/>
      <c r="AM126" s="45"/>
      <c r="AN126" s="45"/>
      <c r="AO126" s="45"/>
      <c r="AP126" s="45"/>
      <c r="AQ126" s="45"/>
      <c r="AR126" s="45"/>
      <c r="AS126" s="45">
        <v>345100</v>
      </c>
      <c r="AT126" s="45"/>
      <c r="AU126" s="45">
        <v>250000</v>
      </c>
      <c r="AV126" s="45"/>
      <c r="AW126" s="45"/>
      <c r="AX126" s="45"/>
      <c r="AY126" s="45"/>
      <c r="AZ126" s="45"/>
      <c r="BA126" s="45"/>
      <c r="BB126" s="45"/>
      <c r="BC126" s="45"/>
      <c r="BD126" s="45"/>
      <c r="BE126" s="45"/>
      <c r="BF126" s="45"/>
      <c r="BG126" s="107">
        <f t="shared" si="80"/>
        <v>297550</v>
      </c>
      <c r="BH126" s="107">
        <f t="shared" si="81"/>
        <v>297550</v>
      </c>
      <c r="BI126" s="108">
        <f t="shared" si="82"/>
        <v>67245.854890840666</v>
      </c>
      <c r="BJ126" s="65">
        <f t="shared" si="70"/>
        <v>0.22599850408617264</v>
      </c>
      <c r="BK126" s="66">
        <f>BM126/1.19</f>
        <v>250042.01680672271</v>
      </c>
      <c r="BL126" s="66">
        <f t="shared" si="56"/>
        <v>47507.983193277316</v>
      </c>
      <c r="BM126" s="109">
        <f t="shared" si="79"/>
        <v>297550</v>
      </c>
      <c r="BN126" s="109">
        <f t="shared" si="83"/>
        <v>1190200</v>
      </c>
      <c r="BO126" s="110" t="s">
        <v>902</v>
      </c>
    </row>
    <row r="127" spans="1:68" ht="68" x14ac:dyDescent="0.2">
      <c r="A127" s="105">
        <v>122</v>
      </c>
      <c r="B127" s="111" t="s">
        <v>1271</v>
      </c>
      <c r="C127" s="117" t="s">
        <v>198</v>
      </c>
      <c r="D127" s="115" t="s">
        <v>196</v>
      </c>
      <c r="E127" s="118">
        <v>2</v>
      </c>
      <c r="F127" s="45"/>
      <c r="G127" s="45"/>
      <c r="H127" s="45"/>
      <c r="I127" s="45"/>
      <c r="J127" s="45"/>
      <c r="K127" s="45"/>
      <c r="L127" s="45"/>
      <c r="M127" s="45"/>
      <c r="N127" s="45"/>
      <c r="O127" s="45"/>
      <c r="P127" s="45"/>
      <c r="Q127" s="45"/>
      <c r="R127" s="45"/>
      <c r="S127" s="45"/>
      <c r="T127" s="45"/>
      <c r="U127" s="45"/>
      <c r="V127" s="45"/>
      <c r="W127" s="45"/>
      <c r="X127" s="45"/>
      <c r="Y127" s="45"/>
      <c r="Z127" s="45"/>
      <c r="AA127" s="45"/>
      <c r="AB127" s="45"/>
      <c r="AC127" s="45"/>
      <c r="AD127" s="45"/>
      <c r="AE127" s="45"/>
      <c r="AF127" s="45"/>
      <c r="AG127" s="45"/>
      <c r="AH127" s="45"/>
      <c r="AI127" s="45"/>
      <c r="AJ127" s="45"/>
      <c r="AK127" s="45"/>
      <c r="AL127" s="45"/>
      <c r="AM127" s="45"/>
      <c r="AN127" s="45"/>
      <c r="AO127" s="45"/>
      <c r="AP127" s="45"/>
      <c r="AQ127" s="45"/>
      <c r="AR127" s="45"/>
      <c r="AS127" s="45">
        <v>398000</v>
      </c>
      <c r="AT127" s="45"/>
      <c r="AU127" s="45">
        <v>300000</v>
      </c>
      <c r="AV127" s="45"/>
      <c r="AW127" s="45"/>
      <c r="AX127" s="45"/>
      <c r="AY127" s="45"/>
      <c r="AZ127" s="45"/>
      <c r="BA127" s="45"/>
      <c r="BB127" s="45"/>
      <c r="BC127" s="45"/>
      <c r="BD127" s="45"/>
      <c r="BE127" s="45"/>
      <c r="BF127" s="45"/>
      <c r="BG127" s="107">
        <f t="shared" si="80"/>
        <v>349000</v>
      </c>
      <c r="BH127" s="107">
        <f t="shared" si="81"/>
        <v>349000</v>
      </c>
      <c r="BI127" s="108">
        <f t="shared" si="82"/>
        <v>69296.464556281659</v>
      </c>
      <c r="BJ127" s="65">
        <f t="shared" si="70"/>
        <v>0.19855720503232566</v>
      </c>
      <c r="BK127" s="66">
        <f>BM127/1.19</f>
        <v>293277.31092436978</v>
      </c>
      <c r="BL127" s="66">
        <f t="shared" si="56"/>
        <v>55722.68907563026</v>
      </c>
      <c r="BM127" s="109">
        <f t="shared" si="79"/>
        <v>349000</v>
      </c>
      <c r="BN127" s="109">
        <f t="shared" si="83"/>
        <v>698000</v>
      </c>
      <c r="BO127" s="110" t="s">
        <v>902</v>
      </c>
    </row>
    <row r="128" spans="1:68" ht="200" customHeight="1" x14ac:dyDescent="0.2">
      <c r="A128" s="105">
        <v>123</v>
      </c>
      <c r="B128" s="119" t="s">
        <v>199</v>
      </c>
      <c r="C128" s="120" t="s">
        <v>886</v>
      </c>
      <c r="D128" s="116" t="s">
        <v>7</v>
      </c>
      <c r="E128" s="121">
        <v>70</v>
      </c>
      <c r="F128" s="46"/>
      <c r="G128" s="46"/>
      <c r="H128" s="46"/>
      <c r="I128" s="46"/>
      <c r="J128" s="46"/>
      <c r="K128" s="46"/>
      <c r="L128" s="46"/>
      <c r="M128" s="46"/>
      <c r="N128" s="46"/>
      <c r="O128" s="46"/>
      <c r="P128" s="46"/>
      <c r="Q128" s="46"/>
      <c r="R128" s="46"/>
      <c r="S128" s="46"/>
      <c r="T128" s="46"/>
      <c r="U128" s="46"/>
      <c r="V128" s="46"/>
      <c r="W128" s="46"/>
      <c r="X128" s="46"/>
      <c r="Y128" s="46"/>
      <c r="Z128" s="46"/>
      <c r="AA128" s="46"/>
      <c r="AB128" s="46"/>
      <c r="AC128" s="46"/>
      <c r="AD128" s="46"/>
      <c r="AE128" s="46"/>
      <c r="AF128" s="77">
        <v>23000</v>
      </c>
      <c r="AG128" s="32">
        <f t="shared" ref="AG128" si="85">((AF128*5.1%)+AF128)</f>
        <v>24173</v>
      </c>
      <c r="AH128" s="46"/>
      <c r="AI128" s="46"/>
      <c r="AJ128" s="77">
        <v>25000</v>
      </c>
      <c r="AK128" s="32">
        <f t="shared" ref="AK128:AM128" si="86">((AJ128*5.1%)+AJ128)</f>
        <v>26275</v>
      </c>
      <c r="AL128" s="77">
        <v>37000</v>
      </c>
      <c r="AM128" s="32">
        <f t="shared" si="86"/>
        <v>38887</v>
      </c>
      <c r="AN128" s="32"/>
      <c r="AO128" s="32"/>
      <c r="AP128" s="32"/>
      <c r="AQ128" s="32"/>
      <c r="AR128" s="32"/>
      <c r="AS128" s="32"/>
      <c r="AT128" s="32"/>
      <c r="AU128" s="32"/>
      <c r="AV128" s="32"/>
      <c r="AW128" s="32"/>
      <c r="AX128" s="32"/>
      <c r="AY128" s="32"/>
      <c r="AZ128" s="32"/>
      <c r="BA128" s="32"/>
      <c r="BB128" s="32"/>
      <c r="BC128" s="32"/>
      <c r="BD128" s="32"/>
      <c r="BE128" s="32"/>
      <c r="BF128" s="32"/>
      <c r="BG128" s="107">
        <f t="shared" si="80"/>
        <v>26275</v>
      </c>
      <c r="BH128" s="107">
        <f t="shared" si="81"/>
        <v>29778.333333333332</v>
      </c>
      <c r="BI128" s="108">
        <f t="shared" si="82"/>
        <v>7958.0435619147784</v>
      </c>
      <c r="BJ128" s="65">
        <f t="shared" si="70"/>
        <v>0.26724274568471862</v>
      </c>
      <c r="BK128" s="66">
        <f>BM128/1.19</f>
        <v>22079.831932773111</v>
      </c>
      <c r="BL128" s="66">
        <f t="shared" si="56"/>
        <v>4195.1680672268913</v>
      </c>
      <c r="BM128" s="109">
        <f t="shared" si="79"/>
        <v>26275</v>
      </c>
      <c r="BN128" s="109">
        <f t="shared" si="83"/>
        <v>1839250</v>
      </c>
      <c r="BO128" s="110" t="s">
        <v>902</v>
      </c>
    </row>
    <row r="129" spans="1:68" ht="34" x14ac:dyDescent="0.2">
      <c r="A129" s="105">
        <v>124</v>
      </c>
      <c r="B129" s="111" t="s">
        <v>200</v>
      </c>
      <c r="C129" s="117" t="s">
        <v>1202</v>
      </c>
      <c r="D129" s="115" t="s">
        <v>1272</v>
      </c>
      <c r="E129" s="118">
        <v>20</v>
      </c>
      <c r="F129" s="45"/>
      <c r="G129" s="45"/>
      <c r="H129" s="45"/>
      <c r="I129" s="45"/>
      <c r="J129" s="45"/>
      <c r="K129" s="45"/>
      <c r="L129" s="45"/>
      <c r="M129" s="45"/>
      <c r="N129" s="45"/>
      <c r="O129" s="45"/>
      <c r="P129" s="45"/>
      <c r="Q129" s="45"/>
      <c r="R129" s="45"/>
      <c r="S129" s="45"/>
      <c r="T129" s="45"/>
      <c r="U129" s="45"/>
      <c r="V129" s="45"/>
      <c r="W129" s="45"/>
      <c r="X129" s="45"/>
      <c r="Y129" s="45"/>
      <c r="Z129" s="45"/>
      <c r="AA129" s="45"/>
      <c r="AB129" s="45"/>
      <c r="AC129" s="45"/>
      <c r="AD129" s="45"/>
      <c r="AE129" s="45"/>
      <c r="AF129" s="45"/>
      <c r="AG129" s="45"/>
      <c r="AH129" s="45"/>
      <c r="AI129" s="45"/>
      <c r="AJ129" s="45"/>
      <c r="AK129" s="45"/>
      <c r="AL129" s="45"/>
      <c r="AM129" s="45"/>
      <c r="AN129" s="45"/>
      <c r="AO129" s="45"/>
      <c r="AP129" s="45"/>
      <c r="AQ129" s="45"/>
      <c r="AR129" s="45">
        <v>11700</v>
      </c>
      <c r="AS129" s="45"/>
      <c r="AT129" s="45"/>
      <c r="AU129" s="45">
        <v>14518</v>
      </c>
      <c r="AV129" s="45"/>
      <c r="AW129" s="45"/>
      <c r="AX129" s="45"/>
      <c r="AY129" s="45"/>
      <c r="AZ129" s="45"/>
      <c r="BA129" s="45"/>
      <c r="BB129" s="45"/>
      <c r="BC129" s="45"/>
      <c r="BD129" s="45"/>
      <c r="BE129" s="45"/>
      <c r="BF129" s="45"/>
      <c r="BG129" s="107">
        <f t="shared" si="80"/>
        <v>13109</v>
      </c>
      <c r="BH129" s="107">
        <f t="shared" si="81"/>
        <v>13109</v>
      </c>
      <c r="BI129" s="108">
        <f t="shared" si="82"/>
        <v>1992.6269093836909</v>
      </c>
      <c r="BJ129" s="65">
        <f t="shared" si="70"/>
        <v>0.15200449381216652</v>
      </c>
      <c r="BK129" s="66">
        <f>BM129/1.19</f>
        <v>11015.966386554623</v>
      </c>
      <c r="BL129" s="66">
        <f t="shared" si="56"/>
        <v>2093.0336134453783</v>
      </c>
      <c r="BM129" s="109">
        <f t="shared" si="79"/>
        <v>13109</v>
      </c>
      <c r="BN129" s="109">
        <f t="shared" si="83"/>
        <v>262180</v>
      </c>
      <c r="BO129" s="110" t="s">
        <v>902</v>
      </c>
    </row>
    <row r="130" spans="1:68" ht="36.75" customHeight="1" x14ac:dyDescent="0.2">
      <c r="A130" s="105">
        <v>125</v>
      </c>
      <c r="B130" s="111" t="s">
        <v>201</v>
      </c>
      <c r="C130" s="117" t="s">
        <v>1231</v>
      </c>
      <c r="D130" s="115" t="s">
        <v>1203</v>
      </c>
      <c r="E130" s="118">
        <v>5</v>
      </c>
      <c r="F130" s="45"/>
      <c r="G130" s="45"/>
      <c r="H130" s="45"/>
      <c r="I130" s="45"/>
      <c r="J130" s="45"/>
      <c r="K130" s="45"/>
      <c r="L130" s="45"/>
      <c r="M130" s="45"/>
      <c r="N130" s="45"/>
      <c r="O130" s="45"/>
      <c r="P130" s="45"/>
      <c r="Q130" s="45"/>
      <c r="R130" s="45"/>
      <c r="S130" s="45"/>
      <c r="T130" s="45"/>
      <c r="U130" s="45"/>
      <c r="V130" s="45"/>
      <c r="W130" s="45"/>
      <c r="X130" s="45"/>
      <c r="Y130" s="45"/>
      <c r="Z130" s="45"/>
      <c r="AA130" s="45"/>
      <c r="AB130" s="45"/>
      <c r="AC130" s="45"/>
      <c r="AD130" s="45"/>
      <c r="AE130" s="45"/>
      <c r="AF130" s="45"/>
      <c r="AG130" s="45"/>
      <c r="AH130" s="45"/>
      <c r="AI130" s="45"/>
      <c r="AJ130" s="45"/>
      <c r="AK130" s="45"/>
      <c r="AL130" s="45"/>
      <c r="AM130" s="45"/>
      <c r="AN130" s="45"/>
      <c r="AO130" s="45"/>
      <c r="AP130" s="45"/>
      <c r="AQ130" s="45"/>
      <c r="AR130" s="45"/>
      <c r="AS130" s="45"/>
      <c r="AT130" s="45"/>
      <c r="AU130" s="45">
        <v>6000</v>
      </c>
      <c r="AV130" s="45"/>
      <c r="AW130" s="45"/>
      <c r="AX130" s="45"/>
      <c r="AY130" s="45">
        <v>5300</v>
      </c>
      <c r="AZ130" s="45">
        <f>+((((AY130)*17%)+AY130))</f>
        <v>6201</v>
      </c>
      <c r="BA130" s="45"/>
      <c r="BB130" s="45"/>
      <c r="BC130" s="45"/>
      <c r="BD130" s="45"/>
      <c r="BE130" s="45"/>
      <c r="BF130" s="45"/>
      <c r="BG130" s="107">
        <f t="shared" si="80"/>
        <v>6100.5</v>
      </c>
      <c r="BH130" s="107">
        <f t="shared" si="81"/>
        <v>6100.5</v>
      </c>
      <c r="BI130" s="108">
        <f t="shared" si="82"/>
        <v>142.12846301849606</v>
      </c>
      <c r="BJ130" s="65">
        <f t="shared" si="70"/>
        <v>2.3297838376935671E-2</v>
      </c>
      <c r="BK130" s="66">
        <f>BM130</f>
        <v>6101</v>
      </c>
      <c r="BL130" s="66">
        <v>0</v>
      </c>
      <c r="BM130" s="109">
        <f t="shared" si="79"/>
        <v>6101</v>
      </c>
      <c r="BN130" s="109">
        <f t="shared" si="83"/>
        <v>30505</v>
      </c>
      <c r="BO130" s="110" t="s">
        <v>903</v>
      </c>
    </row>
    <row r="131" spans="1:68" ht="34" x14ac:dyDescent="0.2">
      <c r="A131" s="105">
        <v>126</v>
      </c>
      <c r="B131" s="111" t="s">
        <v>202</v>
      </c>
      <c r="C131" s="117" t="s">
        <v>1232</v>
      </c>
      <c r="D131" s="115" t="s">
        <v>31</v>
      </c>
      <c r="E131" s="118">
        <v>5</v>
      </c>
      <c r="F131" s="45"/>
      <c r="G131" s="45"/>
      <c r="H131" s="45"/>
      <c r="I131" s="45"/>
      <c r="J131" s="45"/>
      <c r="K131" s="45"/>
      <c r="L131" s="45"/>
      <c r="M131" s="45"/>
      <c r="N131" s="45"/>
      <c r="O131" s="45"/>
      <c r="P131" s="45"/>
      <c r="Q131" s="45"/>
      <c r="R131" s="45"/>
      <c r="S131" s="45"/>
      <c r="T131" s="45"/>
      <c r="U131" s="45"/>
      <c r="V131" s="45"/>
      <c r="W131" s="45"/>
      <c r="X131" s="45"/>
      <c r="Y131" s="45"/>
      <c r="Z131" s="45"/>
      <c r="AA131" s="45"/>
      <c r="AB131" s="45"/>
      <c r="AC131" s="45"/>
      <c r="AD131" s="45"/>
      <c r="AE131" s="45"/>
      <c r="AF131" s="45"/>
      <c r="AG131" s="45"/>
      <c r="AH131" s="45"/>
      <c r="AI131" s="45"/>
      <c r="AJ131" s="45"/>
      <c r="AK131" s="45"/>
      <c r="AL131" s="45"/>
      <c r="AM131" s="45"/>
      <c r="AN131" s="45"/>
      <c r="AO131" s="45"/>
      <c r="AP131" s="45"/>
      <c r="AQ131" s="45"/>
      <c r="AR131" s="45">
        <v>6700</v>
      </c>
      <c r="AS131" s="45">
        <v>5000</v>
      </c>
      <c r="AT131" s="45"/>
      <c r="AU131" s="45"/>
      <c r="AV131" s="45"/>
      <c r="AW131" s="45"/>
      <c r="AX131" s="45"/>
      <c r="AY131" s="45"/>
      <c r="AZ131" s="45"/>
      <c r="BA131" s="45"/>
      <c r="BB131" s="45"/>
      <c r="BC131" s="45"/>
      <c r="BD131" s="45"/>
      <c r="BE131" s="45"/>
      <c r="BF131" s="45"/>
      <c r="BG131" s="107">
        <f t="shared" si="80"/>
        <v>5850</v>
      </c>
      <c r="BH131" s="107">
        <f t="shared" si="81"/>
        <v>5850</v>
      </c>
      <c r="BI131" s="108">
        <f t="shared" si="82"/>
        <v>1202.0815280171307</v>
      </c>
      <c r="BJ131" s="65">
        <f t="shared" si="70"/>
        <v>0.2054840218832702</v>
      </c>
      <c r="BK131" s="66">
        <f t="shared" ref="BK131:BK137" si="87">BM131</f>
        <v>5850</v>
      </c>
      <c r="BL131" s="66">
        <v>0</v>
      </c>
      <c r="BM131" s="109">
        <f t="shared" si="79"/>
        <v>5850</v>
      </c>
      <c r="BN131" s="109">
        <f t="shared" si="83"/>
        <v>29250</v>
      </c>
      <c r="BO131" s="110" t="s">
        <v>902</v>
      </c>
    </row>
    <row r="132" spans="1:68" ht="34" x14ac:dyDescent="0.2">
      <c r="A132" s="105">
        <v>127</v>
      </c>
      <c r="B132" s="111" t="s">
        <v>203</v>
      </c>
      <c r="C132" s="117" t="s">
        <v>1233</v>
      </c>
      <c r="D132" s="115" t="s">
        <v>204</v>
      </c>
      <c r="E132" s="118">
        <v>20</v>
      </c>
      <c r="F132" s="45"/>
      <c r="G132" s="45"/>
      <c r="H132" s="45"/>
      <c r="I132" s="45"/>
      <c r="J132" s="45"/>
      <c r="K132" s="45"/>
      <c r="L132" s="45"/>
      <c r="M132" s="45"/>
      <c r="N132" s="45"/>
      <c r="O132" s="45"/>
      <c r="P132" s="45"/>
      <c r="Q132" s="45"/>
      <c r="R132" s="45"/>
      <c r="S132" s="45"/>
      <c r="T132" s="45"/>
      <c r="U132" s="45"/>
      <c r="V132" s="45"/>
      <c r="W132" s="45"/>
      <c r="X132" s="45"/>
      <c r="Y132" s="45"/>
      <c r="Z132" s="45"/>
      <c r="AA132" s="45"/>
      <c r="AB132" s="45"/>
      <c r="AC132" s="45"/>
      <c r="AD132" s="45"/>
      <c r="AE132" s="45"/>
      <c r="AF132" s="45"/>
      <c r="AG132" s="45"/>
      <c r="AH132" s="45"/>
      <c r="AI132" s="45"/>
      <c r="AJ132" s="45"/>
      <c r="AK132" s="45"/>
      <c r="AL132" s="45"/>
      <c r="AM132" s="45"/>
      <c r="AN132" s="45"/>
      <c r="AO132" s="45"/>
      <c r="AP132" s="45"/>
      <c r="AQ132" s="45"/>
      <c r="AR132" s="45"/>
      <c r="AS132" s="45">
        <v>4500</v>
      </c>
      <c r="AT132" s="45"/>
      <c r="AU132" s="45">
        <v>5000</v>
      </c>
      <c r="AV132" s="45"/>
      <c r="AW132" s="45"/>
      <c r="AX132" s="45"/>
      <c r="AY132" s="45"/>
      <c r="AZ132" s="45"/>
      <c r="BA132" s="45"/>
      <c r="BB132" s="45"/>
      <c r="BC132" s="45"/>
      <c r="BD132" s="45"/>
      <c r="BE132" s="45"/>
      <c r="BF132" s="45"/>
      <c r="BG132" s="107">
        <f t="shared" si="80"/>
        <v>4750</v>
      </c>
      <c r="BH132" s="107">
        <f t="shared" si="81"/>
        <v>4750</v>
      </c>
      <c r="BI132" s="108">
        <f t="shared" si="82"/>
        <v>353.55339059327378</v>
      </c>
      <c r="BJ132" s="65">
        <f t="shared" si="70"/>
        <v>7.4432292756478696E-2</v>
      </c>
      <c r="BK132" s="66">
        <f t="shared" si="87"/>
        <v>4750</v>
      </c>
      <c r="BL132" s="66">
        <v>0</v>
      </c>
      <c r="BM132" s="109">
        <f t="shared" si="79"/>
        <v>4750</v>
      </c>
      <c r="BN132" s="109">
        <f t="shared" si="83"/>
        <v>95000</v>
      </c>
      <c r="BO132" s="110" t="s">
        <v>903</v>
      </c>
    </row>
    <row r="133" spans="1:68" ht="119" x14ac:dyDescent="0.2">
      <c r="A133" s="105">
        <v>128</v>
      </c>
      <c r="B133" s="111" t="s">
        <v>205</v>
      </c>
      <c r="C133" s="117" t="s">
        <v>206</v>
      </c>
      <c r="D133" s="115" t="s">
        <v>207</v>
      </c>
      <c r="E133" s="118">
        <v>3</v>
      </c>
      <c r="F133" s="45"/>
      <c r="G133" s="45"/>
      <c r="H133" s="45"/>
      <c r="I133" s="45"/>
      <c r="J133" s="45"/>
      <c r="K133" s="45"/>
      <c r="L133" s="45"/>
      <c r="M133" s="45"/>
      <c r="N133" s="45"/>
      <c r="O133" s="45"/>
      <c r="P133" s="45"/>
      <c r="Q133" s="45"/>
      <c r="R133" s="45"/>
      <c r="S133" s="45"/>
      <c r="T133" s="45"/>
      <c r="U133" s="45"/>
      <c r="V133" s="45"/>
      <c r="W133" s="45"/>
      <c r="X133" s="45"/>
      <c r="Y133" s="45"/>
      <c r="Z133" s="45"/>
      <c r="AA133" s="45"/>
      <c r="AB133" s="45"/>
      <c r="AC133" s="45"/>
      <c r="AD133" s="45"/>
      <c r="AE133" s="45"/>
      <c r="AF133" s="45"/>
      <c r="AG133" s="45"/>
      <c r="AH133" s="45"/>
      <c r="AI133" s="45"/>
      <c r="AJ133" s="45"/>
      <c r="AK133" s="45"/>
      <c r="AL133" s="45"/>
      <c r="AM133" s="45"/>
      <c r="AN133" s="45"/>
      <c r="AO133" s="45"/>
      <c r="AP133" s="45"/>
      <c r="AQ133" s="45"/>
      <c r="AR133" s="45">
        <v>297000</v>
      </c>
      <c r="AS133" s="45"/>
      <c r="AT133" s="45"/>
      <c r="AU133" s="45">
        <v>200000</v>
      </c>
      <c r="AV133" s="45"/>
      <c r="AW133" s="45"/>
      <c r="AX133" s="45"/>
      <c r="AY133" s="45"/>
      <c r="AZ133" s="45"/>
      <c r="BA133" s="45"/>
      <c r="BB133" s="45"/>
      <c r="BC133" s="45"/>
      <c r="BD133" s="45"/>
      <c r="BE133" s="45"/>
      <c r="BF133" s="45"/>
      <c r="BG133" s="107">
        <f t="shared" si="80"/>
        <v>248500</v>
      </c>
      <c r="BH133" s="107">
        <f t="shared" si="81"/>
        <v>248500</v>
      </c>
      <c r="BI133" s="108">
        <f t="shared" si="82"/>
        <v>68589.357775095108</v>
      </c>
      <c r="BJ133" s="65">
        <f t="shared" si="70"/>
        <v>0.27601351217342096</v>
      </c>
      <c r="BK133" s="66">
        <f t="shared" si="87"/>
        <v>248500</v>
      </c>
      <c r="BL133" s="66">
        <v>0</v>
      </c>
      <c r="BM133" s="109">
        <f t="shared" ref="BM133:BM150" si="88">ROUNDUP(IF(BJ133&lt;15%,BH133,BG133),0)</f>
        <v>248500</v>
      </c>
      <c r="BN133" s="109">
        <f t="shared" si="83"/>
        <v>745500</v>
      </c>
      <c r="BO133" s="110" t="s">
        <v>902</v>
      </c>
    </row>
    <row r="134" spans="1:68" ht="204" x14ac:dyDescent="0.2">
      <c r="A134" s="105">
        <v>129</v>
      </c>
      <c r="B134" s="122" t="s">
        <v>208</v>
      </c>
      <c r="C134" s="123" t="s">
        <v>1273</v>
      </c>
      <c r="D134" s="105" t="s">
        <v>1274</v>
      </c>
      <c r="E134" s="105">
        <v>3</v>
      </c>
      <c r="F134" s="45"/>
      <c r="G134" s="45"/>
      <c r="H134" s="45"/>
      <c r="I134" s="45"/>
      <c r="J134" s="45"/>
      <c r="K134" s="45"/>
      <c r="L134" s="45"/>
      <c r="M134" s="45"/>
      <c r="N134" s="45"/>
      <c r="O134" s="45"/>
      <c r="P134" s="45"/>
      <c r="Q134" s="45"/>
      <c r="R134" s="45"/>
      <c r="S134" s="45"/>
      <c r="T134" s="45"/>
      <c r="U134" s="45"/>
      <c r="V134" s="45"/>
      <c r="W134" s="45"/>
      <c r="X134" s="45"/>
      <c r="Y134" s="45"/>
      <c r="Z134" s="45"/>
      <c r="AA134" s="45"/>
      <c r="AB134" s="45"/>
      <c r="AC134" s="45"/>
      <c r="AD134" s="45"/>
      <c r="AE134" s="45"/>
      <c r="AF134" s="45"/>
      <c r="AG134" s="45"/>
      <c r="AH134" s="45"/>
      <c r="AI134" s="45"/>
      <c r="AJ134" s="45"/>
      <c r="AK134" s="45"/>
      <c r="AL134" s="45"/>
      <c r="AM134" s="45"/>
      <c r="AN134" s="45"/>
      <c r="AO134" s="45"/>
      <c r="AP134" s="45"/>
      <c r="AQ134" s="45"/>
      <c r="AR134" s="45"/>
      <c r="AS134" s="45">
        <v>11305000</v>
      </c>
      <c r="AT134" s="45"/>
      <c r="AU134" s="45">
        <v>10710000</v>
      </c>
      <c r="AV134" s="45"/>
      <c r="AW134" s="45"/>
      <c r="AX134" s="45"/>
      <c r="AY134" s="45"/>
      <c r="AZ134" s="45"/>
      <c r="BA134" s="45"/>
      <c r="BB134" s="45"/>
      <c r="BC134" s="45"/>
      <c r="BD134" s="45"/>
      <c r="BE134" s="45"/>
      <c r="BF134" s="45"/>
      <c r="BG134" s="107">
        <f t="shared" si="80"/>
        <v>11007500</v>
      </c>
      <c r="BH134" s="107">
        <f t="shared" si="81"/>
        <v>11007500</v>
      </c>
      <c r="BI134" s="108">
        <f t="shared" si="82"/>
        <v>420728.53480599576</v>
      </c>
      <c r="BJ134" s="65">
        <f t="shared" si="70"/>
        <v>3.8221988172245813E-2</v>
      </c>
      <c r="BK134" s="66">
        <f>BM134/1.19</f>
        <v>9250000</v>
      </c>
      <c r="BL134" s="66">
        <f t="shared" ref="BL134:BL138" si="89">BK134*19%</f>
        <v>1757500</v>
      </c>
      <c r="BM134" s="109">
        <f t="shared" si="88"/>
        <v>11007500</v>
      </c>
      <c r="BN134" s="109">
        <f t="shared" ref="BN134:BN165" si="90">BM134*E134</f>
        <v>33022500</v>
      </c>
      <c r="BO134" s="110" t="s">
        <v>903</v>
      </c>
    </row>
    <row r="135" spans="1:68" ht="87.75" customHeight="1" x14ac:dyDescent="0.2">
      <c r="A135" s="105">
        <v>130</v>
      </c>
      <c r="B135" s="122" t="s">
        <v>209</v>
      </c>
      <c r="C135" s="123" t="s">
        <v>210</v>
      </c>
      <c r="D135" s="105" t="s">
        <v>211</v>
      </c>
      <c r="E135" s="105">
        <v>5</v>
      </c>
      <c r="F135" s="45"/>
      <c r="G135" s="45"/>
      <c r="H135" s="45"/>
      <c r="I135" s="45"/>
      <c r="J135" s="45"/>
      <c r="K135" s="45"/>
      <c r="L135" s="45"/>
      <c r="M135" s="45"/>
      <c r="N135" s="45"/>
      <c r="O135" s="45"/>
      <c r="P135" s="45"/>
      <c r="Q135" s="45"/>
      <c r="R135" s="45"/>
      <c r="S135" s="45"/>
      <c r="T135" s="45"/>
      <c r="U135" s="45"/>
      <c r="V135" s="45"/>
      <c r="W135" s="45"/>
      <c r="X135" s="45"/>
      <c r="Y135" s="45"/>
      <c r="Z135" s="45"/>
      <c r="AA135" s="45"/>
      <c r="AB135" s="45"/>
      <c r="AC135" s="45"/>
      <c r="AD135" s="45"/>
      <c r="AE135" s="45"/>
      <c r="AF135" s="45"/>
      <c r="AG135" s="45"/>
      <c r="AH135" s="45"/>
      <c r="AI135" s="45"/>
      <c r="AJ135" s="45"/>
      <c r="AK135" s="45"/>
      <c r="AL135" s="45"/>
      <c r="AM135" s="45"/>
      <c r="AN135" s="45">
        <v>166000</v>
      </c>
      <c r="AO135" s="45">
        <f>AN135*1.17</f>
        <v>194220</v>
      </c>
      <c r="AP135" s="45">
        <v>176200</v>
      </c>
      <c r="AQ135" s="45">
        <f>AP135*1.17</f>
        <v>206154</v>
      </c>
      <c r="AR135" s="45"/>
      <c r="AS135" s="45"/>
      <c r="AT135" s="45"/>
      <c r="AU135" s="45"/>
      <c r="AV135" s="45"/>
      <c r="AW135" s="45"/>
      <c r="AX135" s="45"/>
      <c r="AY135" s="45"/>
      <c r="AZ135" s="45"/>
      <c r="BA135" s="45"/>
      <c r="BB135" s="45"/>
      <c r="BC135" s="45"/>
      <c r="BD135" s="45"/>
      <c r="BE135" s="45"/>
      <c r="BF135" s="45"/>
      <c r="BG135" s="107">
        <f>MEDIAN(G135,I135,K135,M135,O135,Q135,S135,U135,W135,Y135,AA135,AC135,AE135,AG135,AI135,AK135,AM135,AO135,AQ135,AR135,AS135,AU135,AX135,AZ135,BB135)</f>
        <v>200187</v>
      </c>
      <c r="BH135" s="107">
        <f>AVERAGE(G135,I135,K135,M135,O135,Q135,S135,U135,W135,Y135,AA135,AC135,AE135,AG135,AI135,AK135,AM135,AO135,AQ135,AR135,AS135,AU135,AX135,AZ135,BB135)</f>
        <v>200187</v>
      </c>
      <c r="BI135" s="108">
        <f>STDEV(G135,I135,K135,M135,O135,Q135,S135,U135,W135,Y135,AA135,AC135,AE135,AG135,AI135,AK135,AM135,AO135,AQ135,AR135,AS135,AU135,AX135,AZ135,BB135)</f>
        <v>8438.6123266802588</v>
      </c>
      <c r="BJ135" s="65">
        <f t="shared" si="70"/>
        <v>4.2153647972546962E-2</v>
      </c>
      <c r="BK135" s="66">
        <f t="shared" si="87"/>
        <v>200187</v>
      </c>
      <c r="BL135" s="66">
        <v>0</v>
      </c>
      <c r="BM135" s="109">
        <f t="shared" si="88"/>
        <v>200187</v>
      </c>
      <c r="BN135" s="109">
        <f t="shared" si="90"/>
        <v>1000935</v>
      </c>
      <c r="BO135" s="110" t="s">
        <v>903</v>
      </c>
      <c r="BP135" s="98"/>
    </row>
    <row r="136" spans="1:68" ht="68" x14ac:dyDescent="0.2">
      <c r="A136" s="105">
        <v>131</v>
      </c>
      <c r="B136" s="122" t="s">
        <v>212</v>
      </c>
      <c r="C136" s="123" t="s">
        <v>213</v>
      </c>
      <c r="D136" s="105" t="s">
        <v>211</v>
      </c>
      <c r="E136" s="105">
        <v>5</v>
      </c>
      <c r="F136" s="45"/>
      <c r="G136" s="45"/>
      <c r="H136" s="45"/>
      <c r="I136" s="45"/>
      <c r="J136" s="45"/>
      <c r="K136" s="45"/>
      <c r="L136" s="45"/>
      <c r="M136" s="45"/>
      <c r="N136" s="45"/>
      <c r="O136" s="45"/>
      <c r="P136" s="45"/>
      <c r="Q136" s="45"/>
      <c r="R136" s="45"/>
      <c r="S136" s="45"/>
      <c r="T136" s="45"/>
      <c r="U136" s="45"/>
      <c r="V136" s="45"/>
      <c r="W136" s="45"/>
      <c r="X136" s="45"/>
      <c r="Y136" s="45"/>
      <c r="Z136" s="45"/>
      <c r="AA136" s="45"/>
      <c r="AB136" s="45"/>
      <c r="AC136" s="45"/>
      <c r="AD136" s="45"/>
      <c r="AE136" s="45"/>
      <c r="AF136" s="45"/>
      <c r="AG136" s="45"/>
      <c r="AH136" s="45"/>
      <c r="AI136" s="45"/>
      <c r="AJ136" s="45"/>
      <c r="AK136" s="45"/>
      <c r="AL136" s="45"/>
      <c r="AM136" s="45"/>
      <c r="AN136" s="45"/>
      <c r="AO136" s="45"/>
      <c r="AP136" s="45"/>
      <c r="AQ136" s="45"/>
      <c r="AR136" s="45"/>
      <c r="AS136" s="45">
        <v>214200</v>
      </c>
      <c r="AT136" s="45">
        <f>AS136*1.17</f>
        <v>250613.99999999997</v>
      </c>
      <c r="AU136" s="45">
        <v>220000</v>
      </c>
      <c r="AV136" s="45">
        <f>AU136*1.17</f>
        <v>257399.99999999997</v>
      </c>
      <c r="AW136" s="45"/>
      <c r="AX136" s="45"/>
      <c r="AY136" s="45"/>
      <c r="AZ136" s="45"/>
      <c r="BA136" s="45"/>
      <c r="BB136" s="45"/>
      <c r="BC136" s="45"/>
      <c r="BD136" s="45"/>
      <c r="BE136" s="45"/>
      <c r="BF136" s="45"/>
      <c r="BG136" s="107">
        <f>MEDIAN(G136,I136,K136,M136,O136,Q136,S136,U136,W136,Y136,AA136,AC136,AE136,AG136,AI136,AK136,AM136,AN136,AP136,AR136,AT136,AV136,AX136,AZ136,BB136)</f>
        <v>254006.99999999997</v>
      </c>
      <c r="BH136" s="107">
        <f>AVERAGE(G136,I136,K136,M136,O136,Q136,S136,U136,W136,Y136,AA136,AC136,AE136,AG136,AI136,AK136,AM136,AN136,AP136,AR136,AT136,AV136,AX136,AZ136,BB136)</f>
        <v>254006.99999999997</v>
      </c>
      <c r="BI136" s="108">
        <f>STDEV(G136,I136,K136,M136,O136,Q136,S136,U136,W136,Y136,AA136,AC136,AE136,AG136,AI136,AK136,AM136,AN136,AP136,AR136,AT136,AV136,AX136,AZ136,BB136)</f>
        <v>4798.4266171319114</v>
      </c>
      <c r="BJ136" s="65">
        <f t="shared" si="70"/>
        <v>1.8890922758553551E-2</v>
      </c>
      <c r="BK136" s="66">
        <f t="shared" si="87"/>
        <v>254007</v>
      </c>
      <c r="BL136" s="66">
        <v>0</v>
      </c>
      <c r="BM136" s="109">
        <f t="shared" si="88"/>
        <v>254007</v>
      </c>
      <c r="BN136" s="109">
        <f t="shared" si="90"/>
        <v>1270035</v>
      </c>
      <c r="BO136" s="110" t="s">
        <v>903</v>
      </c>
    </row>
    <row r="137" spans="1:68" ht="102" x14ac:dyDescent="0.2">
      <c r="A137" s="105">
        <v>132</v>
      </c>
      <c r="B137" s="122" t="s">
        <v>214</v>
      </c>
      <c r="C137" s="123" t="s">
        <v>215</v>
      </c>
      <c r="D137" s="105" t="s">
        <v>211</v>
      </c>
      <c r="E137" s="105">
        <v>3</v>
      </c>
      <c r="F137" s="45"/>
      <c r="G137" s="45"/>
      <c r="H137" s="45"/>
      <c r="I137" s="45"/>
      <c r="J137" s="45"/>
      <c r="K137" s="45"/>
      <c r="L137" s="45"/>
      <c r="M137" s="45"/>
      <c r="N137" s="45"/>
      <c r="O137" s="45"/>
      <c r="P137" s="45"/>
      <c r="Q137" s="45"/>
      <c r="R137" s="45"/>
      <c r="S137" s="45"/>
      <c r="T137" s="45"/>
      <c r="U137" s="45"/>
      <c r="V137" s="45"/>
      <c r="W137" s="45"/>
      <c r="X137" s="45"/>
      <c r="Y137" s="45"/>
      <c r="Z137" s="45"/>
      <c r="AA137" s="45"/>
      <c r="AB137" s="45"/>
      <c r="AC137" s="45"/>
      <c r="AD137" s="45"/>
      <c r="AE137" s="45"/>
      <c r="AF137" s="45"/>
      <c r="AG137" s="45"/>
      <c r="AH137" s="45"/>
      <c r="AI137" s="45"/>
      <c r="AJ137" s="45"/>
      <c r="AK137" s="45"/>
      <c r="AL137" s="45"/>
      <c r="AM137" s="45"/>
      <c r="AN137" s="45">
        <f>237000*2</f>
        <v>474000</v>
      </c>
      <c r="AO137" s="45"/>
      <c r="AP137" s="45">
        <f>168200*2</f>
        <v>336400</v>
      </c>
      <c r="AQ137" s="45"/>
      <c r="AR137" s="45">
        <v>580000</v>
      </c>
      <c r="AS137" s="45"/>
      <c r="AT137" s="45"/>
      <c r="AU137" s="45"/>
      <c r="AV137" s="45"/>
      <c r="AW137" s="45"/>
      <c r="AX137" s="45"/>
      <c r="AY137" s="45"/>
      <c r="AZ137" s="45"/>
      <c r="BA137" s="45"/>
      <c r="BB137" s="45"/>
      <c r="BC137" s="45"/>
      <c r="BD137" s="45"/>
      <c r="BE137" s="45"/>
      <c r="BF137" s="45"/>
      <c r="BG137" s="107">
        <f>MEDIAN(G137,I137,K137,M137,O137,Q137,S137,U137,W137,Y137,AA137,AC137,AE137,AG137,AI137,AK137,AM137,AN137,AP137,AR137,AS137,AU137,AX137,AZ137,BB137)</f>
        <v>474000</v>
      </c>
      <c r="BH137" s="107">
        <f>AVERAGE(G137,I137,K137,M137,O137,Q137,S137,U137,W137,Y137,AA137,AC137,AE137,AG137,AI137,AK137,AM137,AN137,AP137,AR137,AS137,AU137:AX137,AZ137,BB137)</f>
        <v>463466.66666666669</v>
      </c>
      <c r="BI137" s="108">
        <f>STDEV(G137,I137,K137,M137,O137,Q137,S137,U137,W137,Y137,AA137,AC137,AE137,AG137,AI137,AK137,AM137,AN137,AP137,AR137,AS137,AU137,AX137,AZ137,BB137)</f>
        <v>122141.12056688081</v>
      </c>
      <c r="BJ137" s="65">
        <f t="shared" si="70"/>
        <v>0.26353809098147468</v>
      </c>
      <c r="BK137" s="66">
        <f t="shared" si="87"/>
        <v>474000</v>
      </c>
      <c r="BL137" s="66">
        <v>0</v>
      </c>
      <c r="BM137" s="109">
        <f t="shared" si="88"/>
        <v>474000</v>
      </c>
      <c r="BN137" s="109">
        <f t="shared" si="90"/>
        <v>1422000</v>
      </c>
      <c r="BO137" s="110" t="s">
        <v>902</v>
      </c>
    </row>
    <row r="138" spans="1:68" ht="34" x14ac:dyDescent="0.2">
      <c r="A138" s="105">
        <v>133</v>
      </c>
      <c r="B138" s="122" t="s">
        <v>216</v>
      </c>
      <c r="C138" s="123" t="s">
        <v>217</v>
      </c>
      <c r="D138" s="105" t="s">
        <v>218</v>
      </c>
      <c r="E138" s="105">
        <v>5</v>
      </c>
      <c r="F138" s="45"/>
      <c r="G138" s="45"/>
      <c r="H138" s="45"/>
      <c r="I138" s="45"/>
      <c r="J138" s="45"/>
      <c r="K138" s="45"/>
      <c r="L138" s="45"/>
      <c r="M138" s="45"/>
      <c r="N138" s="45"/>
      <c r="O138" s="45"/>
      <c r="P138" s="45"/>
      <c r="Q138" s="45"/>
      <c r="R138" s="45"/>
      <c r="S138" s="45"/>
      <c r="T138" s="45"/>
      <c r="U138" s="45"/>
      <c r="V138" s="45"/>
      <c r="W138" s="45"/>
      <c r="X138" s="45"/>
      <c r="Y138" s="45"/>
      <c r="Z138" s="45"/>
      <c r="AA138" s="45"/>
      <c r="AB138" s="45"/>
      <c r="AC138" s="45"/>
      <c r="AD138" s="45"/>
      <c r="AE138" s="45"/>
      <c r="AF138" s="45"/>
      <c r="AG138" s="45"/>
      <c r="AH138" s="45"/>
      <c r="AI138" s="45"/>
      <c r="AJ138" s="45"/>
      <c r="AK138" s="45"/>
      <c r="AL138" s="45"/>
      <c r="AM138" s="45"/>
      <c r="AN138" s="45"/>
      <c r="AO138" s="45"/>
      <c r="AP138" s="45"/>
      <c r="AQ138" s="45"/>
      <c r="AR138" s="45">
        <v>29393</v>
      </c>
      <c r="AS138" s="45">
        <v>22015</v>
      </c>
      <c r="AT138" s="45"/>
      <c r="AU138" s="45"/>
      <c r="AV138" s="45"/>
      <c r="AW138" s="45"/>
      <c r="AX138" s="45"/>
      <c r="AY138" s="45"/>
      <c r="AZ138" s="45"/>
      <c r="BA138" s="45"/>
      <c r="BB138" s="45"/>
      <c r="BC138" s="45"/>
      <c r="BD138" s="45"/>
      <c r="BE138" s="45"/>
      <c r="BF138" s="45"/>
      <c r="BG138" s="107">
        <f>MEDIAN(G138,I138,K138,M138,O138,Q138,S138,U138,W138,Y138,AA138,AC138,AE138,AG138,AI138,AK138,AM138,AN138,AP138,AR138,AS138,AU138,AX138,AZ138,BB138)</f>
        <v>25704</v>
      </c>
      <c r="BH138" s="107">
        <f>AVERAGE(G138,I138,K138,M138,O138,Q138,S138,U138,W138,Y138,AA138,AC138,AE138,AG138,AI138,AK138,AM138,AN138,AP138,AR138,AS138,AU138:AX138,AZ138,BB138)</f>
        <v>25704</v>
      </c>
      <c r="BI138" s="108">
        <f>STDEV(G138,I138,K138,M138,O138,Q138,S138,U138,W138,Y138,AA138,AC138,AE138,AG138,AI138,AK138,AM138,AN138,AP138,AR138,AS138,AU138,AX138,AZ138,BB138)</f>
        <v>5217.0338315943472</v>
      </c>
      <c r="BJ138" s="65">
        <f t="shared" si="70"/>
        <v>0.20296583534058307</v>
      </c>
      <c r="BK138" s="66">
        <f>BM138/1.19</f>
        <v>21600</v>
      </c>
      <c r="BL138" s="66">
        <f t="shared" si="89"/>
        <v>4104</v>
      </c>
      <c r="BM138" s="109">
        <f t="shared" si="88"/>
        <v>25704</v>
      </c>
      <c r="BN138" s="109">
        <f t="shared" si="90"/>
        <v>128520</v>
      </c>
      <c r="BO138" s="110" t="s">
        <v>902</v>
      </c>
    </row>
    <row r="139" spans="1:68" ht="68" x14ac:dyDescent="0.2">
      <c r="A139" s="105">
        <v>134</v>
      </c>
      <c r="B139" s="122" t="s">
        <v>1086</v>
      </c>
      <c r="C139" s="123" t="s">
        <v>219</v>
      </c>
      <c r="D139" s="105" t="s">
        <v>220</v>
      </c>
      <c r="E139" s="105">
        <v>4</v>
      </c>
      <c r="F139" s="45"/>
      <c r="G139" s="45"/>
      <c r="H139" s="45"/>
      <c r="I139" s="45"/>
      <c r="J139" s="45"/>
      <c r="K139" s="45"/>
      <c r="L139" s="45"/>
      <c r="M139" s="45"/>
      <c r="N139" s="45"/>
      <c r="O139" s="45"/>
      <c r="P139" s="45"/>
      <c r="Q139" s="45"/>
      <c r="R139" s="45"/>
      <c r="S139" s="45"/>
      <c r="T139" s="45"/>
      <c r="U139" s="45"/>
      <c r="V139" s="45"/>
      <c r="W139" s="45"/>
      <c r="X139" s="45"/>
      <c r="Y139" s="45"/>
      <c r="Z139" s="45"/>
      <c r="AA139" s="45"/>
      <c r="AB139" s="45"/>
      <c r="AC139" s="45"/>
      <c r="AD139" s="45"/>
      <c r="AE139" s="45"/>
      <c r="AF139" s="45"/>
      <c r="AG139" s="45"/>
      <c r="AH139" s="45"/>
      <c r="AI139" s="45"/>
      <c r="AJ139" s="45"/>
      <c r="AK139" s="45"/>
      <c r="AL139" s="45"/>
      <c r="AM139" s="45"/>
      <c r="AN139" s="45"/>
      <c r="AO139" s="45"/>
      <c r="AP139" s="45"/>
      <c r="AQ139" s="45"/>
      <c r="AR139" s="45"/>
      <c r="AS139" s="45"/>
      <c r="AT139" s="45"/>
      <c r="AU139" s="45"/>
      <c r="AV139" s="45"/>
      <c r="AW139" s="45"/>
      <c r="AX139" s="45"/>
      <c r="AY139" s="45"/>
      <c r="AZ139" s="45"/>
      <c r="BA139" s="45"/>
      <c r="BB139" s="45"/>
      <c r="BC139" s="45">
        <v>398000</v>
      </c>
      <c r="BD139" s="45">
        <f>BC139*1.17</f>
        <v>465660</v>
      </c>
      <c r="BE139" s="45">
        <v>352300</v>
      </c>
      <c r="BF139" s="45">
        <f>BE139*1.17</f>
        <v>412191</v>
      </c>
      <c r="BG139" s="107">
        <f>MEDIAN(G139,I139,K139,M139,O139,Q139,S139,U139,W139,Y139,AA139,AC139,AE139,AG139,AI139,AK139,AM139,AN139,AP139,AR139,AS139,AU139,AX139,AZ139,BB139,BD139,BF139)</f>
        <v>438925.5</v>
      </c>
      <c r="BH139" s="107">
        <f>AVERAGE(G139,I139,K139,M139,O139,Q139,S139,U139,W139,Y139,AA139,AC139,AE139,AG139,AI139,AK139,AM139,AN139,AP139,AR139,AS139,AU139:AX139,AZ139,BB139,BD139,BF139)</f>
        <v>438925.5</v>
      </c>
      <c r="BI139" s="108">
        <f>STDEV(G139,I139,K139,M139,O139,Q139,S139,U139,W139,Y139,AA139,AC139,AE139,AG139,AI139,AK139,AM139,AN139,AP139,AR139,AS139,AU139,AX139,AZ139,BB139,BD139,BF139)</f>
        <v>37808.292483263511</v>
      </c>
      <c r="BJ139" s="65">
        <f t="shared" si="70"/>
        <v>8.6138291084166929E-2</v>
      </c>
      <c r="BK139" s="66">
        <f>BM139</f>
        <v>438926</v>
      </c>
      <c r="BL139" s="66">
        <v>0</v>
      </c>
      <c r="BM139" s="109">
        <f t="shared" si="88"/>
        <v>438926</v>
      </c>
      <c r="BN139" s="109">
        <f t="shared" si="90"/>
        <v>1755704</v>
      </c>
      <c r="BO139" s="110" t="s">
        <v>903</v>
      </c>
    </row>
    <row r="140" spans="1:68" ht="34" x14ac:dyDescent="0.2">
      <c r="A140" s="105">
        <v>135</v>
      </c>
      <c r="B140" s="122" t="s">
        <v>221</v>
      </c>
      <c r="C140" s="106" t="s">
        <v>222</v>
      </c>
      <c r="D140" s="105" t="s">
        <v>223</v>
      </c>
      <c r="E140" s="105">
        <v>20</v>
      </c>
      <c r="F140" s="45"/>
      <c r="G140" s="45"/>
      <c r="H140" s="45"/>
      <c r="I140" s="45"/>
      <c r="J140" s="45"/>
      <c r="K140" s="45"/>
      <c r="L140" s="45"/>
      <c r="M140" s="45"/>
      <c r="N140" s="45"/>
      <c r="O140" s="45"/>
      <c r="P140" s="45"/>
      <c r="Q140" s="45"/>
      <c r="R140" s="45"/>
      <c r="S140" s="45"/>
      <c r="T140" s="45"/>
      <c r="U140" s="45"/>
      <c r="V140" s="45"/>
      <c r="W140" s="45"/>
      <c r="X140" s="45"/>
      <c r="Y140" s="45"/>
      <c r="Z140" s="45"/>
      <c r="AA140" s="45"/>
      <c r="AB140" s="45"/>
      <c r="AC140" s="45"/>
      <c r="AD140" s="45"/>
      <c r="AE140" s="45"/>
      <c r="AF140" s="45"/>
      <c r="AG140" s="45"/>
      <c r="AH140" s="45"/>
      <c r="AI140" s="45"/>
      <c r="AJ140" s="45"/>
      <c r="AK140" s="45"/>
      <c r="AL140" s="45"/>
      <c r="AM140" s="45"/>
      <c r="AN140" s="45"/>
      <c r="AO140" s="45"/>
      <c r="AP140" s="45"/>
      <c r="AQ140" s="45"/>
      <c r="AR140" s="45"/>
      <c r="AS140" s="45">
        <v>9000</v>
      </c>
      <c r="AT140" s="45"/>
      <c r="AU140" s="45">
        <v>10000</v>
      </c>
      <c r="AV140" s="45"/>
      <c r="AW140" s="45"/>
      <c r="AX140" s="45"/>
      <c r="AY140" s="45"/>
      <c r="AZ140" s="45"/>
      <c r="BA140" s="45"/>
      <c r="BB140" s="45"/>
      <c r="BC140" s="45"/>
      <c r="BD140" s="45"/>
      <c r="BE140" s="45"/>
      <c r="BF140" s="45"/>
      <c r="BG140" s="107">
        <f t="shared" ref="BG140:BG150" si="91">MEDIAN(G140,I140,K140,M140,O140,Q140,S140,U140,W140,Y140,AA140,AC140,AE140,AG140,AI140,AK140,AM140,AN140,AP140,AR140,AS140,AU140,AX140,AZ140,BB140)</f>
        <v>9500</v>
      </c>
      <c r="BH140" s="107">
        <f t="shared" ref="BH140:BH150" si="92">AVERAGE(G140,I140,K140,M140,O140,Q140,S140,U140,W140,Y140,AA140,AC140,AE140,AG140,AI140,AK140,AM140,AN140,AP140,AR140,AS140,AU140:AX140,AZ140,BB140)</f>
        <v>9500</v>
      </c>
      <c r="BI140" s="108">
        <f t="shared" ref="BI140:BI150" si="93">STDEV(G140,I140,K140,M140,O140,Q140,S140,U140,W140,Y140,AA140,AC140,AE140,AG140,AI140,AK140,AM140,AN140,AP140,AR140,AS140,AU140,AX140,AZ140,BB140)</f>
        <v>707.10678118654755</v>
      </c>
      <c r="BJ140" s="65">
        <f t="shared" si="70"/>
        <v>7.4432292756478696E-2</v>
      </c>
      <c r="BK140" s="66">
        <f t="shared" ref="BK140:BK147" si="94">BM140</f>
        <v>9500</v>
      </c>
      <c r="BL140" s="66">
        <v>0</v>
      </c>
      <c r="BM140" s="109">
        <f t="shared" si="88"/>
        <v>9500</v>
      </c>
      <c r="BN140" s="109">
        <f t="shared" si="90"/>
        <v>190000</v>
      </c>
      <c r="BO140" s="110" t="s">
        <v>903</v>
      </c>
    </row>
    <row r="141" spans="1:68" ht="34" x14ac:dyDescent="0.2">
      <c r="A141" s="105">
        <v>136</v>
      </c>
      <c r="B141" s="122" t="s">
        <v>224</v>
      </c>
      <c r="C141" s="106" t="s">
        <v>225</v>
      </c>
      <c r="D141" s="105" t="s">
        <v>223</v>
      </c>
      <c r="E141" s="105">
        <v>20</v>
      </c>
      <c r="F141" s="45"/>
      <c r="G141" s="45"/>
      <c r="H141" s="45"/>
      <c r="I141" s="45"/>
      <c r="J141" s="45"/>
      <c r="K141" s="45"/>
      <c r="L141" s="45"/>
      <c r="M141" s="45"/>
      <c r="N141" s="45"/>
      <c r="O141" s="45"/>
      <c r="P141" s="45"/>
      <c r="Q141" s="45"/>
      <c r="R141" s="45"/>
      <c r="S141" s="45"/>
      <c r="T141" s="45"/>
      <c r="U141" s="45"/>
      <c r="V141" s="45"/>
      <c r="W141" s="45"/>
      <c r="X141" s="45"/>
      <c r="Y141" s="45"/>
      <c r="Z141" s="45"/>
      <c r="AA141" s="45"/>
      <c r="AB141" s="45"/>
      <c r="AC141" s="45"/>
      <c r="AD141" s="45"/>
      <c r="AE141" s="45"/>
      <c r="AF141" s="45"/>
      <c r="AG141" s="45"/>
      <c r="AH141" s="45"/>
      <c r="AI141" s="45"/>
      <c r="AJ141" s="45"/>
      <c r="AK141" s="45"/>
      <c r="AL141" s="45"/>
      <c r="AM141" s="45"/>
      <c r="AN141" s="45"/>
      <c r="AO141" s="45"/>
      <c r="AP141" s="45"/>
      <c r="AQ141" s="45"/>
      <c r="AR141" s="45">
        <v>16800</v>
      </c>
      <c r="AS141" s="45"/>
      <c r="AT141" s="45"/>
      <c r="AU141" s="45">
        <v>16000</v>
      </c>
      <c r="AV141" s="45"/>
      <c r="AW141" s="45"/>
      <c r="AX141" s="45"/>
      <c r="AY141" s="45"/>
      <c r="AZ141" s="45"/>
      <c r="BA141" s="45"/>
      <c r="BB141" s="45"/>
      <c r="BC141" s="45"/>
      <c r="BD141" s="45"/>
      <c r="BE141" s="45"/>
      <c r="BF141" s="45"/>
      <c r="BG141" s="107">
        <f t="shared" si="91"/>
        <v>16400</v>
      </c>
      <c r="BH141" s="107">
        <f t="shared" si="92"/>
        <v>16400</v>
      </c>
      <c r="BI141" s="108">
        <f t="shared" si="93"/>
        <v>565.68542494923804</v>
      </c>
      <c r="BJ141" s="65">
        <f t="shared" si="70"/>
        <v>3.4493013716416956E-2</v>
      </c>
      <c r="BK141" s="66">
        <f t="shared" si="94"/>
        <v>16400</v>
      </c>
      <c r="BL141" s="66">
        <v>0</v>
      </c>
      <c r="BM141" s="109">
        <f t="shared" si="88"/>
        <v>16400</v>
      </c>
      <c r="BN141" s="109">
        <f t="shared" si="90"/>
        <v>328000</v>
      </c>
      <c r="BO141" s="110" t="s">
        <v>903</v>
      </c>
    </row>
    <row r="142" spans="1:68" ht="34" x14ac:dyDescent="0.2">
      <c r="A142" s="105">
        <v>137</v>
      </c>
      <c r="B142" s="122" t="s">
        <v>226</v>
      </c>
      <c r="C142" s="106" t="s">
        <v>227</v>
      </c>
      <c r="D142" s="105" t="s">
        <v>223</v>
      </c>
      <c r="E142" s="105">
        <v>20</v>
      </c>
      <c r="F142" s="45"/>
      <c r="G142" s="45"/>
      <c r="H142" s="45"/>
      <c r="I142" s="45"/>
      <c r="J142" s="45"/>
      <c r="K142" s="45"/>
      <c r="L142" s="45"/>
      <c r="M142" s="45"/>
      <c r="N142" s="45"/>
      <c r="O142" s="45"/>
      <c r="P142" s="45"/>
      <c r="Q142" s="45"/>
      <c r="R142" s="45"/>
      <c r="S142" s="45"/>
      <c r="T142" s="45"/>
      <c r="U142" s="45"/>
      <c r="V142" s="45"/>
      <c r="W142" s="45"/>
      <c r="X142" s="45"/>
      <c r="Y142" s="45"/>
      <c r="Z142" s="45"/>
      <c r="AA142" s="45"/>
      <c r="AB142" s="45"/>
      <c r="AC142" s="45"/>
      <c r="AD142" s="45"/>
      <c r="AE142" s="45"/>
      <c r="AF142" s="45"/>
      <c r="AG142" s="45"/>
      <c r="AH142" s="45"/>
      <c r="AI142" s="45"/>
      <c r="AJ142" s="45"/>
      <c r="AK142" s="45"/>
      <c r="AL142" s="45"/>
      <c r="AM142" s="45"/>
      <c r="AN142" s="45"/>
      <c r="AO142" s="45"/>
      <c r="AP142" s="45"/>
      <c r="AQ142" s="45"/>
      <c r="AR142" s="45">
        <v>16800</v>
      </c>
      <c r="AS142" s="45"/>
      <c r="AT142" s="45"/>
      <c r="AU142" s="45">
        <v>16000</v>
      </c>
      <c r="AV142" s="45"/>
      <c r="AW142" s="45"/>
      <c r="AX142" s="45"/>
      <c r="AY142" s="45"/>
      <c r="AZ142" s="45"/>
      <c r="BA142" s="45"/>
      <c r="BB142" s="45"/>
      <c r="BC142" s="45"/>
      <c r="BD142" s="45"/>
      <c r="BE142" s="45"/>
      <c r="BF142" s="45"/>
      <c r="BG142" s="107">
        <f t="shared" si="91"/>
        <v>16400</v>
      </c>
      <c r="BH142" s="107">
        <f t="shared" si="92"/>
        <v>16400</v>
      </c>
      <c r="BI142" s="108">
        <f t="shared" si="93"/>
        <v>565.68542494923804</v>
      </c>
      <c r="BJ142" s="65">
        <f t="shared" si="70"/>
        <v>3.4493013716416956E-2</v>
      </c>
      <c r="BK142" s="66">
        <f t="shared" si="94"/>
        <v>16400</v>
      </c>
      <c r="BL142" s="66">
        <v>0</v>
      </c>
      <c r="BM142" s="109">
        <f t="shared" si="88"/>
        <v>16400</v>
      </c>
      <c r="BN142" s="109">
        <f t="shared" si="90"/>
        <v>328000</v>
      </c>
      <c r="BO142" s="110" t="s">
        <v>903</v>
      </c>
    </row>
    <row r="143" spans="1:68" ht="34" x14ac:dyDescent="0.2">
      <c r="A143" s="105">
        <v>138</v>
      </c>
      <c r="B143" s="122" t="s">
        <v>228</v>
      </c>
      <c r="C143" s="106" t="s">
        <v>229</v>
      </c>
      <c r="D143" s="105" t="s">
        <v>223</v>
      </c>
      <c r="E143" s="105">
        <v>20</v>
      </c>
      <c r="F143" s="45"/>
      <c r="G143" s="45"/>
      <c r="H143" s="45"/>
      <c r="I143" s="45"/>
      <c r="J143" s="45"/>
      <c r="K143" s="45"/>
      <c r="L143" s="45"/>
      <c r="M143" s="45"/>
      <c r="N143" s="45"/>
      <c r="O143" s="45"/>
      <c r="P143" s="45"/>
      <c r="Q143" s="45"/>
      <c r="R143" s="45"/>
      <c r="S143" s="45"/>
      <c r="T143" s="45"/>
      <c r="U143" s="45"/>
      <c r="V143" s="45"/>
      <c r="W143" s="45"/>
      <c r="X143" s="45"/>
      <c r="Y143" s="45"/>
      <c r="Z143" s="45"/>
      <c r="AA143" s="45"/>
      <c r="AB143" s="45"/>
      <c r="AC143" s="45"/>
      <c r="AD143" s="45"/>
      <c r="AE143" s="45"/>
      <c r="AF143" s="45"/>
      <c r="AG143" s="45"/>
      <c r="AH143" s="45"/>
      <c r="AI143" s="45"/>
      <c r="AJ143" s="45"/>
      <c r="AK143" s="45"/>
      <c r="AL143" s="45"/>
      <c r="AM143" s="45"/>
      <c r="AN143" s="45"/>
      <c r="AO143" s="45"/>
      <c r="AP143" s="45"/>
      <c r="AQ143" s="45"/>
      <c r="AR143" s="45">
        <v>16800</v>
      </c>
      <c r="AS143" s="45"/>
      <c r="AT143" s="45"/>
      <c r="AU143" s="45">
        <v>15000</v>
      </c>
      <c r="AV143" s="45"/>
      <c r="AW143" s="45"/>
      <c r="AX143" s="45"/>
      <c r="AY143" s="45"/>
      <c r="AZ143" s="45"/>
      <c r="BA143" s="45"/>
      <c r="BB143" s="45"/>
      <c r="BC143" s="45"/>
      <c r="BD143" s="45"/>
      <c r="BE143" s="45"/>
      <c r="BF143" s="45"/>
      <c r="BG143" s="107">
        <f t="shared" si="91"/>
        <v>15900</v>
      </c>
      <c r="BH143" s="107">
        <f t="shared" si="92"/>
        <v>15900</v>
      </c>
      <c r="BI143" s="108">
        <f t="shared" si="93"/>
        <v>1272.7922061357856</v>
      </c>
      <c r="BJ143" s="65">
        <f t="shared" si="70"/>
        <v>8.0049824285269536E-2</v>
      </c>
      <c r="BK143" s="66">
        <f>BM143</f>
        <v>15900</v>
      </c>
      <c r="BL143" s="66">
        <v>0</v>
      </c>
      <c r="BM143" s="109">
        <f t="shared" si="88"/>
        <v>15900</v>
      </c>
      <c r="BN143" s="109">
        <f t="shared" si="90"/>
        <v>318000</v>
      </c>
      <c r="BO143" s="110" t="s">
        <v>903</v>
      </c>
    </row>
    <row r="144" spans="1:68" ht="34" x14ac:dyDescent="0.2">
      <c r="A144" s="105">
        <v>139</v>
      </c>
      <c r="B144" s="122" t="s">
        <v>230</v>
      </c>
      <c r="C144" s="123" t="s">
        <v>231</v>
      </c>
      <c r="D144" s="105" t="s">
        <v>232</v>
      </c>
      <c r="E144" s="105">
        <v>50</v>
      </c>
      <c r="F144" s="45"/>
      <c r="G144" s="45"/>
      <c r="H144" s="45"/>
      <c r="I144" s="45"/>
      <c r="J144" s="45"/>
      <c r="K144" s="45"/>
      <c r="L144" s="45"/>
      <c r="M144" s="45"/>
      <c r="N144" s="45"/>
      <c r="O144" s="45"/>
      <c r="P144" s="45"/>
      <c r="Q144" s="45"/>
      <c r="R144" s="45"/>
      <c r="S144" s="45"/>
      <c r="T144" s="45"/>
      <c r="U144" s="45"/>
      <c r="V144" s="45"/>
      <c r="W144" s="45"/>
      <c r="X144" s="45"/>
      <c r="Y144" s="45"/>
      <c r="Z144" s="45"/>
      <c r="AA144" s="45"/>
      <c r="AB144" s="45"/>
      <c r="AC144" s="45"/>
      <c r="AD144" s="45"/>
      <c r="AE144" s="45"/>
      <c r="AF144" s="45"/>
      <c r="AG144" s="45"/>
      <c r="AH144" s="45"/>
      <c r="AI144" s="45"/>
      <c r="AJ144" s="45"/>
      <c r="AK144" s="45"/>
      <c r="AL144" s="45"/>
      <c r="AM144" s="45"/>
      <c r="AN144" s="45"/>
      <c r="AO144" s="45"/>
      <c r="AP144" s="45"/>
      <c r="AQ144" s="45"/>
      <c r="AR144" s="45"/>
      <c r="AS144" s="45">
        <v>9000</v>
      </c>
      <c r="AT144" s="45"/>
      <c r="AU144" s="45">
        <v>8200</v>
      </c>
      <c r="AV144" s="45"/>
      <c r="AW144" s="45"/>
      <c r="AX144" s="45"/>
      <c r="AY144" s="45"/>
      <c r="AZ144" s="45"/>
      <c r="BA144" s="45"/>
      <c r="BB144" s="45"/>
      <c r="BC144" s="45"/>
      <c r="BD144" s="45"/>
      <c r="BE144" s="45"/>
      <c r="BF144" s="45"/>
      <c r="BG144" s="107">
        <f t="shared" si="91"/>
        <v>8600</v>
      </c>
      <c r="BH144" s="107">
        <f t="shared" si="92"/>
        <v>8600</v>
      </c>
      <c r="BI144" s="108">
        <f t="shared" si="93"/>
        <v>565.68542494923804</v>
      </c>
      <c r="BJ144" s="65">
        <f t="shared" si="70"/>
        <v>6.5777374994097443E-2</v>
      </c>
      <c r="BK144" s="66">
        <f t="shared" si="94"/>
        <v>8600</v>
      </c>
      <c r="BL144" s="66">
        <v>0</v>
      </c>
      <c r="BM144" s="109">
        <f t="shared" si="88"/>
        <v>8600</v>
      </c>
      <c r="BN144" s="109">
        <f t="shared" si="90"/>
        <v>430000</v>
      </c>
      <c r="BO144" s="110" t="s">
        <v>903</v>
      </c>
    </row>
    <row r="145" spans="1:67" ht="68" x14ac:dyDescent="0.2">
      <c r="A145" s="105">
        <v>140</v>
      </c>
      <c r="B145" s="111" t="s">
        <v>233</v>
      </c>
      <c r="C145" s="123" t="s">
        <v>1234</v>
      </c>
      <c r="D145" s="105" t="s">
        <v>1204</v>
      </c>
      <c r="E145" s="105">
        <v>1</v>
      </c>
      <c r="F145" s="45"/>
      <c r="G145" s="45"/>
      <c r="H145" s="45"/>
      <c r="I145" s="45"/>
      <c r="J145" s="45"/>
      <c r="K145" s="45"/>
      <c r="L145" s="45"/>
      <c r="M145" s="45"/>
      <c r="N145" s="45"/>
      <c r="O145" s="45"/>
      <c r="P145" s="45"/>
      <c r="Q145" s="45"/>
      <c r="R145" s="45"/>
      <c r="S145" s="45"/>
      <c r="T145" s="45"/>
      <c r="U145" s="45"/>
      <c r="V145" s="45"/>
      <c r="W145" s="45"/>
      <c r="X145" s="45"/>
      <c r="Y145" s="45"/>
      <c r="Z145" s="45"/>
      <c r="AA145" s="45"/>
      <c r="AB145" s="45"/>
      <c r="AC145" s="45"/>
      <c r="AD145" s="45"/>
      <c r="AE145" s="45"/>
      <c r="AF145" s="45"/>
      <c r="AG145" s="45"/>
      <c r="AH145" s="45"/>
      <c r="AI145" s="45"/>
      <c r="AJ145" s="45"/>
      <c r="AK145" s="45"/>
      <c r="AL145" s="45"/>
      <c r="AM145" s="45"/>
      <c r="AN145" s="45"/>
      <c r="AO145" s="45"/>
      <c r="AP145" s="45"/>
      <c r="AQ145" s="45"/>
      <c r="AR145" s="45"/>
      <c r="AS145" s="45">
        <v>100000</v>
      </c>
      <c r="AT145" s="45"/>
      <c r="AU145" s="45">
        <v>130000</v>
      </c>
      <c r="AV145" s="45"/>
      <c r="AW145" s="45"/>
      <c r="AX145" s="45"/>
      <c r="AY145" s="45"/>
      <c r="AZ145" s="45"/>
      <c r="BA145" s="45"/>
      <c r="BB145" s="45"/>
      <c r="BC145" s="45"/>
      <c r="BD145" s="45"/>
      <c r="BE145" s="45"/>
      <c r="BF145" s="45"/>
      <c r="BG145" s="107">
        <f t="shared" si="91"/>
        <v>115000</v>
      </c>
      <c r="BH145" s="107">
        <f t="shared" si="92"/>
        <v>115000</v>
      </c>
      <c r="BI145" s="108">
        <f t="shared" si="93"/>
        <v>21213.203435596424</v>
      </c>
      <c r="BJ145" s="65">
        <f t="shared" si="70"/>
        <v>0.18446263857040368</v>
      </c>
      <c r="BK145" s="66">
        <f t="shared" si="94"/>
        <v>115000</v>
      </c>
      <c r="BL145" s="66">
        <v>0</v>
      </c>
      <c r="BM145" s="109">
        <f t="shared" si="88"/>
        <v>115000</v>
      </c>
      <c r="BN145" s="109">
        <f t="shared" si="90"/>
        <v>115000</v>
      </c>
      <c r="BO145" s="110" t="s">
        <v>902</v>
      </c>
    </row>
    <row r="146" spans="1:67" ht="68" x14ac:dyDescent="0.2">
      <c r="A146" s="105">
        <v>141</v>
      </c>
      <c r="B146" s="111" t="s">
        <v>234</v>
      </c>
      <c r="C146" s="123" t="s">
        <v>1234</v>
      </c>
      <c r="D146" s="105" t="s">
        <v>1204</v>
      </c>
      <c r="E146" s="105">
        <v>1</v>
      </c>
      <c r="F146" s="45"/>
      <c r="G146" s="45"/>
      <c r="H146" s="45"/>
      <c r="I146" s="45"/>
      <c r="J146" s="45"/>
      <c r="K146" s="45"/>
      <c r="L146" s="45"/>
      <c r="M146" s="45"/>
      <c r="N146" s="45"/>
      <c r="O146" s="45"/>
      <c r="P146" s="45"/>
      <c r="Q146" s="45"/>
      <c r="R146" s="45"/>
      <c r="S146" s="45"/>
      <c r="T146" s="45"/>
      <c r="U146" s="45"/>
      <c r="V146" s="45"/>
      <c r="W146" s="45"/>
      <c r="X146" s="45"/>
      <c r="Y146" s="45"/>
      <c r="Z146" s="45"/>
      <c r="AA146" s="45"/>
      <c r="AB146" s="45"/>
      <c r="AC146" s="45"/>
      <c r="AD146" s="45"/>
      <c r="AE146" s="45"/>
      <c r="AF146" s="45"/>
      <c r="AG146" s="45"/>
      <c r="AH146" s="45"/>
      <c r="AI146" s="45"/>
      <c r="AJ146" s="45"/>
      <c r="AK146" s="45"/>
      <c r="AL146" s="45"/>
      <c r="AM146" s="45"/>
      <c r="AN146" s="45"/>
      <c r="AO146" s="45"/>
      <c r="AP146" s="45"/>
      <c r="AQ146" s="45"/>
      <c r="AR146" s="45"/>
      <c r="AS146" s="45">
        <v>100000</v>
      </c>
      <c r="AT146" s="45"/>
      <c r="AU146" s="45">
        <v>125000</v>
      </c>
      <c r="AV146" s="45"/>
      <c r="AW146" s="45"/>
      <c r="AX146" s="45"/>
      <c r="AY146" s="45"/>
      <c r="AZ146" s="45"/>
      <c r="BA146" s="45"/>
      <c r="BB146" s="45"/>
      <c r="BC146" s="45"/>
      <c r="BD146" s="45"/>
      <c r="BE146" s="45"/>
      <c r="BF146" s="45"/>
      <c r="BG146" s="107">
        <f t="shared" si="91"/>
        <v>112500</v>
      </c>
      <c r="BH146" s="107">
        <f t="shared" si="92"/>
        <v>112500</v>
      </c>
      <c r="BI146" s="108">
        <f t="shared" si="93"/>
        <v>17677.66952966369</v>
      </c>
      <c r="BJ146" s="65">
        <f t="shared" si="70"/>
        <v>0.15713484026367724</v>
      </c>
      <c r="BK146" s="66">
        <f t="shared" si="94"/>
        <v>112500</v>
      </c>
      <c r="BL146" s="66">
        <v>0</v>
      </c>
      <c r="BM146" s="109">
        <f t="shared" si="88"/>
        <v>112500</v>
      </c>
      <c r="BN146" s="109">
        <f t="shared" si="90"/>
        <v>112500</v>
      </c>
      <c r="BO146" s="110" t="s">
        <v>902</v>
      </c>
    </row>
    <row r="147" spans="1:67" ht="68" x14ac:dyDescent="0.2">
      <c r="A147" s="105">
        <v>142</v>
      </c>
      <c r="B147" s="111" t="s">
        <v>235</v>
      </c>
      <c r="C147" s="123" t="s">
        <v>1234</v>
      </c>
      <c r="D147" s="105" t="s">
        <v>1204</v>
      </c>
      <c r="E147" s="105">
        <v>1</v>
      </c>
      <c r="F147" s="45"/>
      <c r="G147" s="45"/>
      <c r="H147" s="45"/>
      <c r="I147" s="45"/>
      <c r="J147" s="45"/>
      <c r="K147" s="45"/>
      <c r="L147" s="45"/>
      <c r="M147" s="45"/>
      <c r="N147" s="45"/>
      <c r="O147" s="45"/>
      <c r="P147" s="45"/>
      <c r="Q147" s="45"/>
      <c r="R147" s="45"/>
      <c r="S147" s="45"/>
      <c r="T147" s="45"/>
      <c r="U147" s="45"/>
      <c r="V147" s="45"/>
      <c r="W147" s="45"/>
      <c r="X147" s="45"/>
      <c r="Y147" s="45"/>
      <c r="Z147" s="45"/>
      <c r="AA147" s="45"/>
      <c r="AB147" s="45"/>
      <c r="AC147" s="45"/>
      <c r="AD147" s="45"/>
      <c r="AE147" s="45"/>
      <c r="AF147" s="45"/>
      <c r="AG147" s="45"/>
      <c r="AH147" s="45"/>
      <c r="AI147" s="45"/>
      <c r="AJ147" s="45"/>
      <c r="AK147" s="45"/>
      <c r="AL147" s="45"/>
      <c r="AM147" s="45"/>
      <c r="AN147" s="45"/>
      <c r="AO147" s="45"/>
      <c r="AP147" s="45"/>
      <c r="AQ147" s="45"/>
      <c r="AR147" s="45"/>
      <c r="AS147" s="45">
        <v>100000</v>
      </c>
      <c r="AT147" s="45"/>
      <c r="AU147" s="45">
        <v>125000</v>
      </c>
      <c r="AV147" s="45"/>
      <c r="AW147" s="45"/>
      <c r="AX147" s="45"/>
      <c r="AY147" s="45"/>
      <c r="AZ147" s="45"/>
      <c r="BA147" s="45"/>
      <c r="BB147" s="45"/>
      <c r="BC147" s="45"/>
      <c r="BD147" s="45"/>
      <c r="BE147" s="45"/>
      <c r="BF147" s="45"/>
      <c r="BG147" s="107">
        <f t="shared" si="91"/>
        <v>112500</v>
      </c>
      <c r="BH147" s="107">
        <f t="shared" si="92"/>
        <v>112500</v>
      </c>
      <c r="BI147" s="108">
        <f t="shared" si="93"/>
        <v>17677.66952966369</v>
      </c>
      <c r="BJ147" s="65">
        <f t="shared" si="70"/>
        <v>0.15713484026367724</v>
      </c>
      <c r="BK147" s="66">
        <f t="shared" si="94"/>
        <v>112500</v>
      </c>
      <c r="BL147" s="66">
        <v>0</v>
      </c>
      <c r="BM147" s="109">
        <f t="shared" si="88"/>
        <v>112500</v>
      </c>
      <c r="BN147" s="109">
        <f t="shared" si="90"/>
        <v>112500</v>
      </c>
      <c r="BO147" s="110" t="s">
        <v>902</v>
      </c>
    </row>
    <row r="148" spans="1:67" ht="68" x14ac:dyDescent="0.2">
      <c r="A148" s="105">
        <v>143</v>
      </c>
      <c r="B148" s="111" t="s">
        <v>236</v>
      </c>
      <c r="C148" s="123" t="s">
        <v>1234</v>
      </c>
      <c r="D148" s="105" t="s">
        <v>1204</v>
      </c>
      <c r="E148" s="105">
        <v>1</v>
      </c>
      <c r="F148" s="45"/>
      <c r="G148" s="45"/>
      <c r="H148" s="45"/>
      <c r="I148" s="45"/>
      <c r="J148" s="45"/>
      <c r="K148" s="45"/>
      <c r="L148" s="45"/>
      <c r="M148" s="45"/>
      <c r="N148" s="45"/>
      <c r="O148" s="45"/>
      <c r="P148" s="45"/>
      <c r="Q148" s="45"/>
      <c r="R148" s="45"/>
      <c r="S148" s="45"/>
      <c r="T148" s="45"/>
      <c r="U148" s="45"/>
      <c r="V148" s="45"/>
      <c r="W148" s="45"/>
      <c r="X148" s="45"/>
      <c r="Y148" s="45"/>
      <c r="Z148" s="45"/>
      <c r="AA148" s="45"/>
      <c r="AB148" s="45"/>
      <c r="AC148" s="45"/>
      <c r="AD148" s="45"/>
      <c r="AE148" s="45"/>
      <c r="AF148" s="45"/>
      <c r="AG148" s="45"/>
      <c r="AH148" s="45"/>
      <c r="AI148" s="45"/>
      <c r="AJ148" s="45"/>
      <c r="AK148" s="45"/>
      <c r="AL148" s="45"/>
      <c r="AM148" s="45"/>
      <c r="AN148" s="45"/>
      <c r="AO148" s="45"/>
      <c r="AP148" s="45"/>
      <c r="AQ148" s="45"/>
      <c r="AR148" s="45"/>
      <c r="AS148" s="45">
        <v>100000</v>
      </c>
      <c r="AT148" s="45"/>
      <c r="AU148" s="45">
        <v>125000</v>
      </c>
      <c r="AV148" s="45"/>
      <c r="AW148" s="45"/>
      <c r="AX148" s="45"/>
      <c r="AY148" s="45"/>
      <c r="AZ148" s="45"/>
      <c r="BA148" s="45"/>
      <c r="BB148" s="45"/>
      <c r="BC148" s="45"/>
      <c r="BD148" s="45"/>
      <c r="BE148" s="45"/>
      <c r="BF148" s="45"/>
      <c r="BG148" s="107">
        <f t="shared" si="91"/>
        <v>112500</v>
      </c>
      <c r="BH148" s="107">
        <f t="shared" si="92"/>
        <v>112500</v>
      </c>
      <c r="BI148" s="108">
        <f t="shared" si="93"/>
        <v>17677.66952966369</v>
      </c>
      <c r="BJ148" s="65">
        <f t="shared" si="70"/>
        <v>0.15713484026367724</v>
      </c>
      <c r="BK148" s="66">
        <f>BM148</f>
        <v>112500</v>
      </c>
      <c r="BL148" s="66">
        <v>0</v>
      </c>
      <c r="BM148" s="109">
        <f t="shared" si="88"/>
        <v>112500</v>
      </c>
      <c r="BN148" s="109">
        <f t="shared" si="90"/>
        <v>112500</v>
      </c>
      <c r="BO148" s="110" t="s">
        <v>902</v>
      </c>
    </row>
    <row r="149" spans="1:67" ht="102" x14ac:dyDescent="0.2">
      <c r="A149" s="105">
        <v>144</v>
      </c>
      <c r="B149" s="111" t="s">
        <v>826</v>
      </c>
      <c r="C149" s="123" t="s">
        <v>1087</v>
      </c>
      <c r="D149" s="105" t="s">
        <v>1088</v>
      </c>
      <c r="E149" s="105">
        <v>2</v>
      </c>
      <c r="F149" s="45"/>
      <c r="G149" s="45"/>
      <c r="H149" s="45"/>
      <c r="I149" s="45"/>
      <c r="J149" s="45"/>
      <c r="K149" s="45"/>
      <c r="L149" s="45"/>
      <c r="M149" s="45"/>
      <c r="N149" s="45"/>
      <c r="O149" s="45"/>
      <c r="P149" s="45"/>
      <c r="Q149" s="45"/>
      <c r="R149" s="45"/>
      <c r="S149" s="45"/>
      <c r="T149" s="45"/>
      <c r="U149" s="45"/>
      <c r="V149" s="45"/>
      <c r="W149" s="45"/>
      <c r="X149" s="45"/>
      <c r="Y149" s="45"/>
      <c r="Z149" s="45"/>
      <c r="AA149" s="45"/>
      <c r="AB149" s="45"/>
      <c r="AC149" s="45"/>
      <c r="AD149" s="45"/>
      <c r="AE149" s="45"/>
      <c r="AF149" s="45"/>
      <c r="AG149" s="45"/>
      <c r="AH149" s="45"/>
      <c r="AI149" s="45"/>
      <c r="AJ149" s="45"/>
      <c r="AK149" s="45"/>
      <c r="AL149" s="45"/>
      <c r="AM149" s="45"/>
      <c r="AN149" s="45"/>
      <c r="AO149" s="45"/>
      <c r="AP149" s="45"/>
      <c r="AQ149" s="45"/>
      <c r="AR149" s="45"/>
      <c r="AS149" s="45">
        <v>520000</v>
      </c>
      <c r="AT149" s="45"/>
      <c r="AU149" s="45">
        <v>580000</v>
      </c>
      <c r="AV149" s="45"/>
      <c r="AW149" s="45"/>
      <c r="AX149" s="45"/>
      <c r="AY149" s="45"/>
      <c r="AZ149" s="45"/>
      <c r="BA149" s="45"/>
      <c r="BB149" s="45"/>
      <c r="BC149" s="45"/>
      <c r="BD149" s="45"/>
      <c r="BE149" s="45"/>
      <c r="BF149" s="45"/>
      <c r="BG149" s="107">
        <f t="shared" si="91"/>
        <v>550000</v>
      </c>
      <c r="BH149" s="107">
        <f t="shared" si="92"/>
        <v>550000</v>
      </c>
      <c r="BI149" s="108">
        <f t="shared" si="93"/>
        <v>42426.406871192848</v>
      </c>
      <c r="BJ149" s="65">
        <f t="shared" si="70"/>
        <v>7.7138921583986997E-2</v>
      </c>
      <c r="BK149" s="66">
        <f>BM149</f>
        <v>550000</v>
      </c>
      <c r="BL149" s="66">
        <v>0</v>
      </c>
      <c r="BM149" s="109">
        <f>ROUNDUP(IF(BJ149&lt;15%,BH149,BG149),0)</f>
        <v>550000</v>
      </c>
      <c r="BN149" s="109">
        <f t="shared" si="90"/>
        <v>1100000</v>
      </c>
      <c r="BO149" s="110" t="s">
        <v>903</v>
      </c>
    </row>
    <row r="150" spans="1:67" ht="34" x14ac:dyDescent="0.2">
      <c r="A150" s="105">
        <v>145</v>
      </c>
      <c r="B150" s="106" t="s">
        <v>835</v>
      </c>
      <c r="C150" s="67" t="s">
        <v>1171</v>
      </c>
      <c r="D150" s="105" t="s">
        <v>1063</v>
      </c>
      <c r="E150" s="105">
        <v>10</v>
      </c>
      <c r="F150" s="45"/>
      <c r="G150" s="45"/>
      <c r="H150" s="45"/>
      <c r="I150" s="45"/>
      <c r="J150" s="45"/>
      <c r="K150" s="45"/>
      <c r="L150" s="45"/>
      <c r="M150" s="45"/>
      <c r="N150" s="45"/>
      <c r="O150" s="45"/>
      <c r="P150" s="45"/>
      <c r="Q150" s="45"/>
      <c r="R150" s="45"/>
      <c r="S150" s="45"/>
      <c r="T150" s="45"/>
      <c r="U150" s="45"/>
      <c r="V150" s="45"/>
      <c r="W150" s="45"/>
      <c r="X150" s="45"/>
      <c r="Y150" s="45"/>
      <c r="Z150" s="45"/>
      <c r="AA150" s="45"/>
      <c r="AB150" s="45"/>
      <c r="AC150" s="45"/>
      <c r="AD150" s="45"/>
      <c r="AE150" s="45"/>
      <c r="AF150" s="34">
        <v>120000</v>
      </c>
      <c r="AG150" s="34">
        <f t="shared" ref="AG150" si="95">((AF150*5.1%)+AF150)</f>
        <v>126120</v>
      </c>
      <c r="AH150" s="16">
        <v>124848</v>
      </c>
      <c r="AI150" s="34">
        <f t="shared" ref="AI150" si="96">((AH150*5.1%)+AH150)</f>
        <v>131215.24799999999</v>
      </c>
      <c r="AJ150" s="34">
        <v>122400</v>
      </c>
      <c r="AK150" s="34">
        <f t="shared" ref="AK150" si="97">((AJ150*5.1%)+AJ150)</f>
        <v>128642.4</v>
      </c>
      <c r="AL150" s="45"/>
      <c r="AM150" s="45"/>
      <c r="AN150" s="45"/>
      <c r="AO150" s="45"/>
      <c r="AP150" s="45"/>
      <c r="AQ150" s="45"/>
      <c r="AR150" s="45"/>
      <c r="AS150" s="45"/>
      <c r="AT150" s="45"/>
      <c r="AU150" s="45"/>
      <c r="AV150" s="45"/>
      <c r="AW150" s="45"/>
      <c r="AX150" s="45"/>
      <c r="AY150" s="45"/>
      <c r="AZ150" s="45"/>
      <c r="BA150" s="45"/>
      <c r="BB150" s="45"/>
      <c r="BC150" s="45"/>
      <c r="BD150" s="45"/>
      <c r="BE150" s="45"/>
      <c r="BF150" s="45"/>
      <c r="BG150" s="107">
        <f t="shared" si="91"/>
        <v>128642.4</v>
      </c>
      <c r="BH150" s="107">
        <f t="shared" si="92"/>
        <v>128659.216</v>
      </c>
      <c r="BI150" s="108">
        <f t="shared" si="93"/>
        <v>2547.6656234223478</v>
      </c>
      <c r="BJ150" s="65">
        <f t="shared" ref="BJ150" si="98">BI150/BH150</f>
        <v>1.9801656675899129E-2</v>
      </c>
      <c r="BK150" s="66">
        <f t="shared" ref="BK150" si="99">BM150</f>
        <v>128660</v>
      </c>
      <c r="BL150" s="66">
        <v>0</v>
      </c>
      <c r="BM150" s="109">
        <f t="shared" si="88"/>
        <v>128660</v>
      </c>
      <c r="BN150" s="109">
        <f t="shared" si="90"/>
        <v>1286600</v>
      </c>
      <c r="BO150" s="110" t="s">
        <v>903</v>
      </c>
    </row>
    <row r="151" spans="1:67" ht="19.25" customHeight="1" x14ac:dyDescent="0.2">
      <c r="A151" s="169" t="s">
        <v>1047</v>
      </c>
      <c r="B151" s="170"/>
      <c r="C151" s="170"/>
      <c r="D151" s="171"/>
      <c r="E151" s="124"/>
      <c r="F151" s="27"/>
      <c r="G151" s="27"/>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27"/>
      <c r="AL151" s="27"/>
      <c r="AM151" s="27"/>
      <c r="AN151" s="27"/>
      <c r="AO151" s="27"/>
      <c r="AP151" s="27"/>
      <c r="AQ151" s="27"/>
      <c r="AR151" s="27"/>
      <c r="AS151" s="27"/>
      <c r="AT151" s="27"/>
      <c r="AU151" s="27"/>
      <c r="AV151" s="27"/>
      <c r="AW151" s="27"/>
      <c r="AX151" s="27"/>
      <c r="AY151" s="27"/>
      <c r="AZ151" s="27"/>
      <c r="BA151" s="27"/>
      <c r="BB151" s="27"/>
      <c r="BC151" s="27"/>
      <c r="BD151" s="27"/>
      <c r="BE151" s="27"/>
      <c r="BF151" s="27"/>
      <c r="BG151" s="27"/>
      <c r="BH151" s="27"/>
      <c r="BI151" s="27"/>
      <c r="BJ151" s="27"/>
      <c r="BK151" s="27"/>
      <c r="BL151" s="27"/>
      <c r="BM151" s="125">
        <f>SUM(BM6:BM150)</f>
        <v>21316401</v>
      </c>
      <c r="BN151" s="125">
        <f>SUM(BN6:BN150)</f>
        <v>151798734</v>
      </c>
      <c r="BO151" s="27"/>
    </row>
    <row r="152" spans="1:67" x14ac:dyDescent="0.2">
      <c r="BN152" s="60"/>
    </row>
    <row r="153" spans="1:67" x14ac:dyDescent="0.2">
      <c r="BN153" s="59"/>
    </row>
  </sheetData>
  <autoFilter ref="A5:BP153" xr:uid="{3B6331AE-1BF0-471D-9CF9-DD0D960BC6F9}"/>
  <mergeCells count="32">
    <mergeCell ref="BG3:BO4"/>
    <mergeCell ref="AJ3:AK4"/>
    <mergeCell ref="AL3:AM4"/>
    <mergeCell ref="AR3:AR4"/>
    <mergeCell ref="AW3:AX4"/>
    <mergeCell ref="AY3:AZ4"/>
    <mergeCell ref="BA3:BB4"/>
    <mergeCell ref="AN3:AO4"/>
    <mergeCell ref="AP3:AQ4"/>
    <mergeCell ref="AS3:AT4"/>
    <mergeCell ref="AU3:AV4"/>
    <mergeCell ref="BC3:BD4"/>
    <mergeCell ref="A1:E1"/>
    <mergeCell ref="A2:E2"/>
    <mergeCell ref="A3:E4"/>
    <mergeCell ref="J3:K4"/>
    <mergeCell ref="L3:M4"/>
    <mergeCell ref="A151:D151"/>
    <mergeCell ref="N3:O4"/>
    <mergeCell ref="F3:G4"/>
    <mergeCell ref="H3:I4"/>
    <mergeCell ref="P3:Q4"/>
    <mergeCell ref="BE3:BF4"/>
    <mergeCell ref="R3:S4"/>
    <mergeCell ref="T3:U4"/>
    <mergeCell ref="V3:W4"/>
    <mergeCell ref="AH3:AI4"/>
    <mergeCell ref="X3:Y4"/>
    <mergeCell ref="Z3:AA4"/>
    <mergeCell ref="AB3:AC4"/>
    <mergeCell ref="AD3:AE4"/>
    <mergeCell ref="AF3:AG4"/>
  </mergeCells>
  <pageMargins left="0.7" right="0.7" top="0.75" bottom="0.75" header="0.3" footer="0.3"/>
  <ignoredErrors>
    <ignoredError sqref="BK138 BG22:BI22 BG139:BI139 BG135:BI135" formula="1"/>
    <ignoredError sqref="BH130 BH42" formulaRange="1"/>
  </ignoredErrors>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F27DB1-BD32-4ABB-B3DB-56E24FD299FE}">
  <dimension ref="A1:CZ106"/>
  <sheetViews>
    <sheetView topLeftCell="A3" zoomScale="60" zoomScaleNormal="60" workbookViewId="0">
      <pane xSplit="5" ySplit="2" topLeftCell="CP5" activePane="bottomRight" state="frozen"/>
      <selection activeCell="A3" sqref="A3"/>
      <selection pane="topRight" activeCell="F3" sqref="F3"/>
      <selection pane="bottomLeft" activeCell="A5" sqref="A5"/>
      <selection pane="bottomRight" activeCell="CS100" sqref="CS100"/>
    </sheetView>
  </sheetViews>
  <sheetFormatPr baseColWidth="10" defaultColWidth="11.5" defaultRowHeight="16" x14ac:dyDescent="0.2"/>
  <cols>
    <col min="1" max="1" width="9.6640625" style="95" customWidth="1"/>
    <col min="2" max="2" width="25.83203125" style="96" customWidth="1"/>
    <col min="3" max="3" width="40.6640625" style="8" customWidth="1"/>
    <col min="4" max="4" width="15.33203125" style="92" customWidth="1"/>
    <col min="5" max="5" width="17.33203125" style="9" customWidth="1"/>
    <col min="6" max="7" width="11.5" style="1" customWidth="1"/>
    <col min="8" max="8" width="19.6640625" style="1" customWidth="1"/>
    <col min="9" max="9" width="19.5" style="1" customWidth="1"/>
    <col min="10" max="11" width="11.5" style="1" customWidth="1"/>
    <col min="12" max="13" width="14.33203125" style="1" customWidth="1"/>
    <col min="14" max="14" width="19.6640625" style="1" customWidth="1"/>
    <col min="15" max="15" width="16.5" style="1" customWidth="1"/>
    <col min="16" max="16" width="27.83203125" style="1" customWidth="1"/>
    <col min="17" max="19" width="12" style="1" customWidth="1"/>
    <col min="20" max="21" width="11.5" style="1" customWidth="1"/>
    <col min="22" max="22" width="12.6640625" style="1" customWidth="1"/>
    <col min="23" max="23" width="13.33203125" style="1" customWidth="1"/>
    <col min="24" max="24" width="12.6640625" style="1" customWidth="1"/>
    <col min="25" max="25" width="13.33203125" style="1" customWidth="1"/>
    <col min="26" max="26" width="12.6640625" style="1" customWidth="1"/>
    <col min="27" max="27" width="13.33203125" style="1" customWidth="1"/>
    <col min="28" max="35" width="11.5" style="1" customWidth="1"/>
    <col min="36" max="36" width="15.6640625" style="1" customWidth="1"/>
    <col min="37" max="37" width="15.5" style="1" customWidth="1"/>
    <col min="38" max="38" width="15" style="1" customWidth="1"/>
    <col min="39" max="41" width="12.6640625" style="1" customWidth="1"/>
    <col min="42" max="42" width="15" style="1" customWidth="1"/>
    <col min="43" max="43" width="14" style="1" customWidth="1"/>
    <col min="44" max="44" width="14.6640625" style="1" customWidth="1"/>
    <col min="45" max="46" width="15.5" style="1" customWidth="1"/>
    <col min="47" max="47" width="18.33203125" style="1" customWidth="1"/>
    <col min="48" max="49" width="17.6640625" style="1" customWidth="1"/>
    <col min="50" max="50" width="18.33203125" style="1" customWidth="1"/>
    <col min="51" max="56" width="12.6640625" style="1" customWidth="1"/>
    <col min="57" max="57" width="17" style="1" customWidth="1"/>
    <col min="58" max="59" width="11.5" style="1" customWidth="1"/>
    <col min="60" max="60" width="18.33203125" style="1" bestFit="1" customWidth="1"/>
    <col min="61" max="61" width="12.6640625" style="1" customWidth="1"/>
    <col min="62" max="62" width="15" style="1" customWidth="1"/>
    <col min="63" max="70" width="12.6640625" style="1" customWidth="1"/>
    <col min="71" max="71" width="11.5" style="1" customWidth="1"/>
    <col min="72" max="77" width="11.6640625" style="1" customWidth="1"/>
    <col min="78" max="81" width="11.5" style="1" customWidth="1"/>
    <col min="82" max="82" width="22.6640625" style="1" customWidth="1"/>
    <col min="83" max="95" width="19.5" style="1" customWidth="1"/>
    <col min="96" max="96" width="17.83203125" style="1" bestFit="1" customWidth="1"/>
    <col min="97" max="97" width="18.5" style="1" bestFit="1" customWidth="1"/>
    <col min="98" max="98" width="17.83203125" style="1" bestFit="1" customWidth="1"/>
    <col min="99" max="99" width="11.5" style="1" customWidth="1"/>
    <col min="100" max="100" width="12.6640625" style="1" customWidth="1"/>
    <col min="101" max="101" width="11.6640625" style="1" customWidth="1"/>
    <col min="102" max="102" width="21.33203125" style="47" bestFit="1" customWidth="1"/>
    <col min="103" max="103" width="24.1640625" style="1" customWidth="1"/>
    <col min="104" max="104" width="23.6640625" style="1" customWidth="1"/>
    <col min="105" max="16384" width="11.5" style="1"/>
  </cols>
  <sheetData>
    <row r="1" spans="1:104" ht="15.5" customHeight="1" x14ac:dyDescent="0.2">
      <c r="A1" s="204" t="s">
        <v>0</v>
      </c>
      <c r="B1" s="205"/>
      <c r="C1" s="205"/>
      <c r="D1" s="205"/>
      <c r="E1" s="205"/>
    </row>
    <row r="2" spans="1:104" x14ac:dyDescent="0.2">
      <c r="A2" s="204" t="s">
        <v>1162</v>
      </c>
      <c r="B2" s="205"/>
      <c r="C2" s="205"/>
      <c r="D2" s="205"/>
      <c r="E2" s="205"/>
    </row>
    <row r="3" spans="1:104" ht="75" customHeight="1" x14ac:dyDescent="0.2">
      <c r="A3" s="199" t="s">
        <v>1161</v>
      </c>
      <c r="B3" s="200"/>
      <c r="C3" s="200"/>
      <c r="D3" s="200"/>
      <c r="E3" s="206"/>
      <c r="F3" s="207" t="s">
        <v>925</v>
      </c>
      <c r="G3" s="208"/>
      <c r="H3" s="209" t="s">
        <v>926</v>
      </c>
      <c r="I3" s="210"/>
      <c r="J3" s="202" t="s">
        <v>927</v>
      </c>
      <c r="K3" s="203"/>
      <c r="L3" s="212" t="s">
        <v>928</v>
      </c>
      <c r="M3" s="213"/>
      <c r="N3" s="214" t="s">
        <v>929</v>
      </c>
      <c r="O3" s="215"/>
      <c r="P3" s="216"/>
      <c r="Q3" s="207" t="s">
        <v>931</v>
      </c>
      <c r="R3" s="211"/>
      <c r="S3" s="208"/>
      <c r="T3" s="209" t="s">
        <v>932</v>
      </c>
      <c r="U3" s="208"/>
      <c r="V3" s="207" t="s">
        <v>933</v>
      </c>
      <c r="W3" s="208"/>
      <c r="X3" s="209" t="s">
        <v>934</v>
      </c>
      <c r="Y3" s="208"/>
      <c r="Z3" s="207" t="s">
        <v>935</v>
      </c>
      <c r="AA3" s="208"/>
      <c r="AB3" s="217" t="s">
        <v>922</v>
      </c>
      <c r="AC3" s="218"/>
      <c r="AD3" s="219" t="s">
        <v>936</v>
      </c>
      <c r="AE3" s="220"/>
      <c r="AF3" s="221" t="s">
        <v>937</v>
      </c>
      <c r="AG3" s="222"/>
      <c r="AH3" s="223" t="s">
        <v>938</v>
      </c>
      <c r="AI3" s="224"/>
      <c r="AJ3" s="207" t="s">
        <v>939</v>
      </c>
      <c r="AK3" s="211"/>
      <c r="AL3" s="208"/>
      <c r="AM3" s="209" t="s">
        <v>940</v>
      </c>
      <c r="AN3" s="226"/>
      <c r="AO3" s="208"/>
      <c r="AP3" s="207" t="s">
        <v>941</v>
      </c>
      <c r="AQ3" s="211"/>
      <c r="AR3" s="208"/>
      <c r="AS3" s="207" t="s">
        <v>943</v>
      </c>
      <c r="AT3" s="211"/>
      <c r="AU3" s="225"/>
      <c r="AV3" s="207" t="s">
        <v>944</v>
      </c>
      <c r="AW3" s="211"/>
      <c r="AX3" s="225"/>
      <c r="AY3" s="209" t="s">
        <v>946</v>
      </c>
      <c r="AZ3" s="226"/>
      <c r="BA3" s="208"/>
      <c r="BB3" s="207" t="s">
        <v>948</v>
      </c>
      <c r="BC3" s="211"/>
      <c r="BD3" s="225"/>
      <c r="BE3" s="49" t="s">
        <v>949</v>
      </c>
      <c r="BF3" s="209" t="s">
        <v>950</v>
      </c>
      <c r="BG3" s="208"/>
      <c r="BH3" s="209" t="s">
        <v>952</v>
      </c>
      <c r="BI3" s="226"/>
      <c r="BJ3" s="208"/>
      <c r="BK3" s="207" t="s">
        <v>951</v>
      </c>
      <c r="BL3" s="211"/>
      <c r="BM3" s="225"/>
      <c r="BN3" s="209" t="s">
        <v>953</v>
      </c>
      <c r="BO3" s="226"/>
      <c r="BP3" s="208"/>
      <c r="BQ3" s="207" t="s">
        <v>954</v>
      </c>
      <c r="BR3" s="211"/>
      <c r="BS3" s="225"/>
      <c r="BT3" s="243" t="s">
        <v>955</v>
      </c>
      <c r="BU3" s="244"/>
      <c r="BV3" s="234" t="s">
        <v>956</v>
      </c>
      <c r="BW3" s="235"/>
      <c r="BX3" s="191" t="s">
        <v>957</v>
      </c>
      <c r="BY3" s="236"/>
      <c r="BZ3" s="237" t="s">
        <v>958</v>
      </c>
      <c r="CA3" s="238"/>
      <c r="CB3" s="239" t="s">
        <v>959</v>
      </c>
      <c r="CC3" s="240"/>
      <c r="CD3" s="25" t="s">
        <v>993</v>
      </c>
      <c r="CE3" s="24" t="s">
        <v>994</v>
      </c>
      <c r="CF3" s="26" t="s">
        <v>995</v>
      </c>
      <c r="CG3" s="24" t="s">
        <v>1026</v>
      </c>
      <c r="CH3" s="26" t="s">
        <v>1025</v>
      </c>
      <c r="CI3" s="241" t="s">
        <v>1310</v>
      </c>
      <c r="CJ3" s="241"/>
      <c r="CK3" s="241"/>
      <c r="CL3" s="242" t="s">
        <v>1311</v>
      </c>
      <c r="CM3" s="242"/>
      <c r="CN3" s="242"/>
      <c r="CO3" s="227" t="s">
        <v>1312</v>
      </c>
      <c r="CP3" s="227"/>
      <c r="CQ3" s="228"/>
      <c r="CR3" s="229" t="s">
        <v>893</v>
      </c>
      <c r="CS3" s="230"/>
      <c r="CT3" s="230"/>
      <c r="CU3" s="230"/>
      <c r="CV3" s="230"/>
      <c r="CW3" s="230"/>
      <c r="CX3" s="230"/>
      <c r="CY3" s="230"/>
      <c r="CZ3" s="208"/>
    </row>
    <row r="4" spans="1:104" ht="84.75" customHeight="1" x14ac:dyDescent="0.2">
      <c r="A4" s="4" t="s">
        <v>1</v>
      </c>
      <c r="B4" s="52" t="s">
        <v>2</v>
      </c>
      <c r="C4" s="4" t="s">
        <v>3</v>
      </c>
      <c r="D4" s="4" t="s">
        <v>4</v>
      </c>
      <c r="E4" s="4" t="s">
        <v>889</v>
      </c>
      <c r="F4" s="18" t="s">
        <v>891</v>
      </c>
      <c r="G4" s="19" t="s">
        <v>907</v>
      </c>
      <c r="H4" s="18" t="s">
        <v>891</v>
      </c>
      <c r="I4" s="19" t="s">
        <v>907</v>
      </c>
      <c r="J4" s="18" t="s">
        <v>891</v>
      </c>
      <c r="K4" s="19" t="s">
        <v>907</v>
      </c>
      <c r="L4" s="18" t="s">
        <v>891</v>
      </c>
      <c r="M4" s="19" t="s">
        <v>907</v>
      </c>
      <c r="N4" s="53" t="s">
        <v>1038</v>
      </c>
      <c r="O4" s="53" t="s">
        <v>900</v>
      </c>
      <c r="P4" s="18" t="s">
        <v>1176</v>
      </c>
      <c r="Q4" s="53" t="s">
        <v>1038</v>
      </c>
      <c r="R4" s="53" t="s">
        <v>900</v>
      </c>
      <c r="S4" s="53" t="s">
        <v>1039</v>
      </c>
      <c r="T4" s="18" t="s">
        <v>891</v>
      </c>
      <c r="U4" s="19" t="s">
        <v>907</v>
      </c>
      <c r="V4" s="18" t="s">
        <v>891</v>
      </c>
      <c r="W4" s="19" t="s">
        <v>907</v>
      </c>
      <c r="X4" s="18" t="s">
        <v>891</v>
      </c>
      <c r="Y4" s="19" t="s">
        <v>907</v>
      </c>
      <c r="Z4" s="18" t="s">
        <v>891</v>
      </c>
      <c r="AA4" s="19" t="s">
        <v>907</v>
      </c>
      <c r="AB4" s="18" t="s">
        <v>891</v>
      </c>
      <c r="AC4" s="19" t="s">
        <v>907</v>
      </c>
      <c r="AD4" s="18" t="s">
        <v>891</v>
      </c>
      <c r="AE4" s="19" t="s">
        <v>907</v>
      </c>
      <c r="AF4" s="18" t="s">
        <v>891</v>
      </c>
      <c r="AG4" s="19" t="s">
        <v>907</v>
      </c>
      <c r="AH4" s="18" t="s">
        <v>891</v>
      </c>
      <c r="AI4" s="19" t="s">
        <v>907</v>
      </c>
      <c r="AJ4" s="53" t="s">
        <v>1038</v>
      </c>
      <c r="AK4" s="53" t="s">
        <v>900</v>
      </c>
      <c r="AL4" s="18" t="s">
        <v>1176</v>
      </c>
      <c r="AM4" s="53" t="s">
        <v>1038</v>
      </c>
      <c r="AN4" s="53" t="s">
        <v>900</v>
      </c>
      <c r="AO4" s="18" t="s">
        <v>1176</v>
      </c>
      <c r="AP4" s="53" t="s">
        <v>1038</v>
      </c>
      <c r="AQ4" s="53" t="s">
        <v>900</v>
      </c>
      <c r="AR4" s="18" t="s">
        <v>1176</v>
      </c>
      <c r="AS4" s="53" t="s">
        <v>1038</v>
      </c>
      <c r="AT4" s="53" t="s">
        <v>900</v>
      </c>
      <c r="AU4" s="18" t="s">
        <v>1176</v>
      </c>
      <c r="AV4" s="53" t="s">
        <v>1038</v>
      </c>
      <c r="AW4" s="53" t="s">
        <v>900</v>
      </c>
      <c r="AX4" s="18" t="s">
        <v>1176</v>
      </c>
      <c r="AY4" s="53" t="s">
        <v>1038</v>
      </c>
      <c r="AZ4" s="53" t="s">
        <v>900</v>
      </c>
      <c r="BA4" s="18" t="s">
        <v>1176</v>
      </c>
      <c r="BB4" s="53" t="s">
        <v>1038</v>
      </c>
      <c r="BC4" s="53" t="s">
        <v>900</v>
      </c>
      <c r="BD4" s="18" t="s">
        <v>1176</v>
      </c>
      <c r="BE4" s="18" t="s">
        <v>891</v>
      </c>
      <c r="BF4" s="18" t="s">
        <v>891</v>
      </c>
      <c r="BG4" s="19" t="s">
        <v>907</v>
      </c>
      <c r="BH4" s="53" t="s">
        <v>1038</v>
      </c>
      <c r="BI4" s="53" t="s">
        <v>900</v>
      </c>
      <c r="BJ4" s="18" t="s">
        <v>1176</v>
      </c>
      <c r="BK4" s="53" t="s">
        <v>1038</v>
      </c>
      <c r="BL4" s="53" t="s">
        <v>900</v>
      </c>
      <c r="BM4" s="18" t="s">
        <v>1176</v>
      </c>
      <c r="BN4" s="53" t="s">
        <v>1038</v>
      </c>
      <c r="BO4" s="53" t="s">
        <v>900</v>
      </c>
      <c r="BP4" s="18" t="s">
        <v>1176</v>
      </c>
      <c r="BQ4" s="53" t="s">
        <v>1038</v>
      </c>
      <c r="BR4" s="53" t="s">
        <v>900</v>
      </c>
      <c r="BS4" s="18" t="s">
        <v>1176</v>
      </c>
      <c r="BT4" s="18" t="s">
        <v>1177</v>
      </c>
      <c r="BU4" s="19" t="s">
        <v>907</v>
      </c>
      <c r="BV4" s="18" t="s">
        <v>1177</v>
      </c>
      <c r="BW4" s="19" t="s">
        <v>907</v>
      </c>
      <c r="BX4" s="18" t="s">
        <v>1177</v>
      </c>
      <c r="BY4" s="19" t="s">
        <v>907</v>
      </c>
      <c r="BZ4" s="18" t="s">
        <v>1177</v>
      </c>
      <c r="CA4" s="19" t="s">
        <v>907</v>
      </c>
      <c r="CB4" s="18" t="s">
        <v>1177</v>
      </c>
      <c r="CC4" s="19" t="s">
        <v>907</v>
      </c>
      <c r="CD4" s="18" t="s">
        <v>930</v>
      </c>
      <c r="CE4" s="18" t="s">
        <v>930</v>
      </c>
      <c r="CF4" s="18" t="s">
        <v>930</v>
      </c>
      <c r="CG4" s="18" t="s">
        <v>930</v>
      </c>
      <c r="CH4" s="18" t="s">
        <v>930</v>
      </c>
      <c r="CI4" s="53" t="s">
        <v>1038</v>
      </c>
      <c r="CJ4" s="53" t="s">
        <v>900</v>
      </c>
      <c r="CK4" s="18" t="s">
        <v>1176</v>
      </c>
      <c r="CL4" s="53" t="s">
        <v>1038</v>
      </c>
      <c r="CM4" s="53" t="s">
        <v>900</v>
      </c>
      <c r="CN4" s="18" t="s">
        <v>1176</v>
      </c>
      <c r="CO4" s="53" t="s">
        <v>1038</v>
      </c>
      <c r="CP4" s="53" t="s">
        <v>900</v>
      </c>
      <c r="CQ4" s="18" t="s">
        <v>1176</v>
      </c>
      <c r="CR4" s="36" t="s">
        <v>894</v>
      </c>
      <c r="CS4" s="36" t="s">
        <v>895</v>
      </c>
      <c r="CT4" s="36" t="s">
        <v>923</v>
      </c>
      <c r="CU4" s="40" t="s">
        <v>897</v>
      </c>
      <c r="CV4" s="41" t="s">
        <v>899</v>
      </c>
      <c r="CW4" s="41" t="s">
        <v>900</v>
      </c>
      <c r="CX4" s="39" t="s">
        <v>924</v>
      </c>
      <c r="CY4" s="39" t="s">
        <v>1048</v>
      </c>
      <c r="CZ4" s="41" t="s">
        <v>901</v>
      </c>
    </row>
    <row r="5" spans="1:104" ht="40.5" customHeight="1" x14ac:dyDescent="0.2">
      <c r="A5" s="129">
        <v>1</v>
      </c>
      <c r="B5" s="130" t="s">
        <v>867</v>
      </c>
      <c r="C5" s="110" t="s">
        <v>868</v>
      </c>
      <c r="D5" s="63" t="s">
        <v>232</v>
      </c>
      <c r="E5" s="63">
        <v>80</v>
      </c>
      <c r="F5" s="131"/>
      <c r="G5" s="132"/>
      <c r="H5" s="64">
        <v>83000</v>
      </c>
      <c r="I5" s="64">
        <f t="shared" ref="I5" si="0">(H5*5.1%)+H5</f>
        <v>87233</v>
      </c>
      <c r="J5" s="27"/>
      <c r="K5" s="27"/>
      <c r="L5" s="27"/>
      <c r="M5" s="27"/>
      <c r="N5" s="54">
        <f>75900/1.19</f>
        <v>63781.512605042022</v>
      </c>
      <c r="O5" s="54">
        <f>N5*19%</f>
        <v>12118.487394957985</v>
      </c>
      <c r="P5" s="54">
        <f>N5*1.36</f>
        <v>86742.857142857159</v>
      </c>
      <c r="Q5" s="27"/>
      <c r="R5" s="27"/>
      <c r="S5" s="27"/>
      <c r="T5" s="27"/>
      <c r="U5" s="27"/>
      <c r="V5" s="27"/>
      <c r="W5" s="27"/>
      <c r="X5" s="27"/>
      <c r="Y5" s="27"/>
      <c r="Z5" s="27"/>
      <c r="AA5" s="27"/>
      <c r="AB5" s="27"/>
      <c r="AC5" s="27"/>
      <c r="AD5" s="27"/>
      <c r="AE5" s="27"/>
      <c r="AF5" s="27"/>
      <c r="AG5" s="27"/>
      <c r="AH5" s="27"/>
      <c r="AI5" s="27"/>
      <c r="AJ5" s="27"/>
      <c r="AK5" s="27"/>
      <c r="AL5" s="27"/>
      <c r="AM5" s="27"/>
      <c r="AN5" s="27"/>
      <c r="AO5" s="27"/>
      <c r="AP5" s="27"/>
      <c r="AQ5" s="27"/>
      <c r="AR5" s="27"/>
      <c r="AS5" s="27"/>
      <c r="AT5" s="27"/>
      <c r="AU5" s="27"/>
      <c r="AV5" s="27"/>
      <c r="AW5" s="27"/>
      <c r="AX5" s="27"/>
      <c r="AY5" s="27"/>
      <c r="AZ5" s="27"/>
      <c r="BA5" s="27"/>
      <c r="BB5" s="27"/>
      <c r="BC5" s="27"/>
      <c r="BD5" s="27"/>
      <c r="BE5" s="27"/>
      <c r="BF5" s="27"/>
      <c r="BG5" s="27"/>
      <c r="BH5" s="27"/>
      <c r="BI5" s="27"/>
      <c r="BJ5" s="27"/>
      <c r="BK5" s="27"/>
      <c r="BL5" s="27"/>
      <c r="BM5" s="27"/>
      <c r="BN5" s="27"/>
      <c r="BO5" s="27"/>
      <c r="BP5" s="27"/>
      <c r="BQ5" s="27"/>
      <c r="BR5" s="27"/>
      <c r="BS5" s="27"/>
      <c r="BT5" s="27"/>
      <c r="BU5" s="27"/>
      <c r="BV5" s="27"/>
      <c r="BW5" s="27"/>
      <c r="BX5" s="27"/>
      <c r="BY5" s="27"/>
      <c r="BZ5" s="27"/>
      <c r="CA5" s="27"/>
      <c r="CB5" s="27"/>
      <c r="CC5" s="27"/>
      <c r="CD5" s="27"/>
      <c r="CE5" s="27"/>
      <c r="CF5" s="27"/>
      <c r="CG5" s="27"/>
      <c r="CH5" s="27"/>
      <c r="CI5" s="27"/>
      <c r="CJ5" s="27"/>
      <c r="CK5" s="27"/>
      <c r="CL5" s="27"/>
      <c r="CM5" s="27"/>
      <c r="CN5" s="27"/>
      <c r="CO5" s="27"/>
      <c r="CP5" s="27"/>
      <c r="CQ5" s="27"/>
      <c r="CR5" s="107">
        <f t="shared" ref="CR5:CR21" si="1">MEDIAN(G5,I5,K5,M5,P5,S5,U5,W5,Y5,AA5,AC5,AE5,AG5,AI5,AL5,AO5,AR5,AU5,AX5,BA5,BD5,BG5,BJ5,BM5,BP5,BS5,BU5,BW5,BY5,CA5,CC5,CD5,CE5,CF5,CG5,CH5,CK5,CN5,CQ5)</f>
        <v>86987.92857142858</v>
      </c>
      <c r="CS5" s="107">
        <f t="shared" ref="CS5:CS21" si="2">AVERAGE(G5,I5,K5,M5,P5,S5,U5,W5,Y5,AA5,AC5,AE5,AG5,AI5,AL5,AO5,AR5,AU5,AX5,BA5,BD5,BG5,BJ5,BM5,BP5,BS5,BU5,BW5,BY5,CA5,CC5,CD5,CE5,CF5,CG5,CH5,CK5,CN5,CQ5)</f>
        <v>86987.92857142858</v>
      </c>
      <c r="CT5" s="108">
        <f t="shared" ref="CT5:CT21" si="3">STDEV(G5,I5,K5,M5,P5,S5,U5,W5,Y5,AA5,AC5,AE5,AG5,AI5,AL5,AO5,AR5,AU5,AX5,BA5,BD5,BG5,BJ5,BM5,BP5,BS5,BU5,BW5,BY5,CA5,CC5,CD5,CE5,CF5,CG5,CH5,CK5,CN5,CQ5)</f>
        <v>346.58333803585174</v>
      </c>
      <c r="CU5" s="65">
        <f>CT5/CS5</f>
        <v>3.9842693546985782E-3</v>
      </c>
      <c r="CV5" s="66">
        <f>CX5/1.19</f>
        <v>73099.159663865546</v>
      </c>
      <c r="CW5" s="66">
        <f>CV5*19%</f>
        <v>13888.840336134454</v>
      </c>
      <c r="CX5" s="128">
        <f>ROUNDUP(IF(CU5&lt;15%,CS5,CR5),0)</f>
        <v>86988</v>
      </c>
      <c r="CY5" s="109">
        <f t="shared" ref="CY5:CY36" si="4">CX5*E5</f>
        <v>6959040</v>
      </c>
      <c r="CZ5" s="110" t="s">
        <v>903</v>
      </c>
    </row>
    <row r="6" spans="1:104" ht="36.75" customHeight="1" x14ac:dyDescent="0.2">
      <c r="A6" s="129">
        <v>2</v>
      </c>
      <c r="B6" s="133" t="s">
        <v>869</v>
      </c>
      <c r="C6" s="110" t="s">
        <v>1089</v>
      </c>
      <c r="D6" s="63" t="s">
        <v>239</v>
      </c>
      <c r="E6" s="63">
        <v>40</v>
      </c>
      <c r="F6" s="131"/>
      <c r="G6" s="132"/>
      <c r="H6" s="27"/>
      <c r="I6" s="27"/>
      <c r="J6" s="132"/>
      <c r="K6" s="134"/>
      <c r="L6" s="27"/>
      <c r="M6" s="27"/>
      <c r="N6" s="69">
        <f>189900/1.19</f>
        <v>159579.83193277312</v>
      </c>
      <c r="O6" s="69">
        <f>N6*19%</f>
        <v>30320.168067226892</v>
      </c>
      <c r="P6" s="69">
        <f>N6*1.36</f>
        <v>217028.57142857145</v>
      </c>
      <c r="Q6" s="27"/>
      <c r="R6" s="27"/>
      <c r="S6" s="27"/>
      <c r="T6" s="27"/>
      <c r="U6" s="27"/>
      <c r="V6" s="27"/>
      <c r="W6" s="27"/>
      <c r="X6" s="27"/>
      <c r="Y6" s="27"/>
      <c r="Z6" s="27"/>
      <c r="AA6" s="27"/>
      <c r="AB6" s="27"/>
      <c r="AC6" s="27"/>
      <c r="AD6" s="27"/>
      <c r="AE6" s="27"/>
      <c r="AF6" s="27"/>
      <c r="AG6" s="27"/>
      <c r="AH6" s="27"/>
      <c r="AI6" s="27"/>
      <c r="AJ6" s="27"/>
      <c r="AK6" s="27"/>
      <c r="AL6" s="27"/>
      <c r="AM6" s="27"/>
      <c r="AN6" s="27"/>
      <c r="AO6" s="27"/>
      <c r="AP6" s="69">
        <v>140252.10084033615</v>
      </c>
      <c r="AQ6" s="69">
        <f>AP6*19%</f>
        <v>26647.89915966387</v>
      </c>
      <c r="AR6" s="69">
        <f>AP6*1.36</f>
        <v>190742.85714285719</v>
      </c>
      <c r="AS6" s="27"/>
      <c r="AT6" s="27"/>
      <c r="AU6" s="27"/>
      <c r="AV6" s="27"/>
      <c r="AW6" s="27"/>
      <c r="AX6" s="27"/>
      <c r="AY6" s="27"/>
      <c r="AZ6" s="27"/>
      <c r="BA6" s="27"/>
      <c r="BB6" s="27"/>
      <c r="BC6" s="27"/>
      <c r="BD6" s="27"/>
      <c r="BE6" s="27"/>
      <c r="BF6" s="27"/>
      <c r="BG6" s="27"/>
      <c r="BH6" s="27"/>
      <c r="BI6" s="27"/>
      <c r="BJ6" s="27"/>
      <c r="BK6" s="27"/>
      <c r="BL6" s="27"/>
      <c r="BM6" s="27"/>
      <c r="BN6" s="27"/>
      <c r="BO6" s="27"/>
      <c r="BP6" s="27"/>
      <c r="BQ6" s="27"/>
      <c r="BR6" s="27"/>
      <c r="BS6" s="27"/>
      <c r="BT6" s="27"/>
      <c r="BU6" s="27"/>
      <c r="BV6" s="27"/>
      <c r="BW6" s="27"/>
      <c r="BX6" s="27"/>
      <c r="BY6" s="27"/>
      <c r="BZ6" s="27"/>
      <c r="CA6" s="27"/>
      <c r="CB6" s="27"/>
      <c r="CC6" s="27"/>
      <c r="CD6" s="27"/>
      <c r="CE6" s="27"/>
      <c r="CF6" s="27"/>
      <c r="CG6" s="27"/>
      <c r="CH6" s="27"/>
      <c r="CI6" s="27"/>
      <c r="CJ6" s="27"/>
      <c r="CK6" s="27"/>
      <c r="CL6" s="27"/>
      <c r="CM6" s="27"/>
      <c r="CN6" s="27"/>
      <c r="CO6" s="27"/>
      <c r="CP6" s="27"/>
      <c r="CQ6" s="27"/>
      <c r="CR6" s="107">
        <f t="shared" si="1"/>
        <v>203885.71428571432</v>
      </c>
      <c r="CS6" s="107">
        <f t="shared" si="2"/>
        <v>203885.71428571432</v>
      </c>
      <c r="CT6" s="108">
        <f t="shared" si="3"/>
        <v>18586.806819760659</v>
      </c>
      <c r="CU6" s="65">
        <f t="shared" ref="CU6:CU69" si="5">CT6/CS6</f>
        <v>9.1162869771808153E-2</v>
      </c>
      <c r="CV6" s="66">
        <f t="shared" ref="CV6:CV69" si="6">CX6/1.19</f>
        <v>171332.77310924372</v>
      </c>
      <c r="CW6" s="66">
        <f t="shared" ref="CW6:CW69" si="7">CV6*19%</f>
        <v>32553.226890756308</v>
      </c>
      <c r="CX6" s="128">
        <f t="shared" ref="CX6:CX69" si="8">ROUNDUP(IF(CU6&lt;15%,CS6,CR6),0)</f>
        <v>203886</v>
      </c>
      <c r="CY6" s="109">
        <f t="shared" si="4"/>
        <v>8155440</v>
      </c>
      <c r="CZ6" s="110" t="s">
        <v>903</v>
      </c>
    </row>
    <row r="7" spans="1:104" ht="29" customHeight="1" x14ac:dyDescent="0.2">
      <c r="A7" s="129">
        <v>3</v>
      </c>
      <c r="B7" s="62" t="s">
        <v>238</v>
      </c>
      <c r="C7" s="110" t="s">
        <v>1090</v>
      </c>
      <c r="D7" s="63" t="s">
        <v>239</v>
      </c>
      <c r="E7" s="63">
        <v>30</v>
      </c>
      <c r="F7" s="27"/>
      <c r="G7" s="27"/>
      <c r="H7" s="27"/>
      <c r="I7" s="27"/>
      <c r="J7" s="132"/>
      <c r="K7" s="134"/>
      <c r="L7" s="132"/>
      <c r="M7" s="132"/>
      <c r="N7" s="45">
        <f>289900/1.19</f>
        <v>243613.44537815129</v>
      </c>
      <c r="O7" s="45">
        <f>N7*19%</f>
        <v>46286.554621848743</v>
      </c>
      <c r="P7" s="45">
        <f>N7*1.36</f>
        <v>331314.2857142858</v>
      </c>
      <c r="Q7" s="27"/>
      <c r="R7" s="27"/>
      <c r="S7" s="27"/>
      <c r="T7" s="27"/>
      <c r="U7" s="27"/>
      <c r="V7" s="27"/>
      <c r="W7" s="27"/>
      <c r="X7" s="27"/>
      <c r="Y7" s="27"/>
      <c r="Z7" s="27"/>
      <c r="AA7" s="27"/>
      <c r="AB7" s="27"/>
      <c r="AC7" s="27"/>
      <c r="AD7" s="27"/>
      <c r="AE7" s="27"/>
      <c r="AF7" s="27"/>
      <c r="AG7" s="27"/>
      <c r="AH7" s="27"/>
      <c r="AI7" s="27"/>
      <c r="AJ7" s="27"/>
      <c r="AK7" s="27"/>
      <c r="AL7" s="27"/>
      <c r="AM7" s="27"/>
      <c r="AN7" s="27"/>
      <c r="AO7" s="27"/>
      <c r="AP7" s="69">
        <v>243613.44537815129</v>
      </c>
      <c r="AQ7" s="69">
        <f>AP7*19%</f>
        <v>46286.554621848743</v>
      </c>
      <c r="AR7" s="69">
        <f>AP7*1.36</f>
        <v>331314.2857142858</v>
      </c>
      <c r="AS7" s="27"/>
      <c r="AT7" s="27"/>
      <c r="AU7" s="27"/>
      <c r="AV7" s="27"/>
      <c r="AW7" s="27"/>
      <c r="AX7" s="27"/>
      <c r="AY7" s="27"/>
      <c r="AZ7" s="27"/>
      <c r="BA7" s="27"/>
      <c r="BB7" s="27"/>
      <c r="BC7" s="27"/>
      <c r="BD7" s="27"/>
      <c r="BE7" s="27"/>
      <c r="BF7" s="27"/>
      <c r="BG7" s="27"/>
      <c r="BH7" s="27"/>
      <c r="BI7" s="27"/>
      <c r="BJ7" s="27"/>
      <c r="BK7" s="27"/>
      <c r="BL7" s="27"/>
      <c r="BM7" s="27"/>
      <c r="BN7" s="27"/>
      <c r="BO7" s="27"/>
      <c r="BP7" s="27"/>
      <c r="BQ7" s="27"/>
      <c r="BR7" s="27"/>
      <c r="BS7" s="27"/>
      <c r="BT7" s="27"/>
      <c r="BU7" s="27"/>
      <c r="BV7" s="27"/>
      <c r="BW7" s="27"/>
      <c r="BX7" s="27"/>
      <c r="BY7" s="27"/>
      <c r="BZ7" s="27"/>
      <c r="CA7" s="27"/>
      <c r="CB7" s="27"/>
      <c r="CC7" s="27"/>
      <c r="CD7" s="27"/>
      <c r="CE7" s="27"/>
      <c r="CF7" s="27"/>
      <c r="CG7" s="27"/>
      <c r="CH7" s="27"/>
      <c r="CI7" s="27"/>
      <c r="CJ7" s="27"/>
      <c r="CK7" s="27"/>
      <c r="CL7" s="27"/>
      <c r="CM7" s="27"/>
      <c r="CN7" s="27"/>
      <c r="CO7" s="27"/>
      <c r="CP7" s="27"/>
      <c r="CQ7" s="27"/>
      <c r="CR7" s="107">
        <f t="shared" si="1"/>
        <v>331314.2857142858</v>
      </c>
      <c r="CS7" s="107">
        <f t="shared" si="2"/>
        <v>331314.2857142858</v>
      </c>
      <c r="CT7" s="108">
        <f t="shared" si="3"/>
        <v>0</v>
      </c>
      <c r="CU7" s="65">
        <f t="shared" si="5"/>
        <v>0</v>
      </c>
      <c r="CV7" s="66">
        <f>CX7/1.19</f>
        <v>278415.96638655465</v>
      </c>
      <c r="CW7" s="66">
        <f t="shared" si="7"/>
        <v>52899.033613445383</v>
      </c>
      <c r="CX7" s="128">
        <f t="shared" si="8"/>
        <v>331315</v>
      </c>
      <c r="CY7" s="109">
        <f t="shared" si="4"/>
        <v>9939450</v>
      </c>
      <c r="CZ7" s="110" t="s">
        <v>903</v>
      </c>
    </row>
    <row r="8" spans="1:104" ht="340" x14ac:dyDescent="0.2">
      <c r="A8" s="129">
        <v>4</v>
      </c>
      <c r="B8" s="62" t="s">
        <v>240</v>
      </c>
      <c r="C8" s="110" t="s">
        <v>1172</v>
      </c>
      <c r="D8" s="63" t="s">
        <v>232</v>
      </c>
      <c r="E8" s="63">
        <v>50</v>
      </c>
      <c r="F8" s="27"/>
      <c r="G8" s="27"/>
      <c r="H8" s="27"/>
      <c r="I8" s="27"/>
      <c r="J8" s="27"/>
      <c r="K8" s="27"/>
      <c r="L8" s="27"/>
      <c r="M8" s="27"/>
      <c r="N8" s="27"/>
      <c r="O8" s="27"/>
      <c r="P8" s="27"/>
      <c r="Q8" s="27"/>
      <c r="R8" s="27"/>
      <c r="S8" s="27"/>
      <c r="T8" s="27"/>
      <c r="U8" s="27"/>
      <c r="V8" s="27"/>
      <c r="W8" s="27"/>
      <c r="X8" s="27"/>
      <c r="Y8" s="27"/>
      <c r="Z8" s="27"/>
      <c r="AA8" s="27"/>
      <c r="AB8" s="27"/>
      <c r="AC8" s="27"/>
      <c r="AD8" s="27"/>
      <c r="AE8" s="27"/>
      <c r="AF8" s="27"/>
      <c r="AG8" s="27"/>
      <c r="AH8" s="27"/>
      <c r="AI8" s="27"/>
      <c r="AJ8" s="27"/>
      <c r="AK8" s="27"/>
      <c r="AL8" s="27"/>
      <c r="AM8" s="27"/>
      <c r="AN8" s="27"/>
      <c r="AO8" s="27"/>
      <c r="AP8" s="27"/>
      <c r="AQ8" s="27"/>
      <c r="AR8" s="27"/>
      <c r="AS8" s="27"/>
      <c r="AT8" s="27"/>
      <c r="AU8" s="27"/>
      <c r="AV8" s="27"/>
      <c r="AW8" s="27"/>
      <c r="AX8" s="27"/>
      <c r="AY8" s="27"/>
      <c r="AZ8" s="27"/>
      <c r="BA8" s="27"/>
      <c r="BB8" s="27"/>
      <c r="BC8" s="27"/>
      <c r="BD8" s="27"/>
      <c r="BE8" s="27"/>
      <c r="BF8" s="27"/>
      <c r="BG8" s="27"/>
      <c r="BH8" s="27"/>
      <c r="BI8" s="27"/>
      <c r="BJ8" s="27"/>
      <c r="BK8" s="27"/>
      <c r="BL8" s="27"/>
      <c r="BM8" s="27"/>
      <c r="BN8" s="27"/>
      <c r="BO8" s="27"/>
      <c r="BP8" s="27"/>
      <c r="BQ8" s="27"/>
      <c r="BR8" s="27"/>
      <c r="BS8" s="27"/>
      <c r="BT8" s="27"/>
      <c r="BU8" s="27"/>
      <c r="BV8" s="27"/>
      <c r="BW8" s="27"/>
      <c r="BX8" s="27"/>
      <c r="BY8" s="27"/>
      <c r="BZ8" s="27"/>
      <c r="CA8" s="27"/>
      <c r="CB8" s="27"/>
      <c r="CC8" s="27"/>
      <c r="CD8" s="27"/>
      <c r="CE8" s="54">
        <v>22746.15</v>
      </c>
      <c r="CF8" s="54">
        <v>17200</v>
      </c>
      <c r="CG8" s="45"/>
      <c r="CH8" s="45"/>
      <c r="CI8" s="45"/>
      <c r="CJ8" s="45"/>
      <c r="CK8" s="45"/>
      <c r="CL8" s="45"/>
      <c r="CM8" s="45"/>
      <c r="CN8" s="45"/>
      <c r="CO8" s="45"/>
      <c r="CP8" s="45"/>
      <c r="CQ8" s="45"/>
      <c r="CR8" s="107">
        <f t="shared" si="1"/>
        <v>19973.075000000001</v>
      </c>
      <c r="CS8" s="107">
        <f t="shared" si="2"/>
        <v>19973.075000000001</v>
      </c>
      <c r="CT8" s="108">
        <f t="shared" si="3"/>
        <v>3921.7202744777546</v>
      </c>
      <c r="CU8" s="65">
        <f t="shared" si="5"/>
        <v>0.19635035038309095</v>
      </c>
      <c r="CV8" s="66">
        <f t="shared" si="6"/>
        <v>16784.873949579833</v>
      </c>
      <c r="CW8" s="66">
        <f t="shared" si="7"/>
        <v>3189.1260504201682</v>
      </c>
      <c r="CX8" s="128">
        <f t="shared" si="8"/>
        <v>19974</v>
      </c>
      <c r="CY8" s="109">
        <f t="shared" si="4"/>
        <v>998700</v>
      </c>
      <c r="CZ8" s="110" t="s">
        <v>902</v>
      </c>
    </row>
    <row r="9" spans="1:104" ht="51" x14ac:dyDescent="0.2">
      <c r="A9" s="129">
        <v>5</v>
      </c>
      <c r="B9" s="62" t="s">
        <v>241</v>
      </c>
      <c r="C9" s="110" t="s">
        <v>242</v>
      </c>
      <c r="D9" s="63" t="s">
        <v>196</v>
      </c>
      <c r="E9" s="63">
        <v>300</v>
      </c>
      <c r="F9" s="27"/>
      <c r="G9" s="27"/>
      <c r="H9" s="27"/>
      <c r="I9" s="27"/>
      <c r="J9" s="27"/>
      <c r="K9" s="27"/>
      <c r="L9" s="27"/>
      <c r="M9" s="27"/>
      <c r="N9" s="27"/>
      <c r="O9" s="27"/>
      <c r="P9" s="27"/>
      <c r="Q9" s="27"/>
      <c r="R9" s="27"/>
      <c r="S9" s="27"/>
      <c r="T9" s="27"/>
      <c r="U9" s="27"/>
      <c r="V9" s="27"/>
      <c r="W9" s="27"/>
      <c r="X9" s="27"/>
      <c r="Y9" s="27"/>
      <c r="Z9" s="27"/>
      <c r="AA9" s="27"/>
      <c r="AB9" s="27"/>
      <c r="AC9" s="27"/>
      <c r="AD9" s="27"/>
      <c r="AE9" s="27"/>
      <c r="AF9" s="27"/>
      <c r="AG9" s="27"/>
      <c r="AH9" s="27"/>
      <c r="AI9" s="27"/>
      <c r="AJ9" s="27"/>
      <c r="AK9" s="27"/>
      <c r="AL9" s="27"/>
      <c r="AM9" s="27"/>
      <c r="AN9" s="27"/>
      <c r="AO9" s="27"/>
      <c r="AP9" s="27"/>
      <c r="AQ9" s="27"/>
      <c r="AR9" s="27"/>
      <c r="AS9" s="27"/>
      <c r="AT9" s="27"/>
      <c r="AU9" s="27"/>
      <c r="AV9" s="27"/>
      <c r="AW9" s="27"/>
      <c r="AX9" s="27"/>
      <c r="AY9" s="27"/>
      <c r="AZ9" s="27"/>
      <c r="BA9" s="27"/>
      <c r="BB9" s="27"/>
      <c r="BC9" s="27"/>
      <c r="BD9" s="27"/>
      <c r="BE9" s="27"/>
      <c r="BF9" s="27"/>
      <c r="BG9" s="27"/>
      <c r="BH9" s="27"/>
      <c r="BI9" s="27"/>
      <c r="BJ9" s="27"/>
      <c r="BK9" s="27"/>
      <c r="BL9" s="27"/>
      <c r="BM9" s="27"/>
      <c r="BN9" s="27"/>
      <c r="BO9" s="27"/>
      <c r="BP9" s="27"/>
      <c r="BQ9" s="27"/>
      <c r="BR9" s="27"/>
      <c r="BS9" s="27"/>
      <c r="BT9" s="27"/>
      <c r="BU9" s="27"/>
      <c r="BV9" s="27"/>
      <c r="BW9" s="27"/>
      <c r="BX9" s="27"/>
      <c r="BY9" s="27"/>
      <c r="BZ9" s="27"/>
      <c r="CA9" s="27"/>
      <c r="CB9" s="27"/>
      <c r="CC9" s="27"/>
      <c r="CD9" s="27"/>
      <c r="CE9" s="54">
        <v>18635.400000000001</v>
      </c>
      <c r="CF9" s="54"/>
      <c r="CG9" s="45">
        <v>20533.45</v>
      </c>
      <c r="CH9" s="45">
        <v>18300</v>
      </c>
      <c r="CI9" s="45"/>
      <c r="CJ9" s="45"/>
      <c r="CK9" s="45"/>
      <c r="CL9" s="45"/>
      <c r="CM9" s="45"/>
      <c r="CN9" s="45"/>
      <c r="CO9" s="45"/>
      <c r="CP9" s="45"/>
      <c r="CQ9" s="45"/>
      <c r="CR9" s="107">
        <f t="shared" si="1"/>
        <v>18635.400000000001</v>
      </c>
      <c r="CS9" s="107">
        <f t="shared" si="2"/>
        <v>19156.283333333336</v>
      </c>
      <c r="CT9" s="108">
        <f t="shared" si="3"/>
        <v>1204.393752405472</v>
      </c>
      <c r="CU9" s="65">
        <f t="shared" si="5"/>
        <v>6.2871995128080962E-2</v>
      </c>
      <c r="CV9" s="66">
        <f t="shared" si="6"/>
        <v>16098.319327731093</v>
      </c>
      <c r="CW9" s="66">
        <f t="shared" si="7"/>
        <v>3058.6806722689075</v>
      </c>
      <c r="CX9" s="128">
        <f t="shared" si="8"/>
        <v>19157</v>
      </c>
      <c r="CY9" s="109">
        <f t="shared" si="4"/>
        <v>5747100</v>
      </c>
      <c r="CZ9" s="110" t="s">
        <v>903</v>
      </c>
    </row>
    <row r="10" spans="1:104" ht="51" x14ac:dyDescent="0.2">
      <c r="A10" s="129">
        <v>6</v>
      </c>
      <c r="B10" s="62" t="s">
        <v>243</v>
      </c>
      <c r="C10" s="110" t="s">
        <v>244</v>
      </c>
      <c r="D10" s="63" t="s">
        <v>196</v>
      </c>
      <c r="E10" s="63">
        <v>300</v>
      </c>
      <c r="F10" s="27"/>
      <c r="G10" s="27"/>
      <c r="H10" s="27"/>
      <c r="I10" s="27"/>
      <c r="J10" s="27"/>
      <c r="K10" s="27"/>
      <c r="L10" s="27"/>
      <c r="M10" s="27"/>
      <c r="N10" s="45">
        <f>42900/1.19</f>
        <v>36050.420168067227</v>
      </c>
      <c r="O10" s="45">
        <f>N10*19%</f>
        <v>6849.5798319327732</v>
      </c>
      <c r="P10" s="45">
        <f>N10*1.36</f>
        <v>49028.571428571435</v>
      </c>
      <c r="Q10" s="27"/>
      <c r="R10" s="27"/>
      <c r="S10" s="27"/>
      <c r="T10" s="27"/>
      <c r="U10" s="27"/>
      <c r="V10" s="27"/>
      <c r="W10" s="27"/>
      <c r="X10" s="27"/>
      <c r="Y10" s="27"/>
      <c r="Z10" s="27"/>
      <c r="AA10" s="27"/>
      <c r="AB10" s="27"/>
      <c r="AC10" s="27"/>
      <c r="AD10" s="27"/>
      <c r="AE10" s="27"/>
      <c r="AF10" s="27"/>
      <c r="AG10" s="27"/>
      <c r="AH10" s="27"/>
      <c r="AI10" s="27"/>
      <c r="AJ10" s="27"/>
      <c r="AK10" s="27"/>
      <c r="AL10" s="27"/>
      <c r="AM10" s="27"/>
      <c r="AN10" s="27"/>
      <c r="AO10" s="27"/>
      <c r="AP10" s="69">
        <f>42900/1.19</f>
        <v>36050.420168067227</v>
      </c>
      <c r="AQ10" s="69">
        <f>AP10*19%</f>
        <v>6849.5798319327732</v>
      </c>
      <c r="AR10" s="69">
        <f>AP10*1.36</f>
        <v>49028.571428571435</v>
      </c>
      <c r="AS10" s="27"/>
      <c r="AT10" s="27"/>
      <c r="AU10" s="27"/>
      <c r="AV10" s="27"/>
      <c r="AW10" s="27"/>
      <c r="AX10" s="27"/>
      <c r="AY10" s="27"/>
      <c r="AZ10" s="27"/>
      <c r="BA10" s="27"/>
      <c r="BB10" s="27"/>
      <c r="BC10" s="27"/>
      <c r="BD10" s="27"/>
      <c r="BE10" s="27"/>
      <c r="BF10" s="27"/>
      <c r="BG10" s="27"/>
      <c r="BH10" s="27"/>
      <c r="BI10" s="27"/>
      <c r="BJ10" s="27"/>
      <c r="BK10" s="27"/>
      <c r="BL10" s="27"/>
      <c r="BM10" s="27"/>
      <c r="BN10" s="27"/>
      <c r="BO10" s="27"/>
      <c r="BP10" s="27"/>
      <c r="BQ10" s="27"/>
      <c r="BR10" s="27"/>
      <c r="BS10" s="27"/>
      <c r="BT10" s="27"/>
      <c r="BU10" s="27"/>
      <c r="BV10" s="27"/>
      <c r="BW10" s="27"/>
      <c r="BX10" s="27"/>
      <c r="BY10" s="27"/>
      <c r="BZ10" s="27"/>
      <c r="CA10" s="27"/>
      <c r="CB10" s="27"/>
      <c r="CC10" s="27"/>
      <c r="CD10" s="27"/>
      <c r="CE10" s="54"/>
      <c r="CF10" s="54"/>
      <c r="CG10" s="45"/>
      <c r="CH10" s="45"/>
      <c r="CI10" s="45"/>
      <c r="CJ10" s="45"/>
      <c r="CK10" s="45"/>
      <c r="CL10" s="45"/>
      <c r="CM10" s="45"/>
      <c r="CN10" s="45"/>
      <c r="CO10" s="45"/>
      <c r="CP10" s="45"/>
      <c r="CQ10" s="45"/>
      <c r="CR10" s="107">
        <f t="shared" si="1"/>
        <v>49028.571428571435</v>
      </c>
      <c r="CS10" s="107">
        <f t="shared" si="2"/>
        <v>49028.571428571435</v>
      </c>
      <c r="CT10" s="108">
        <f t="shared" si="3"/>
        <v>0</v>
      </c>
      <c r="CU10" s="65">
        <f t="shared" si="5"/>
        <v>0</v>
      </c>
      <c r="CV10" s="66">
        <f t="shared" si="6"/>
        <v>41200.840336134454</v>
      </c>
      <c r="CW10" s="66">
        <f t="shared" si="7"/>
        <v>7828.1596638655465</v>
      </c>
      <c r="CX10" s="128">
        <f t="shared" si="8"/>
        <v>49029</v>
      </c>
      <c r="CY10" s="109">
        <f t="shared" si="4"/>
        <v>14708700</v>
      </c>
      <c r="CZ10" s="110" t="s">
        <v>903</v>
      </c>
    </row>
    <row r="11" spans="1:104" s="68" customFormat="1" ht="51" x14ac:dyDescent="0.2">
      <c r="A11" s="129">
        <v>7</v>
      </c>
      <c r="B11" s="62" t="s">
        <v>245</v>
      </c>
      <c r="C11" s="110" t="s">
        <v>246</v>
      </c>
      <c r="D11" s="67" t="s">
        <v>196</v>
      </c>
      <c r="E11" s="63">
        <v>300</v>
      </c>
      <c r="F11" s="135"/>
      <c r="G11" s="135"/>
      <c r="H11" s="135"/>
      <c r="I11" s="135"/>
      <c r="J11" s="135"/>
      <c r="K11" s="135"/>
      <c r="L11" s="135"/>
      <c r="M11" s="135"/>
      <c r="N11" s="45">
        <f>21900/1.19</f>
        <v>18403.361344537814</v>
      </c>
      <c r="O11" s="45">
        <f>N11*19%</f>
        <v>3496.6386554621849</v>
      </c>
      <c r="P11" s="45">
        <f>N11*1.36</f>
        <v>25028.571428571428</v>
      </c>
      <c r="Q11" s="135"/>
      <c r="R11" s="135"/>
      <c r="S11" s="135"/>
      <c r="T11" s="135"/>
      <c r="U11" s="135"/>
      <c r="V11" s="135"/>
      <c r="W11" s="135"/>
      <c r="X11" s="135"/>
      <c r="Y11" s="135"/>
      <c r="Z11" s="135"/>
      <c r="AA11" s="135"/>
      <c r="AB11" s="135"/>
      <c r="AC11" s="135"/>
      <c r="AD11" s="135"/>
      <c r="AE11" s="135"/>
      <c r="AF11" s="135"/>
      <c r="AG11" s="135"/>
      <c r="AH11" s="135"/>
      <c r="AI11" s="135"/>
      <c r="AJ11" s="135"/>
      <c r="AK11" s="135"/>
      <c r="AL11" s="135"/>
      <c r="AM11" s="135"/>
      <c r="AN11" s="135"/>
      <c r="AO11" s="135"/>
      <c r="AP11" s="135"/>
      <c r="AQ11" s="135"/>
      <c r="AR11" s="135"/>
      <c r="AS11" s="135"/>
      <c r="AT11" s="135"/>
      <c r="AU11" s="135"/>
      <c r="AV11" s="135"/>
      <c r="AW11" s="135"/>
      <c r="AX11" s="135"/>
      <c r="AY11" s="135"/>
      <c r="AZ11" s="135"/>
      <c r="BA11" s="135"/>
      <c r="BB11" s="135"/>
      <c r="BC11" s="135"/>
      <c r="BD11" s="135"/>
      <c r="BE11" s="135"/>
      <c r="BF11" s="135"/>
      <c r="BG11" s="135"/>
      <c r="BH11" s="135"/>
      <c r="BI11" s="135"/>
      <c r="BJ11" s="135"/>
      <c r="BK11" s="135"/>
      <c r="BL11" s="135"/>
      <c r="BM11" s="135"/>
      <c r="BN11" s="135"/>
      <c r="BO11" s="135"/>
      <c r="BP11" s="135"/>
      <c r="BQ11" s="135"/>
      <c r="BR11" s="135"/>
      <c r="BS11" s="135"/>
      <c r="BT11" s="135"/>
      <c r="BU11" s="135"/>
      <c r="BV11" s="135"/>
      <c r="BW11" s="135"/>
      <c r="BX11" s="135"/>
      <c r="BY11" s="135"/>
      <c r="BZ11" s="135"/>
      <c r="CA11" s="135"/>
      <c r="CB11" s="135"/>
      <c r="CC11" s="135"/>
      <c r="CD11" s="135"/>
      <c r="CE11" s="54"/>
      <c r="CF11" s="54"/>
      <c r="CG11" s="45">
        <v>17701.25</v>
      </c>
      <c r="CH11" s="45"/>
      <c r="CI11" s="45"/>
      <c r="CJ11" s="45"/>
      <c r="CK11" s="45"/>
      <c r="CL11" s="45"/>
      <c r="CM11" s="45"/>
      <c r="CN11" s="45"/>
      <c r="CO11" s="45"/>
      <c r="CP11" s="45"/>
      <c r="CQ11" s="45"/>
      <c r="CR11" s="107">
        <f t="shared" si="1"/>
        <v>21364.910714285714</v>
      </c>
      <c r="CS11" s="107">
        <f t="shared" si="2"/>
        <v>21364.910714285714</v>
      </c>
      <c r="CT11" s="108">
        <f t="shared" si="3"/>
        <v>5181.1986700763637</v>
      </c>
      <c r="CU11" s="65">
        <f t="shared" si="5"/>
        <v>0.24250972725160697</v>
      </c>
      <c r="CV11" s="66">
        <f t="shared" si="6"/>
        <v>17953.781512605045</v>
      </c>
      <c r="CW11" s="66">
        <f t="shared" si="7"/>
        <v>3411.2184873949586</v>
      </c>
      <c r="CX11" s="128">
        <f t="shared" si="8"/>
        <v>21365</v>
      </c>
      <c r="CY11" s="109">
        <f t="shared" si="4"/>
        <v>6409500</v>
      </c>
      <c r="CZ11" s="110" t="s">
        <v>903</v>
      </c>
    </row>
    <row r="12" spans="1:104" ht="35.25" customHeight="1" x14ac:dyDescent="0.2">
      <c r="A12" s="129">
        <v>8</v>
      </c>
      <c r="B12" s="62" t="s">
        <v>247</v>
      </c>
      <c r="C12" s="110" t="s">
        <v>248</v>
      </c>
      <c r="D12" s="63" t="s">
        <v>188</v>
      </c>
      <c r="E12" s="63">
        <v>30</v>
      </c>
      <c r="F12" s="27"/>
      <c r="G12" s="27"/>
      <c r="H12" s="27"/>
      <c r="I12" s="27"/>
      <c r="J12" s="27"/>
      <c r="K12" s="27"/>
      <c r="L12" s="27"/>
      <c r="M12" s="27"/>
      <c r="N12" s="45">
        <f>38900/1.19</f>
        <v>32689.075630252104</v>
      </c>
      <c r="O12" s="45">
        <f>N12*19%</f>
        <v>6210.9243697478996</v>
      </c>
      <c r="P12" s="45">
        <f>N12*1.36</f>
        <v>44457.142857142862</v>
      </c>
      <c r="Q12" s="27"/>
      <c r="R12" s="27"/>
      <c r="S12" s="27"/>
      <c r="T12" s="27"/>
      <c r="U12" s="27"/>
      <c r="V12" s="27"/>
      <c r="W12" s="27"/>
      <c r="X12" s="27"/>
      <c r="Y12" s="27"/>
      <c r="Z12" s="27"/>
      <c r="AA12" s="27"/>
      <c r="AB12" s="27"/>
      <c r="AC12" s="27"/>
      <c r="AD12" s="27"/>
      <c r="AE12" s="27"/>
      <c r="AF12" s="27"/>
      <c r="AG12" s="27"/>
      <c r="AH12" s="27"/>
      <c r="AI12" s="27"/>
      <c r="AJ12" s="27"/>
      <c r="AK12" s="27"/>
      <c r="AL12" s="27"/>
      <c r="AM12" s="27"/>
      <c r="AN12" s="27"/>
      <c r="AO12" s="27"/>
      <c r="AP12" s="27"/>
      <c r="AQ12" s="27"/>
      <c r="AR12" s="27"/>
      <c r="AS12" s="27"/>
      <c r="AT12" s="27"/>
      <c r="AU12" s="27"/>
      <c r="AV12" s="27"/>
      <c r="AW12" s="27"/>
      <c r="AX12" s="27"/>
      <c r="AY12" s="27"/>
      <c r="AZ12" s="27"/>
      <c r="BA12" s="27"/>
      <c r="BB12" s="27"/>
      <c r="BC12" s="27"/>
      <c r="BD12" s="27"/>
      <c r="BE12" s="27"/>
      <c r="BF12" s="27"/>
      <c r="BG12" s="27"/>
      <c r="BH12" s="45">
        <f>59990/1.19</f>
        <v>50411.764705882357</v>
      </c>
      <c r="BI12" s="45">
        <f>BH12*19%</f>
        <v>9578.2352941176487</v>
      </c>
      <c r="BJ12" s="45">
        <f>BH12*1.36</f>
        <v>68560.000000000015</v>
      </c>
      <c r="BK12" s="27"/>
      <c r="BL12" s="27"/>
      <c r="BM12" s="27"/>
      <c r="BN12" s="27"/>
      <c r="BO12" s="27"/>
      <c r="BP12" s="27"/>
      <c r="BQ12" s="27"/>
      <c r="BR12" s="27"/>
      <c r="BS12" s="27"/>
      <c r="BT12" s="27"/>
      <c r="BU12" s="27"/>
      <c r="BV12" s="27"/>
      <c r="BW12" s="27"/>
      <c r="BX12" s="27"/>
      <c r="BY12" s="27"/>
      <c r="BZ12" s="27"/>
      <c r="CA12" s="27"/>
      <c r="CB12" s="27"/>
      <c r="CC12" s="27"/>
      <c r="CD12" s="27"/>
      <c r="CE12" s="54"/>
      <c r="CF12" s="54"/>
      <c r="CG12" s="45"/>
      <c r="CH12" s="45"/>
      <c r="CI12" s="45"/>
      <c r="CJ12" s="45"/>
      <c r="CK12" s="45"/>
      <c r="CL12" s="45"/>
      <c r="CM12" s="45"/>
      <c r="CN12" s="45"/>
      <c r="CO12" s="45"/>
      <c r="CP12" s="45"/>
      <c r="CQ12" s="45"/>
      <c r="CR12" s="107">
        <f t="shared" si="1"/>
        <v>56508.571428571435</v>
      </c>
      <c r="CS12" s="107">
        <f t="shared" si="2"/>
        <v>56508.571428571435</v>
      </c>
      <c r="CT12" s="108">
        <f t="shared" si="3"/>
        <v>17043.293731684938</v>
      </c>
      <c r="CU12" s="65">
        <f t="shared" si="5"/>
        <v>0.30160546092070623</v>
      </c>
      <c r="CV12" s="66">
        <f t="shared" si="6"/>
        <v>47486.554621848743</v>
      </c>
      <c r="CW12" s="66">
        <f t="shared" si="7"/>
        <v>9022.445378151262</v>
      </c>
      <c r="CX12" s="128">
        <f t="shared" si="8"/>
        <v>56509</v>
      </c>
      <c r="CY12" s="109">
        <f t="shared" si="4"/>
        <v>1695270</v>
      </c>
      <c r="CZ12" s="110" t="s">
        <v>903</v>
      </c>
    </row>
    <row r="13" spans="1:104" ht="43.5" customHeight="1" x14ac:dyDescent="0.2">
      <c r="A13" s="129">
        <v>9</v>
      </c>
      <c r="B13" s="130" t="s">
        <v>870</v>
      </c>
      <c r="C13" s="110" t="s">
        <v>871</v>
      </c>
      <c r="D13" s="63" t="s">
        <v>232</v>
      </c>
      <c r="E13" s="63">
        <v>50</v>
      </c>
      <c r="F13" s="27"/>
      <c r="G13" s="27"/>
      <c r="H13" s="27"/>
      <c r="I13" s="27"/>
      <c r="J13" s="27"/>
      <c r="K13" s="27"/>
      <c r="L13" s="27"/>
      <c r="M13" s="27"/>
      <c r="N13" s="45">
        <f>13900/1.19</f>
        <v>11680.672268907563</v>
      </c>
      <c r="O13" s="45">
        <f>N13*19%</f>
        <v>2219.3277310924368</v>
      </c>
      <c r="P13" s="45">
        <f>N13*1.36</f>
        <v>15885.714285714286</v>
      </c>
      <c r="Q13" s="27"/>
      <c r="R13" s="27"/>
      <c r="S13" s="27"/>
      <c r="T13" s="27"/>
      <c r="U13" s="27"/>
      <c r="V13" s="27"/>
      <c r="W13" s="27"/>
      <c r="X13" s="27"/>
      <c r="Y13" s="27"/>
      <c r="Z13" s="27"/>
      <c r="AA13" s="27"/>
      <c r="AB13" s="27"/>
      <c r="AC13" s="27"/>
      <c r="AD13" s="27"/>
      <c r="AE13" s="27"/>
      <c r="AF13" s="27"/>
      <c r="AG13" s="27"/>
      <c r="AH13" s="27"/>
      <c r="AI13" s="27"/>
      <c r="AJ13" s="27"/>
      <c r="AK13" s="27"/>
      <c r="AL13" s="27"/>
      <c r="AM13" s="27"/>
      <c r="AN13" s="27"/>
      <c r="AO13" s="27"/>
      <c r="AP13" s="27"/>
      <c r="AQ13" s="27"/>
      <c r="AR13" s="27"/>
      <c r="AS13" s="27"/>
      <c r="AT13" s="27"/>
      <c r="AU13" s="27"/>
      <c r="AV13" s="27"/>
      <c r="AW13" s="27"/>
      <c r="AX13" s="27"/>
      <c r="AY13" s="27"/>
      <c r="AZ13" s="27"/>
      <c r="BA13" s="27"/>
      <c r="BB13" s="27"/>
      <c r="BC13" s="27"/>
      <c r="BD13" s="27"/>
      <c r="BE13" s="27"/>
      <c r="BF13" s="27"/>
      <c r="BG13" s="27"/>
      <c r="BH13" s="45">
        <f>11900/1.19</f>
        <v>10000</v>
      </c>
      <c r="BI13" s="45">
        <f>BH13*19%</f>
        <v>1900</v>
      </c>
      <c r="BJ13" s="45">
        <f>BH13*1.36</f>
        <v>13600.000000000002</v>
      </c>
      <c r="BK13" s="27"/>
      <c r="BL13" s="27"/>
      <c r="BM13" s="27"/>
      <c r="BN13" s="27"/>
      <c r="BO13" s="27"/>
      <c r="BP13" s="27"/>
      <c r="BQ13" s="27"/>
      <c r="BR13" s="27"/>
      <c r="BS13" s="27"/>
      <c r="BT13" s="27"/>
      <c r="BU13" s="27"/>
      <c r="BV13" s="27"/>
      <c r="BW13" s="27"/>
      <c r="BX13" s="27"/>
      <c r="BY13" s="27"/>
      <c r="BZ13" s="27"/>
      <c r="CA13" s="27"/>
      <c r="CB13" s="27"/>
      <c r="CC13" s="27"/>
      <c r="CD13" s="27"/>
      <c r="CE13" s="27"/>
      <c r="CF13" s="27"/>
      <c r="CG13" s="27"/>
      <c r="CH13" s="27"/>
      <c r="CI13" s="27"/>
      <c r="CJ13" s="27"/>
      <c r="CK13" s="27"/>
      <c r="CL13" s="27"/>
      <c r="CM13" s="27"/>
      <c r="CN13" s="27"/>
      <c r="CO13" s="27"/>
      <c r="CP13" s="27"/>
      <c r="CQ13" s="27"/>
      <c r="CR13" s="107">
        <f t="shared" si="1"/>
        <v>14742.857142857145</v>
      </c>
      <c r="CS13" s="107">
        <f t="shared" si="2"/>
        <v>14742.857142857145</v>
      </c>
      <c r="CT13" s="108">
        <f t="shared" si="3"/>
        <v>1616.2440712835362</v>
      </c>
      <c r="CU13" s="65">
        <f t="shared" si="5"/>
        <v>0.10962895832349566</v>
      </c>
      <c r="CV13" s="66">
        <f t="shared" si="6"/>
        <v>12389.075630252102</v>
      </c>
      <c r="CW13" s="66">
        <f t="shared" si="7"/>
        <v>2353.9243697478996</v>
      </c>
      <c r="CX13" s="128">
        <f t="shared" si="8"/>
        <v>14743</v>
      </c>
      <c r="CY13" s="109">
        <f t="shared" si="4"/>
        <v>737150</v>
      </c>
      <c r="CZ13" s="110" t="s">
        <v>902</v>
      </c>
    </row>
    <row r="14" spans="1:104" s="92" customFormat="1" ht="51" x14ac:dyDescent="0.2">
      <c r="A14" s="129">
        <v>10</v>
      </c>
      <c r="B14" s="130" t="s">
        <v>872</v>
      </c>
      <c r="C14" s="110" t="s">
        <v>1313</v>
      </c>
      <c r="D14" s="63" t="s">
        <v>249</v>
      </c>
      <c r="E14" s="63">
        <v>150</v>
      </c>
      <c r="F14" s="136"/>
      <c r="G14" s="136"/>
      <c r="H14" s="136"/>
      <c r="I14" s="136"/>
      <c r="J14" s="132"/>
      <c r="K14" s="134"/>
      <c r="L14" s="136"/>
      <c r="M14" s="136"/>
      <c r="N14" s="45">
        <f>14900/1.19</f>
        <v>12521.008403361346</v>
      </c>
      <c r="O14" s="45">
        <f>N14*19%</f>
        <v>2378.9915966386557</v>
      </c>
      <c r="P14" s="45">
        <f>N14*1.36</f>
        <v>17028.571428571431</v>
      </c>
      <c r="Q14" s="136"/>
      <c r="R14" s="136"/>
      <c r="S14" s="136"/>
      <c r="T14" s="136"/>
      <c r="U14" s="136"/>
      <c r="V14" s="136"/>
      <c r="W14" s="136"/>
      <c r="X14" s="136"/>
      <c r="Y14" s="136"/>
      <c r="Z14" s="136"/>
      <c r="AA14" s="136"/>
      <c r="AB14" s="136"/>
      <c r="AC14" s="136"/>
      <c r="AD14" s="136"/>
      <c r="AE14" s="136"/>
      <c r="AF14" s="136"/>
      <c r="AG14" s="136"/>
      <c r="AH14" s="136"/>
      <c r="AI14" s="136"/>
      <c r="AJ14" s="136"/>
      <c r="AK14" s="136"/>
      <c r="AL14" s="136"/>
      <c r="AM14" s="136"/>
      <c r="AN14" s="136"/>
      <c r="AO14" s="136"/>
      <c r="AP14" s="136"/>
      <c r="AQ14" s="136"/>
      <c r="AR14" s="136"/>
      <c r="AS14" s="136"/>
      <c r="AT14" s="136"/>
      <c r="AU14" s="136"/>
      <c r="AV14" s="136"/>
      <c r="AW14" s="136"/>
      <c r="AX14" s="136"/>
      <c r="AY14" s="136"/>
      <c r="AZ14" s="136"/>
      <c r="BA14" s="136"/>
      <c r="BB14" s="136"/>
      <c r="BC14" s="136"/>
      <c r="BD14" s="136"/>
      <c r="BE14" s="136"/>
      <c r="BF14" s="136"/>
      <c r="BG14" s="136"/>
      <c r="BH14" s="45">
        <f>11990/1.19</f>
        <v>10075.63025210084</v>
      </c>
      <c r="BI14" s="45">
        <f>BH14*19%</f>
        <v>1914.3697478991596</v>
      </c>
      <c r="BJ14" s="45">
        <f>BH14*1.36</f>
        <v>13702.857142857143</v>
      </c>
      <c r="BK14" s="136"/>
      <c r="BL14" s="136"/>
      <c r="BM14" s="136"/>
      <c r="BN14" s="136"/>
      <c r="BO14" s="136"/>
      <c r="BP14" s="136"/>
      <c r="BQ14" s="136"/>
      <c r="BR14" s="136"/>
      <c r="BS14" s="136"/>
      <c r="BT14" s="136"/>
      <c r="BU14" s="136"/>
      <c r="BV14" s="136"/>
      <c r="BW14" s="136"/>
      <c r="BX14" s="136"/>
      <c r="BY14" s="136"/>
      <c r="BZ14" s="136"/>
      <c r="CA14" s="136"/>
      <c r="CB14" s="136"/>
      <c r="CC14" s="136"/>
      <c r="CD14" s="136"/>
      <c r="CE14" s="136"/>
      <c r="CF14" s="136"/>
      <c r="CG14" s="136"/>
      <c r="CH14" s="136"/>
      <c r="CI14" s="136"/>
      <c r="CJ14" s="136"/>
      <c r="CK14" s="136"/>
      <c r="CL14" s="136"/>
      <c r="CM14" s="136"/>
      <c r="CN14" s="136"/>
      <c r="CO14" s="136"/>
      <c r="CP14" s="136"/>
      <c r="CQ14" s="136"/>
      <c r="CR14" s="107">
        <f t="shared" si="1"/>
        <v>15365.714285714286</v>
      </c>
      <c r="CS14" s="107">
        <f t="shared" si="2"/>
        <v>15365.714285714286</v>
      </c>
      <c r="CT14" s="108">
        <f t="shared" si="3"/>
        <v>2351.6351237175586</v>
      </c>
      <c r="CU14" s="65">
        <f t="shared" si="5"/>
        <v>0.15304430890686974</v>
      </c>
      <c r="CV14" s="66">
        <f t="shared" si="6"/>
        <v>12912.605042016807</v>
      </c>
      <c r="CW14" s="66">
        <f t="shared" si="7"/>
        <v>2453.3949579831933</v>
      </c>
      <c r="CX14" s="128">
        <f t="shared" si="8"/>
        <v>15366</v>
      </c>
      <c r="CY14" s="109">
        <f t="shared" si="4"/>
        <v>2304900</v>
      </c>
      <c r="CZ14" s="110" t="s">
        <v>902</v>
      </c>
    </row>
    <row r="15" spans="1:104" ht="51" x14ac:dyDescent="0.2">
      <c r="A15" s="129">
        <v>11</v>
      </c>
      <c r="B15" s="130" t="s">
        <v>1091</v>
      </c>
      <c r="C15" s="110" t="s">
        <v>1092</v>
      </c>
      <c r="D15" s="63" t="s">
        <v>196</v>
      </c>
      <c r="E15" s="63">
        <v>60</v>
      </c>
      <c r="F15" s="27"/>
      <c r="G15" s="27"/>
      <c r="H15" s="27"/>
      <c r="I15" s="27"/>
      <c r="J15" s="27"/>
      <c r="K15" s="27"/>
      <c r="L15" s="27"/>
      <c r="M15" s="27"/>
      <c r="N15" s="27"/>
      <c r="O15" s="27"/>
      <c r="P15" s="27"/>
      <c r="Q15" s="27"/>
      <c r="R15" s="27"/>
      <c r="S15" s="27"/>
      <c r="T15" s="27"/>
      <c r="U15" s="27"/>
      <c r="V15" s="27"/>
      <c r="W15" s="27"/>
      <c r="X15" s="27"/>
      <c r="Y15" s="27"/>
      <c r="Z15" s="27"/>
      <c r="AA15" s="27"/>
      <c r="AB15" s="27"/>
      <c r="AC15" s="27"/>
      <c r="AD15" s="27"/>
      <c r="AE15" s="27"/>
      <c r="AF15" s="27"/>
      <c r="AG15" s="27"/>
      <c r="AH15" s="27"/>
      <c r="AI15" s="27"/>
      <c r="AJ15" s="27"/>
      <c r="AK15" s="27"/>
      <c r="AL15" s="27"/>
      <c r="AM15" s="27"/>
      <c r="AN15" s="27"/>
      <c r="AO15" s="27"/>
      <c r="AP15" s="27"/>
      <c r="AQ15" s="27"/>
      <c r="AR15" s="27"/>
      <c r="AS15" s="27"/>
      <c r="AT15" s="27"/>
      <c r="AU15" s="27"/>
      <c r="AV15" s="27"/>
      <c r="AW15" s="27"/>
      <c r="AX15" s="27"/>
      <c r="AY15" s="27"/>
      <c r="AZ15" s="27"/>
      <c r="BA15" s="27"/>
      <c r="BB15" s="27"/>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27"/>
      <c r="CB15" s="27"/>
      <c r="CC15" s="27"/>
      <c r="CD15" s="27"/>
      <c r="CE15" s="27"/>
      <c r="CF15" s="27"/>
      <c r="CG15" s="45">
        <v>23000</v>
      </c>
      <c r="CH15" s="27">
        <v>22000</v>
      </c>
      <c r="CI15" s="27"/>
      <c r="CJ15" s="27"/>
      <c r="CK15" s="27"/>
      <c r="CL15" s="27"/>
      <c r="CM15" s="27"/>
      <c r="CN15" s="27"/>
      <c r="CO15" s="27"/>
      <c r="CP15" s="27"/>
      <c r="CQ15" s="27"/>
      <c r="CR15" s="107">
        <f t="shared" si="1"/>
        <v>22500</v>
      </c>
      <c r="CS15" s="107">
        <f t="shared" si="2"/>
        <v>22500</v>
      </c>
      <c r="CT15" s="108">
        <f t="shared" si="3"/>
        <v>707.10678118654755</v>
      </c>
      <c r="CU15" s="65">
        <f t="shared" si="5"/>
        <v>3.1426968052735448E-2</v>
      </c>
      <c r="CV15" s="66">
        <f t="shared" si="6"/>
        <v>18907.563025210085</v>
      </c>
      <c r="CW15" s="66">
        <f t="shared" si="7"/>
        <v>3592.4369747899163</v>
      </c>
      <c r="CX15" s="128">
        <f>ROUNDUP(IF(CU15&lt;15%,CS15,CR15),0)</f>
        <v>22500</v>
      </c>
      <c r="CY15" s="109">
        <f t="shared" si="4"/>
        <v>1350000</v>
      </c>
      <c r="CZ15" s="110" t="s">
        <v>903</v>
      </c>
    </row>
    <row r="16" spans="1:104" ht="51" x14ac:dyDescent="0.2">
      <c r="A16" s="129">
        <v>12</v>
      </c>
      <c r="B16" s="62" t="s">
        <v>250</v>
      </c>
      <c r="C16" s="110" t="s">
        <v>883</v>
      </c>
      <c r="D16" s="63" t="s">
        <v>317</v>
      </c>
      <c r="E16" s="63">
        <v>40</v>
      </c>
      <c r="F16" s="27"/>
      <c r="G16" s="27"/>
      <c r="H16" s="27"/>
      <c r="I16" s="27"/>
      <c r="J16" s="27"/>
      <c r="K16" s="27"/>
      <c r="L16" s="27"/>
      <c r="M16" s="27"/>
      <c r="N16" s="69">
        <f>63900/1.19</f>
        <v>53697.478991596639</v>
      </c>
      <c r="O16" s="69">
        <f>N16*19%</f>
        <v>10202.521008403362</v>
      </c>
      <c r="P16" s="69">
        <f>(N16*1.17)+O16</f>
        <v>73028.571428571435</v>
      </c>
      <c r="Q16" s="69">
        <v>65714.28571428571</v>
      </c>
      <c r="R16" s="69">
        <f>Q16*19%</f>
        <v>12485.714285714284</v>
      </c>
      <c r="S16" s="69">
        <f>(Q16*1.17)+R16</f>
        <v>89371.428571428565</v>
      </c>
      <c r="T16" s="27"/>
      <c r="U16" s="27"/>
      <c r="V16" s="27"/>
      <c r="W16" s="27"/>
      <c r="X16" s="27"/>
      <c r="Y16" s="27"/>
      <c r="Z16" s="27"/>
      <c r="AA16" s="27"/>
      <c r="AB16" s="27"/>
      <c r="AC16" s="27"/>
      <c r="AD16" s="27"/>
      <c r="AE16" s="27"/>
      <c r="AF16" s="27"/>
      <c r="AG16" s="27"/>
      <c r="AH16" s="27"/>
      <c r="AI16" s="27"/>
      <c r="AJ16" s="27"/>
      <c r="AK16" s="27"/>
      <c r="AL16" s="27"/>
      <c r="AM16" s="27"/>
      <c r="AN16" s="27"/>
      <c r="AO16" s="27"/>
      <c r="AP16" s="27"/>
      <c r="AQ16" s="27"/>
      <c r="AR16" s="27"/>
      <c r="AS16" s="27"/>
      <c r="AT16" s="27"/>
      <c r="AU16" s="27"/>
      <c r="AV16" s="27"/>
      <c r="AW16" s="27"/>
      <c r="AX16" s="27"/>
      <c r="AY16" s="27"/>
      <c r="AZ16" s="27"/>
      <c r="BA16" s="27"/>
      <c r="BB16" s="27"/>
      <c r="BC16" s="27"/>
      <c r="BD16" s="27"/>
      <c r="BE16" s="27"/>
      <c r="BF16" s="27"/>
      <c r="BG16" s="27"/>
      <c r="BH16" s="27"/>
      <c r="BI16" s="27"/>
      <c r="BJ16" s="27"/>
      <c r="BK16" s="27"/>
      <c r="BL16" s="27"/>
      <c r="BM16" s="27"/>
      <c r="BN16" s="27"/>
      <c r="BO16" s="27"/>
      <c r="BP16" s="27"/>
      <c r="BQ16" s="27"/>
      <c r="BR16" s="27"/>
      <c r="BS16" s="27"/>
      <c r="BT16" s="27"/>
      <c r="BU16" s="27"/>
      <c r="BV16" s="27"/>
      <c r="BW16" s="27"/>
      <c r="BX16" s="27"/>
      <c r="BY16" s="27"/>
      <c r="BZ16" s="27"/>
      <c r="CA16" s="27"/>
      <c r="CB16" s="27"/>
      <c r="CC16" s="27"/>
      <c r="CD16" s="27"/>
      <c r="CE16" s="27"/>
      <c r="CF16" s="27"/>
      <c r="CG16" s="27"/>
      <c r="CH16" s="27"/>
      <c r="CI16" s="27"/>
      <c r="CJ16" s="27"/>
      <c r="CK16" s="27"/>
      <c r="CL16" s="27"/>
      <c r="CM16" s="27"/>
      <c r="CN16" s="27"/>
      <c r="CO16" s="27"/>
      <c r="CP16" s="27"/>
      <c r="CQ16" s="27"/>
      <c r="CR16" s="107">
        <f t="shared" si="1"/>
        <v>81200</v>
      </c>
      <c r="CS16" s="107">
        <f t="shared" si="2"/>
        <v>81200</v>
      </c>
      <c r="CT16" s="108">
        <f t="shared" si="3"/>
        <v>11556.145109677254</v>
      </c>
      <c r="CU16" s="65">
        <f t="shared" si="5"/>
        <v>0.1423170580009514</v>
      </c>
      <c r="CV16" s="66">
        <f t="shared" si="6"/>
        <v>68235.294117647063</v>
      </c>
      <c r="CW16" s="66">
        <f t="shared" si="7"/>
        <v>12964.705882352942</v>
      </c>
      <c r="CX16" s="128">
        <f t="shared" si="8"/>
        <v>81200</v>
      </c>
      <c r="CY16" s="109">
        <f t="shared" si="4"/>
        <v>3248000</v>
      </c>
      <c r="CZ16" s="110" t="s">
        <v>903</v>
      </c>
    </row>
    <row r="17" spans="1:104" ht="51" x14ac:dyDescent="0.2">
      <c r="A17" s="129">
        <v>13</v>
      </c>
      <c r="B17" s="62" t="s">
        <v>251</v>
      </c>
      <c r="C17" s="110" t="s">
        <v>252</v>
      </c>
      <c r="D17" s="63" t="s">
        <v>232</v>
      </c>
      <c r="E17" s="63">
        <v>30</v>
      </c>
      <c r="F17" s="27"/>
      <c r="G17" s="27"/>
      <c r="H17" s="27"/>
      <c r="I17" s="27"/>
      <c r="J17" s="27"/>
      <c r="K17" s="27"/>
      <c r="L17" s="27"/>
      <c r="M17" s="27"/>
      <c r="N17" s="27"/>
      <c r="O17" s="27"/>
      <c r="P17" s="27"/>
      <c r="Q17" s="27"/>
      <c r="R17" s="27"/>
      <c r="S17" s="27"/>
      <c r="T17" s="27"/>
      <c r="U17" s="27"/>
      <c r="V17" s="27"/>
      <c r="W17" s="27"/>
      <c r="X17" s="27"/>
      <c r="Y17" s="27"/>
      <c r="Z17" s="27"/>
      <c r="AA17" s="27"/>
      <c r="AB17" s="27"/>
      <c r="AC17" s="27"/>
      <c r="AD17" s="27"/>
      <c r="AE17" s="27"/>
      <c r="AF17" s="27"/>
      <c r="AG17" s="27"/>
      <c r="AH17" s="27"/>
      <c r="AI17" s="27"/>
      <c r="AJ17" s="27"/>
      <c r="AK17" s="27"/>
      <c r="AL17" s="27"/>
      <c r="AM17" s="27"/>
      <c r="AN17" s="27"/>
      <c r="AO17" s="27"/>
      <c r="AP17" s="27"/>
      <c r="AQ17" s="27"/>
      <c r="AR17" s="27"/>
      <c r="AS17" s="27"/>
      <c r="AT17" s="27"/>
      <c r="AU17" s="27"/>
      <c r="AV17" s="27"/>
      <c r="AW17" s="27"/>
      <c r="AX17" s="27"/>
      <c r="AY17" s="27"/>
      <c r="AZ17" s="27"/>
      <c r="BA17" s="27"/>
      <c r="BB17" s="27"/>
      <c r="BC17" s="27"/>
      <c r="BD17" s="27"/>
      <c r="BE17" s="27"/>
      <c r="BF17" s="27"/>
      <c r="BG17" s="27"/>
      <c r="BH17" s="27"/>
      <c r="BI17" s="27"/>
      <c r="BJ17" s="27"/>
      <c r="BK17" s="27"/>
      <c r="BL17" s="27"/>
      <c r="BM17" s="27"/>
      <c r="BN17" s="27"/>
      <c r="BO17" s="27"/>
      <c r="BP17" s="27"/>
      <c r="BQ17" s="27"/>
      <c r="BR17" s="27"/>
      <c r="BS17" s="27"/>
      <c r="BT17" s="27"/>
      <c r="BU17" s="27"/>
      <c r="BV17" s="27"/>
      <c r="BW17" s="27"/>
      <c r="BX17" s="27"/>
      <c r="BY17" s="27"/>
      <c r="BZ17" s="27"/>
      <c r="CA17" s="27"/>
      <c r="CB17" s="27"/>
      <c r="CC17" s="27"/>
      <c r="CD17" s="27"/>
      <c r="CE17" s="54"/>
      <c r="CF17" s="54"/>
      <c r="CG17" s="45">
        <v>53811.799999999996</v>
      </c>
      <c r="CH17" s="45">
        <v>51100</v>
      </c>
      <c r="CI17" s="45"/>
      <c r="CJ17" s="45"/>
      <c r="CK17" s="45"/>
      <c r="CL17" s="45"/>
      <c r="CM17" s="45"/>
      <c r="CN17" s="45"/>
      <c r="CO17" s="45"/>
      <c r="CP17" s="45"/>
      <c r="CQ17" s="45"/>
      <c r="CR17" s="107">
        <f t="shared" si="1"/>
        <v>52455.899999999994</v>
      </c>
      <c r="CS17" s="107">
        <f t="shared" si="2"/>
        <v>52455.899999999994</v>
      </c>
      <c r="CT17" s="108">
        <f t="shared" si="3"/>
        <v>1917.5321692216764</v>
      </c>
      <c r="CU17" s="65">
        <f t="shared" si="5"/>
        <v>3.6555128578895354E-2</v>
      </c>
      <c r="CV17" s="66">
        <f t="shared" si="6"/>
        <v>44080.672268907561</v>
      </c>
      <c r="CW17" s="66">
        <f t="shared" si="7"/>
        <v>8375.3277310924368</v>
      </c>
      <c r="CX17" s="128">
        <f t="shared" si="8"/>
        <v>52456</v>
      </c>
      <c r="CY17" s="109">
        <f t="shared" si="4"/>
        <v>1573680</v>
      </c>
      <c r="CZ17" s="110" t="s">
        <v>903</v>
      </c>
    </row>
    <row r="18" spans="1:104" ht="51" x14ac:dyDescent="0.2">
      <c r="A18" s="129">
        <v>14</v>
      </c>
      <c r="B18" s="62" t="s">
        <v>253</v>
      </c>
      <c r="C18" s="110" t="s">
        <v>827</v>
      </c>
      <c r="D18" s="63" t="s">
        <v>1093</v>
      </c>
      <c r="E18" s="63">
        <v>50</v>
      </c>
      <c r="F18" s="54"/>
      <c r="G18" s="54"/>
      <c r="H18" s="54"/>
      <c r="I18" s="54"/>
      <c r="J18" s="54"/>
      <c r="K18" s="54"/>
      <c r="L18" s="54"/>
      <c r="M18" s="54"/>
      <c r="N18" s="54"/>
      <c r="O18" s="54"/>
      <c r="P18" s="54"/>
      <c r="Q18" s="54"/>
      <c r="R18" s="54"/>
      <c r="S18" s="54"/>
      <c r="T18" s="54"/>
      <c r="U18" s="54"/>
      <c r="V18" s="54"/>
      <c r="W18" s="54"/>
      <c r="X18" s="54"/>
      <c r="Y18" s="54"/>
      <c r="Z18" s="54"/>
      <c r="AA18" s="54"/>
      <c r="AB18" s="54"/>
      <c r="AC18" s="54"/>
      <c r="AD18" s="54"/>
      <c r="AE18" s="54"/>
      <c r="AF18" s="54"/>
      <c r="AG18" s="54"/>
      <c r="AH18" s="54"/>
      <c r="AI18" s="54"/>
      <c r="AJ18" s="54"/>
      <c r="AK18" s="54"/>
      <c r="AL18" s="54"/>
      <c r="AM18" s="54"/>
      <c r="AN18" s="54"/>
      <c r="AO18" s="54"/>
      <c r="AP18" s="54"/>
      <c r="AQ18" s="54"/>
      <c r="AR18" s="54"/>
      <c r="AS18" s="54"/>
      <c r="AT18" s="54"/>
      <c r="AU18" s="54"/>
      <c r="AV18" s="54"/>
      <c r="AW18" s="54"/>
      <c r="AX18" s="54"/>
      <c r="AY18" s="54"/>
      <c r="AZ18" s="54"/>
      <c r="BA18" s="54"/>
      <c r="BB18" s="54"/>
      <c r="BC18" s="54"/>
      <c r="BD18" s="54"/>
      <c r="BE18" s="54"/>
      <c r="BF18" s="54"/>
      <c r="BG18" s="54"/>
      <c r="BH18" s="54"/>
      <c r="BI18" s="54"/>
      <c r="BJ18" s="54"/>
      <c r="BK18" s="54"/>
      <c r="BL18" s="54"/>
      <c r="BM18" s="54"/>
      <c r="BN18" s="54"/>
      <c r="BO18" s="54"/>
      <c r="BP18" s="54"/>
      <c r="BQ18" s="54"/>
      <c r="BR18" s="54"/>
      <c r="BS18" s="54"/>
      <c r="BT18" s="54"/>
      <c r="BU18" s="54"/>
      <c r="BV18" s="54"/>
      <c r="BW18" s="54"/>
      <c r="BX18" s="54"/>
      <c r="BY18" s="54"/>
      <c r="BZ18" s="54"/>
      <c r="CA18" s="54"/>
      <c r="CB18" s="54"/>
      <c r="CC18" s="54"/>
      <c r="CD18" s="54"/>
      <c r="CE18" s="54"/>
      <c r="CF18" s="54">
        <v>100600</v>
      </c>
      <c r="CG18" s="54"/>
      <c r="CH18" s="54"/>
      <c r="CI18" s="54"/>
      <c r="CJ18" s="54"/>
      <c r="CK18" s="54"/>
      <c r="CL18" s="54"/>
      <c r="CM18" s="54"/>
      <c r="CN18" s="54"/>
      <c r="CO18" s="54">
        <f>115550/1.19</f>
        <v>97100.840336134454</v>
      </c>
      <c r="CP18" s="54">
        <f>CO18*19%</f>
        <v>18449.159663865546</v>
      </c>
      <c r="CQ18" s="54">
        <f>CO18*1.36</f>
        <v>132057.14285714287</v>
      </c>
      <c r="CR18" s="107">
        <f t="shared" si="1"/>
        <v>116328.57142857143</v>
      </c>
      <c r="CS18" s="107">
        <f t="shared" si="2"/>
        <v>116328.57142857143</v>
      </c>
      <c r="CT18" s="108">
        <f t="shared" si="3"/>
        <v>22243.559031039698</v>
      </c>
      <c r="CU18" s="65">
        <f t="shared" si="5"/>
        <v>0.19121320547375401</v>
      </c>
      <c r="CV18" s="66">
        <f t="shared" si="6"/>
        <v>97755.462184873948</v>
      </c>
      <c r="CW18" s="66">
        <f t="shared" si="7"/>
        <v>18573.537815126052</v>
      </c>
      <c r="CX18" s="128">
        <f t="shared" si="8"/>
        <v>116329</v>
      </c>
      <c r="CY18" s="109">
        <f t="shared" si="4"/>
        <v>5816450</v>
      </c>
      <c r="CZ18" s="110" t="s">
        <v>902</v>
      </c>
    </row>
    <row r="19" spans="1:104" ht="51" x14ac:dyDescent="0.2">
      <c r="A19" s="129">
        <v>15</v>
      </c>
      <c r="B19" s="62" t="s">
        <v>255</v>
      </c>
      <c r="C19" s="110" t="s">
        <v>256</v>
      </c>
      <c r="D19" s="63" t="s">
        <v>1093</v>
      </c>
      <c r="E19" s="63">
        <v>50</v>
      </c>
      <c r="F19" s="54"/>
      <c r="G19" s="54"/>
      <c r="H19" s="54"/>
      <c r="I19" s="54"/>
      <c r="J19" s="54"/>
      <c r="K19" s="54"/>
      <c r="L19" s="54"/>
      <c r="M19" s="54"/>
      <c r="N19" s="54"/>
      <c r="O19" s="54"/>
      <c r="P19" s="54"/>
      <c r="Q19" s="54"/>
      <c r="R19" s="54"/>
      <c r="S19" s="54"/>
      <c r="T19" s="54"/>
      <c r="U19" s="54"/>
      <c r="V19" s="54"/>
      <c r="W19" s="54"/>
      <c r="X19" s="54"/>
      <c r="Y19" s="54"/>
      <c r="Z19" s="54"/>
      <c r="AA19" s="54"/>
      <c r="AB19" s="54"/>
      <c r="AC19" s="54"/>
      <c r="AD19" s="54"/>
      <c r="AE19" s="54"/>
      <c r="AF19" s="54"/>
      <c r="AG19" s="54"/>
      <c r="AH19" s="54"/>
      <c r="AI19" s="54"/>
      <c r="AJ19" s="54"/>
      <c r="AK19" s="54"/>
      <c r="AL19" s="54"/>
      <c r="AM19" s="54"/>
      <c r="AN19" s="54"/>
      <c r="AO19" s="54"/>
      <c r="AP19" s="54"/>
      <c r="AQ19" s="54"/>
      <c r="AR19" s="54"/>
      <c r="AS19" s="54"/>
      <c r="AT19" s="54"/>
      <c r="AU19" s="54"/>
      <c r="AV19" s="54"/>
      <c r="AW19" s="54"/>
      <c r="AX19" s="54"/>
      <c r="AY19" s="54"/>
      <c r="AZ19" s="54"/>
      <c r="BA19" s="54"/>
      <c r="BB19" s="54"/>
      <c r="BC19" s="54"/>
      <c r="BD19" s="54"/>
      <c r="BE19" s="54"/>
      <c r="BF19" s="54"/>
      <c r="BG19" s="54"/>
      <c r="BH19" s="54"/>
      <c r="BI19" s="54"/>
      <c r="BJ19" s="54"/>
      <c r="BK19" s="54"/>
      <c r="BL19" s="54"/>
      <c r="BM19" s="54"/>
      <c r="BN19" s="54"/>
      <c r="BO19" s="54"/>
      <c r="BP19" s="54"/>
      <c r="BQ19" s="54"/>
      <c r="BR19" s="54"/>
      <c r="BS19" s="54"/>
      <c r="BT19" s="54"/>
      <c r="BU19" s="54"/>
      <c r="BV19" s="54"/>
      <c r="BW19" s="54"/>
      <c r="BX19" s="54"/>
      <c r="BY19" s="54"/>
      <c r="BZ19" s="54"/>
      <c r="CA19" s="54"/>
      <c r="CB19" s="54"/>
      <c r="CC19" s="54"/>
      <c r="CD19" s="54"/>
      <c r="CE19" s="54"/>
      <c r="CF19" s="54"/>
      <c r="CG19" s="45">
        <v>92046.5</v>
      </c>
      <c r="CH19" s="45">
        <v>88400</v>
      </c>
      <c r="CI19" s="45"/>
      <c r="CJ19" s="45"/>
      <c r="CK19" s="45"/>
      <c r="CL19" s="45"/>
      <c r="CM19" s="45"/>
      <c r="CN19" s="45"/>
      <c r="CO19" s="45"/>
      <c r="CP19" s="45"/>
      <c r="CQ19" s="45"/>
      <c r="CR19" s="107">
        <f t="shared" si="1"/>
        <v>90223.25</v>
      </c>
      <c r="CS19" s="107">
        <f t="shared" si="2"/>
        <v>90223.25</v>
      </c>
      <c r="CT19" s="108">
        <f t="shared" si="3"/>
        <v>2578.4648775967457</v>
      </c>
      <c r="CU19" s="65">
        <f t="shared" si="5"/>
        <v>2.8578718651752689E-2</v>
      </c>
      <c r="CV19" s="66">
        <f t="shared" si="6"/>
        <v>75818.487394957992</v>
      </c>
      <c r="CW19" s="66">
        <f t="shared" si="7"/>
        <v>14405.512605042019</v>
      </c>
      <c r="CX19" s="128">
        <f t="shared" si="8"/>
        <v>90224</v>
      </c>
      <c r="CY19" s="109">
        <f t="shared" si="4"/>
        <v>4511200</v>
      </c>
      <c r="CZ19" s="110" t="s">
        <v>903</v>
      </c>
    </row>
    <row r="20" spans="1:104" ht="51" x14ac:dyDescent="0.2">
      <c r="A20" s="129">
        <v>16</v>
      </c>
      <c r="B20" s="62" t="s">
        <v>257</v>
      </c>
      <c r="C20" s="110" t="s">
        <v>258</v>
      </c>
      <c r="D20" s="63" t="s">
        <v>232</v>
      </c>
      <c r="E20" s="63">
        <v>80</v>
      </c>
      <c r="F20" s="54"/>
      <c r="G20" s="54"/>
      <c r="H20" s="54"/>
      <c r="I20" s="54"/>
      <c r="J20" s="54"/>
      <c r="K20" s="54"/>
      <c r="L20" s="54"/>
      <c r="M20" s="54"/>
      <c r="N20" s="54">
        <f>10900/1.19</f>
        <v>9159.6638655462193</v>
      </c>
      <c r="O20" s="54">
        <f>N20*19%</f>
        <v>1740.3361344537816</v>
      </c>
      <c r="P20" s="54">
        <f>N20*1.36</f>
        <v>12457.142857142859</v>
      </c>
      <c r="Q20" s="54"/>
      <c r="R20" s="54"/>
      <c r="S20" s="54"/>
      <c r="T20" s="54"/>
      <c r="U20" s="54"/>
      <c r="V20" s="54"/>
      <c r="W20" s="54"/>
      <c r="X20" s="54"/>
      <c r="Y20" s="54"/>
      <c r="Z20" s="54"/>
      <c r="AA20" s="54"/>
      <c r="AB20" s="54"/>
      <c r="AC20" s="54"/>
      <c r="AD20" s="54"/>
      <c r="AE20" s="54"/>
      <c r="AF20" s="54"/>
      <c r="AG20" s="54"/>
      <c r="AH20" s="54"/>
      <c r="AI20" s="54"/>
      <c r="AJ20" s="54"/>
      <c r="AK20" s="54"/>
      <c r="AL20" s="54"/>
      <c r="AM20" s="54"/>
      <c r="AN20" s="54"/>
      <c r="AO20" s="54"/>
      <c r="AP20" s="54"/>
      <c r="AQ20" s="54"/>
      <c r="AR20" s="54"/>
      <c r="AS20" s="54"/>
      <c r="AT20" s="54"/>
      <c r="AU20" s="54"/>
      <c r="AV20" s="54"/>
      <c r="AW20" s="54"/>
      <c r="AX20" s="54"/>
      <c r="AY20" s="54"/>
      <c r="AZ20" s="54"/>
      <c r="BA20" s="54"/>
      <c r="BB20" s="54"/>
      <c r="BC20" s="54"/>
      <c r="BD20" s="54"/>
      <c r="BE20" s="54"/>
      <c r="BF20" s="54"/>
      <c r="BG20" s="54"/>
      <c r="BH20" s="54"/>
      <c r="BI20" s="54"/>
      <c r="BJ20" s="54"/>
      <c r="BK20" s="54"/>
      <c r="BL20" s="54"/>
      <c r="BM20" s="54"/>
      <c r="BN20" s="54"/>
      <c r="BO20" s="54"/>
      <c r="BP20" s="54"/>
      <c r="BQ20" s="54"/>
      <c r="BR20" s="54"/>
      <c r="BS20" s="54"/>
      <c r="BT20" s="54"/>
      <c r="BU20" s="54"/>
      <c r="BV20" s="54"/>
      <c r="BW20" s="54"/>
      <c r="BX20" s="54"/>
      <c r="BY20" s="54"/>
      <c r="BZ20" s="54"/>
      <c r="CA20" s="54"/>
      <c r="CB20" s="54"/>
      <c r="CC20" s="54"/>
      <c r="CD20" s="54"/>
      <c r="CE20" s="54">
        <v>14715.000000000002</v>
      </c>
      <c r="CF20" s="54"/>
      <c r="CG20" s="45">
        <v>17701.25</v>
      </c>
      <c r="CH20" s="45">
        <v>16500</v>
      </c>
      <c r="CI20" s="45"/>
      <c r="CJ20" s="45"/>
      <c r="CK20" s="45"/>
      <c r="CL20" s="45"/>
      <c r="CM20" s="45"/>
      <c r="CN20" s="45"/>
      <c r="CO20" s="45"/>
      <c r="CP20" s="45"/>
      <c r="CQ20" s="45"/>
      <c r="CR20" s="107">
        <f t="shared" si="1"/>
        <v>15607.5</v>
      </c>
      <c r="CS20" s="107">
        <f t="shared" si="2"/>
        <v>15343.348214285716</v>
      </c>
      <c r="CT20" s="108">
        <f t="shared" si="3"/>
        <v>2281.9981760485589</v>
      </c>
      <c r="CU20" s="65">
        <f t="shared" si="5"/>
        <v>0.14872882660147549</v>
      </c>
      <c r="CV20" s="66">
        <f t="shared" si="6"/>
        <v>12894.117647058823</v>
      </c>
      <c r="CW20" s="66">
        <f t="shared" si="7"/>
        <v>2449.8823529411766</v>
      </c>
      <c r="CX20" s="128">
        <f t="shared" si="8"/>
        <v>15344</v>
      </c>
      <c r="CY20" s="109">
        <f t="shared" si="4"/>
        <v>1227520</v>
      </c>
      <c r="CZ20" s="110" t="s">
        <v>903</v>
      </c>
    </row>
    <row r="21" spans="1:104" ht="51" x14ac:dyDescent="0.2">
      <c r="A21" s="129">
        <v>17</v>
      </c>
      <c r="B21" s="62" t="s">
        <v>259</v>
      </c>
      <c r="C21" s="110" t="s">
        <v>1097</v>
      </c>
      <c r="D21" s="63" t="s">
        <v>232</v>
      </c>
      <c r="E21" s="63">
        <v>20</v>
      </c>
      <c r="F21" s="54"/>
      <c r="G21" s="54"/>
      <c r="H21" s="54"/>
      <c r="I21" s="54"/>
      <c r="J21" s="54"/>
      <c r="K21" s="54"/>
      <c r="L21" s="54"/>
      <c r="M21" s="54"/>
      <c r="N21" s="54"/>
      <c r="O21" s="54"/>
      <c r="P21" s="54"/>
      <c r="Q21" s="54"/>
      <c r="R21" s="54"/>
      <c r="S21" s="54"/>
      <c r="T21" s="54"/>
      <c r="U21" s="54"/>
      <c r="V21" s="54"/>
      <c r="W21" s="54"/>
      <c r="X21" s="54"/>
      <c r="Y21" s="54"/>
      <c r="Z21" s="54"/>
      <c r="AA21" s="54"/>
      <c r="AB21" s="54"/>
      <c r="AC21" s="54"/>
      <c r="AD21" s="54"/>
      <c r="AE21" s="54"/>
      <c r="AF21" s="54"/>
      <c r="AG21" s="54"/>
      <c r="AH21" s="54"/>
      <c r="AI21" s="54"/>
      <c r="AJ21" s="54"/>
      <c r="AK21" s="54"/>
      <c r="AL21" s="54"/>
      <c r="AM21" s="54"/>
      <c r="AN21" s="54"/>
      <c r="AO21" s="54"/>
      <c r="AP21" s="54"/>
      <c r="AQ21" s="54"/>
      <c r="AR21" s="54"/>
      <c r="AS21" s="54"/>
      <c r="AT21" s="54"/>
      <c r="AU21" s="54"/>
      <c r="AV21" s="54"/>
      <c r="AW21" s="54"/>
      <c r="AX21" s="54"/>
      <c r="AY21" s="54"/>
      <c r="AZ21" s="54"/>
      <c r="BA21" s="54"/>
      <c r="BB21" s="54"/>
      <c r="BC21" s="54"/>
      <c r="BD21" s="54"/>
      <c r="BE21" s="54"/>
      <c r="BF21" s="54"/>
      <c r="BG21" s="54"/>
      <c r="BH21" s="54"/>
      <c r="BI21" s="54"/>
      <c r="BJ21" s="54"/>
      <c r="BK21" s="54"/>
      <c r="BL21" s="54"/>
      <c r="BM21" s="54"/>
      <c r="BN21" s="54"/>
      <c r="BO21" s="54"/>
      <c r="BP21" s="54"/>
      <c r="BQ21" s="54"/>
      <c r="BR21" s="54"/>
      <c r="BS21" s="54"/>
      <c r="BT21" s="54"/>
      <c r="BU21" s="54"/>
      <c r="BV21" s="54"/>
      <c r="BW21" s="54"/>
      <c r="BX21" s="54"/>
      <c r="BY21" s="54"/>
      <c r="BZ21" s="54"/>
      <c r="CA21" s="54"/>
      <c r="CB21" s="54"/>
      <c r="CC21" s="54"/>
      <c r="CD21" s="54"/>
      <c r="CE21" s="54">
        <v>142830</v>
      </c>
      <c r="CF21" s="54"/>
      <c r="CG21" s="45"/>
      <c r="CH21" s="45">
        <v>180000</v>
      </c>
      <c r="CI21" s="45"/>
      <c r="CJ21" s="45"/>
      <c r="CK21" s="45"/>
      <c r="CL21" s="45"/>
      <c r="CM21" s="45"/>
      <c r="CN21" s="45"/>
      <c r="CO21" s="45"/>
      <c r="CP21" s="45"/>
      <c r="CQ21" s="45"/>
      <c r="CR21" s="107">
        <f t="shared" si="1"/>
        <v>161415</v>
      </c>
      <c r="CS21" s="107">
        <f t="shared" si="2"/>
        <v>161415</v>
      </c>
      <c r="CT21" s="108">
        <f t="shared" si="3"/>
        <v>26283.159056703971</v>
      </c>
      <c r="CU21" s="65">
        <f t="shared" si="5"/>
        <v>0.1628297187789485</v>
      </c>
      <c r="CV21" s="66">
        <f t="shared" si="6"/>
        <v>135642.85714285716</v>
      </c>
      <c r="CW21" s="66">
        <f t="shared" si="7"/>
        <v>25772.142857142862</v>
      </c>
      <c r="CX21" s="128">
        <f t="shared" si="8"/>
        <v>161415</v>
      </c>
      <c r="CY21" s="109">
        <f t="shared" si="4"/>
        <v>3228300</v>
      </c>
      <c r="CZ21" s="110" t="s">
        <v>902</v>
      </c>
    </row>
    <row r="22" spans="1:104" ht="119" x14ac:dyDescent="0.2">
      <c r="A22" s="129">
        <v>18</v>
      </c>
      <c r="B22" s="62" t="s">
        <v>260</v>
      </c>
      <c r="C22" s="110" t="s">
        <v>1099</v>
      </c>
      <c r="D22" s="63" t="s">
        <v>232</v>
      </c>
      <c r="E22" s="63">
        <v>50</v>
      </c>
      <c r="F22" s="27"/>
      <c r="G22" s="27"/>
      <c r="H22" s="27"/>
      <c r="I22" s="27"/>
      <c r="J22" s="27"/>
      <c r="K22" s="27"/>
      <c r="L22" s="27"/>
      <c r="M22" s="27"/>
      <c r="N22" s="27"/>
      <c r="O22" s="27"/>
      <c r="P22" s="27"/>
      <c r="Q22" s="27"/>
      <c r="R22" s="27"/>
      <c r="S22" s="27"/>
      <c r="T22" s="50">
        <f>900000/4</f>
        <v>225000</v>
      </c>
      <c r="U22" s="132">
        <f>((T22*5.1%)+T22)</f>
        <v>236475</v>
      </c>
      <c r="V22" s="51"/>
      <c r="W22" s="132"/>
      <c r="X22" s="50"/>
      <c r="Y22" s="132"/>
      <c r="Z22" s="50"/>
      <c r="AA22" s="132"/>
      <c r="AB22" s="27"/>
      <c r="AC22" s="27"/>
      <c r="AD22" s="27"/>
      <c r="AE22" s="27"/>
      <c r="AF22" s="27"/>
      <c r="AG22" s="27"/>
      <c r="AH22" s="27"/>
      <c r="AI22" s="27"/>
      <c r="AJ22" s="27"/>
      <c r="AK22" s="27"/>
      <c r="AL22" s="27"/>
      <c r="AM22" s="27"/>
      <c r="AN22" s="27"/>
      <c r="AO22" s="27"/>
      <c r="AP22" s="27"/>
      <c r="AQ22" s="27"/>
      <c r="AR22" s="27"/>
      <c r="AS22" s="27"/>
      <c r="AT22" s="27"/>
      <c r="AU22" s="27"/>
      <c r="AV22" s="27"/>
      <c r="AW22" s="27"/>
      <c r="AX22" s="27"/>
      <c r="AY22" s="27"/>
      <c r="AZ22" s="27"/>
      <c r="BA22" s="27"/>
      <c r="BB22" s="27"/>
      <c r="BC22" s="27"/>
      <c r="BD22" s="27"/>
      <c r="BE22" s="27"/>
      <c r="BF22" s="27"/>
      <c r="BG22" s="27"/>
      <c r="BH22" s="27"/>
      <c r="BI22" s="27"/>
      <c r="BJ22" s="27"/>
      <c r="BK22" s="27"/>
      <c r="BL22" s="27"/>
      <c r="BM22" s="27"/>
      <c r="BN22" s="27"/>
      <c r="BO22" s="27"/>
      <c r="BP22" s="27"/>
      <c r="BQ22" s="27"/>
      <c r="BR22" s="27"/>
      <c r="BS22" s="27"/>
      <c r="BT22" s="27"/>
      <c r="BU22" s="27"/>
      <c r="BV22" s="27"/>
      <c r="BW22" s="27"/>
      <c r="BX22" s="27"/>
      <c r="BY22" s="27"/>
      <c r="BZ22" s="27"/>
      <c r="CA22" s="27"/>
      <c r="CB22" s="27"/>
      <c r="CC22" s="27"/>
      <c r="CD22" s="27"/>
      <c r="CE22" s="45"/>
      <c r="CF22" s="54"/>
      <c r="CG22" s="54"/>
      <c r="CH22" s="54"/>
      <c r="CI22" s="54">
        <f>176100/1.19</f>
        <v>147983.19327731093</v>
      </c>
      <c r="CJ22" s="54">
        <f>CI22*19%</f>
        <v>28116.806722689078</v>
      </c>
      <c r="CK22" s="54">
        <f>CI22*1.36</f>
        <v>201257.14285714287</v>
      </c>
      <c r="CL22" s="54">
        <f>196299/1.19</f>
        <v>164957.14285714287</v>
      </c>
      <c r="CM22" s="54">
        <f>CL22*19%</f>
        <v>31341.857142857145</v>
      </c>
      <c r="CN22" s="54">
        <f>CL22*1.36</f>
        <v>224341.71428571432</v>
      </c>
      <c r="CO22" s="54"/>
      <c r="CP22" s="54"/>
      <c r="CQ22" s="54"/>
      <c r="CR22" s="107">
        <f>MEDIAN(G22,I22,K22,M22,P22,S22,U22,W22,Y22,AA22,AC22,AE22,AG22,AI22,AL22,AO22,AR22,AU22,AX22,BA22,BD22,BG22,BJ22,BM22,BP22,BS22,BU22,BW22,BY22,CA22,CC22,CD22,CE22,CF22,CG22,CH22,CK22,CN22,CQ22)</f>
        <v>224341.71428571432</v>
      </c>
      <c r="CS22" s="107">
        <f>AVERAGE(G22,I22,K22,M22,P22,S22,U22,W22,Y22,AA22,AC22,AE22,AG22,AI22,AL22,AO22,AR22,AU22,AX22,BA22,BD22,BG22,BJ22,BM22,BP22,BS22,BU22,BW22,BY22,CA22,CC22,CD22,CE22,CF22,CG22,CH22,CK22,CN22,CQ22)</f>
        <v>220691.28571428571</v>
      </c>
      <c r="CT22" s="108">
        <f>STDEV(G22,I22,K22,M22,P22,S22,U22,W22,Y22,AA22,AC22,AE22,AG22,AI22,AL22,AO22,AR22,AU22,AX22,BA22,BD22,BG22,BJ22,BM22,BP22,BS22,BU22,BW22,BY22,CA22,CC22,CD22,CE22,CF22,CG22,CH22,CK22,CN22,CQ22)</f>
        <v>17890.460782215752</v>
      </c>
      <c r="CU22" s="65">
        <f t="shared" si="5"/>
        <v>8.1065551475273653E-2</v>
      </c>
      <c r="CV22" s="66">
        <f t="shared" si="6"/>
        <v>185455.46218487396</v>
      </c>
      <c r="CW22" s="66">
        <f t="shared" si="7"/>
        <v>35236.537815126052</v>
      </c>
      <c r="CX22" s="128">
        <f t="shared" si="8"/>
        <v>220692</v>
      </c>
      <c r="CY22" s="109">
        <f t="shared" si="4"/>
        <v>11034600</v>
      </c>
      <c r="CZ22" s="110" t="s">
        <v>902</v>
      </c>
    </row>
    <row r="23" spans="1:104" ht="51" x14ac:dyDescent="0.2">
      <c r="A23" s="129">
        <v>19</v>
      </c>
      <c r="B23" s="62" t="s">
        <v>261</v>
      </c>
      <c r="C23" s="110" t="s">
        <v>1098</v>
      </c>
      <c r="D23" s="11" t="s">
        <v>232</v>
      </c>
      <c r="E23" s="63">
        <v>20</v>
      </c>
      <c r="F23" s="54"/>
      <c r="G23" s="54"/>
      <c r="H23" s="54"/>
      <c r="I23" s="54"/>
      <c r="J23" s="54"/>
      <c r="K23" s="54"/>
      <c r="L23" s="54"/>
      <c r="M23" s="54"/>
      <c r="N23" s="54"/>
      <c r="O23" s="54"/>
      <c r="P23" s="54"/>
      <c r="Q23" s="54"/>
      <c r="R23" s="54"/>
      <c r="S23" s="54"/>
      <c r="T23" s="54"/>
      <c r="U23" s="54"/>
      <c r="V23" s="54"/>
      <c r="W23" s="54"/>
      <c r="X23" s="54"/>
      <c r="Y23" s="54"/>
      <c r="Z23" s="54"/>
      <c r="AA23" s="54"/>
      <c r="AB23" s="54"/>
      <c r="AC23" s="54"/>
      <c r="AD23" s="54"/>
      <c r="AE23" s="54"/>
      <c r="AF23" s="54"/>
      <c r="AG23" s="54"/>
      <c r="AH23" s="54"/>
      <c r="AI23" s="54"/>
      <c r="AJ23" s="54"/>
      <c r="AK23" s="54"/>
      <c r="AL23" s="54"/>
      <c r="AM23" s="54"/>
      <c r="AN23" s="54"/>
      <c r="AO23" s="54"/>
      <c r="AP23" s="54">
        <f>43500/1.19</f>
        <v>36554.621848739494</v>
      </c>
      <c r="AQ23" s="54">
        <f>AP23*19%</f>
        <v>6945.3781512605037</v>
      </c>
      <c r="AR23" s="54">
        <f>AP23*1.36</f>
        <v>49714.285714285717</v>
      </c>
      <c r="AS23" s="54"/>
      <c r="AT23" s="54"/>
      <c r="AU23" s="54"/>
      <c r="AV23" s="54"/>
      <c r="AW23" s="54"/>
      <c r="AX23" s="54"/>
      <c r="AY23" s="54"/>
      <c r="AZ23" s="54"/>
      <c r="BA23" s="54"/>
      <c r="BB23" s="54"/>
      <c r="BC23" s="54"/>
      <c r="BD23" s="54"/>
      <c r="BE23" s="54"/>
      <c r="BF23" s="54"/>
      <c r="BG23" s="54"/>
      <c r="BH23" s="54"/>
      <c r="BI23" s="54"/>
      <c r="BJ23" s="54"/>
      <c r="BK23" s="54"/>
      <c r="BL23" s="54"/>
      <c r="BM23" s="54"/>
      <c r="BN23" s="54"/>
      <c r="BO23" s="54"/>
      <c r="BP23" s="54"/>
      <c r="BQ23" s="54"/>
      <c r="BR23" s="54"/>
      <c r="BS23" s="54"/>
      <c r="BT23" s="54"/>
      <c r="BU23" s="54"/>
      <c r="BV23" s="54"/>
      <c r="BW23" s="54"/>
      <c r="BX23" s="54"/>
      <c r="BY23" s="54"/>
      <c r="BZ23" s="54"/>
      <c r="CA23" s="54"/>
      <c r="CB23" s="54"/>
      <c r="CC23" s="54"/>
      <c r="CD23" s="54"/>
      <c r="CE23" s="54">
        <v>41580</v>
      </c>
      <c r="CF23" s="54"/>
      <c r="CG23" s="45">
        <v>59476.2</v>
      </c>
      <c r="CH23" s="45">
        <v>55800</v>
      </c>
      <c r="CI23" s="45"/>
      <c r="CJ23" s="45"/>
      <c r="CK23" s="45"/>
      <c r="CL23" s="45"/>
      <c r="CM23" s="45"/>
      <c r="CN23" s="45"/>
      <c r="CO23" s="45"/>
      <c r="CP23" s="45"/>
      <c r="CQ23" s="45"/>
      <c r="CR23" s="107">
        <f t="shared" ref="CR23:CR86" si="9">MEDIAN(G23,I23,K23,M23,P23,S23,U23,W23,Y23,AA23,AC23,AE23,AG23,AI23,AL23,AO23,AR23,AU23,AX23,BA23,BD23,BG23,BJ23,BM23,BP23,BS23,BU23,BW23,BY23,CA23,CC23,CD23,CE23,CF23,CG23,CH23,CK23,CN23,CQ23)</f>
        <v>52757.142857142855</v>
      </c>
      <c r="CS23" s="107">
        <f t="shared" ref="CS23:CS86" si="10">AVERAGE(G23,I23,K23,M23,P23,S23,U23,W23,Y23,AA23,AC23,AE23,AG23,AI23,AL23,AO23,AR23,AU23,AX23,BA23,BD23,BG23,BJ23,BM23,BP23,BS23,BU23,BW23,BY23,CA23,CC23,CD23,CE23,CF23,CG23,CH23,CK23,CN23,CQ23)</f>
        <v>51642.621428571423</v>
      </c>
      <c r="CT23" s="108">
        <f t="shared" ref="CT23:CT86" si="11">STDEV(G23,I23,K23,M23,P23,S23,U23,W23,Y23,AA23,AC23,AE23,AG23,AI23,AL23,AO23,AR23,AU23,AX23,BA23,BD23,BG23,BJ23,BM23,BP23,BS23,BU23,BW23,BY23,CA23,CC23,CD23,CE23,CF23,CG23,CH23,CK23,CN23,CQ23)</f>
        <v>7823.5451994317773</v>
      </c>
      <c r="CU23" s="65">
        <f t="shared" si="5"/>
        <v>0.15149395950499484</v>
      </c>
      <c r="CV23" s="66">
        <f t="shared" si="6"/>
        <v>44334.45378151261</v>
      </c>
      <c r="CW23" s="66">
        <f t="shared" si="7"/>
        <v>8423.5462184873959</v>
      </c>
      <c r="CX23" s="128">
        <f t="shared" si="8"/>
        <v>52758</v>
      </c>
      <c r="CY23" s="109">
        <f t="shared" si="4"/>
        <v>1055160</v>
      </c>
      <c r="CZ23" s="110" t="s">
        <v>902</v>
      </c>
    </row>
    <row r="24" spans="1:104" ht="119" x14ac:dyDescent="0.2">
      <c r="A24" s="129">
        <v>20</v>
      </c>
      <c r="B24" s="62" t="s">
        <v>262</v>
      </c>
      <c r="C24" s="110" t="s">
        <v>1100</v>
      </c>
      <c r="D24" s="63" t="s">
        <v>232</v>
      </c>
      <c r="E24" s="63">
        <v>20</v>
      </c>
      <c r="F24" s="27"/>
      <c r="G24" s="27"/>
      <c r="H24" s="27"/>
      <c r="I24" s="27"/>
      <c r="J24" s="27"/>
      <c r="K24" s="27"/>
      <c r="L24" s="27"/>
      <c r="M24" s="27"/>
      <c r="N24" s="27"/>
      <c r="O24" s="27"/>
      <c r="P24" s="27"/>
      <c r="Q24" s="27"/>
      <c r="R24" s="27"/>
      <c r="S24" s="27"/>
      <c r="T24" s="27"/>
      <c r="U24" s="27"/>
      <c r="V24" s="27"/>
      <c r="W24" s="27"/>
      <c r="X24" s="27"/>
      <c r="Y24" s="27"/>
      <c r="Z24" s="27"/>
      <c r="AA24" s="27"/>
      <c r="AB24" s="27"/>
      <c r="AC24" s="27"/>
      <c r="AD24" s="27"/>
      <c r="AE24" s="27"/>
      <c r="AF24" s="27"/>
      <c r="AG24" s="27"/>
      <c r="AH24" s="27"/>
      <c r="AI24" s="27"/>
      <c r="AJ24" s="45">
        <f>156900/1.19</f>
        <v>131848.73949579833</v>
      </c>
      <c r="AK24" s="45">
        <f>AJ24*19%</f>
        <v>25051.260504201684</v>
      </c>
      <c r="AL24" s="45">
        <f>AJ24*1.36</f>
        <v>179314.28571428574</v>
      </c>
      <c r="AM24" s="27"/>
      <c r="AN24" s="27"/>
      <c r="AO24" s="27"/>
      <c r="AP24" s="27"/>
      <c r="AQ24" s="27"/>
      <c r="AR24" s="27"/>
      <c r="AS24" s="27"/>
      <c r="AT24" s="27"/>
      <c r="AU24" s="27"/>
      <c r="AV24" s="27"/>
      <c r="AW24" s="27"/>
      <c r="AX24" s="27"/>
      <c r="AY24" s="27"/>
      <c r="AZ24" s="27"/>
      <c r="BA24" s="27"/>
      <c r="BB24" s="27"/>
      <c r="BC24" s="27"/>
      <c r="BD24" s="27"/>
      <c r="BE24" s="27"/>
      <c r="BF24" s="27"/>
      <c r="BG24" s="27"/>
      <c r="BH24" s="27"/>
      <c r="BI24" s="27"/>
      <c r="BJ24" s="27"/>
      <c r="BK24" s="27"/>
      <c r="BL24" s="27"/>
      <c r="BM24" s="27"/>
      <c r="BN24" s="27"/>
      <c r="BO24" s="27"/>
      <c r="BP24" s="27"/>
      <c r="BQ24" s="27"/>
      <c r="BR24" s="27"/>
      <c r="BS24" s="27"/>
      <c r="BT24" s="27"/>
      <c r="BU24" s="27"/>
      <c r="BV24" s="27"/>
      <c r="BW24" s="27"/>
      <c r="BX24" s="27"/>
      <c r="BY24" s="27"/>
      <c r="BZ24" s="27"/>
      <c r="CA24" s="27"/>
      <c r="CB24" s="27"/>
      <c r="CC24" s="27"/>
      <c r="CD24" s="54">
        <f>136190.48*1.19</f>
        <v>162066.67120000001</v>
      </c>
      <c r="CE24" s="54"/>
      <c r="CF24" s="54"/>
      <c r="CG24" s="54"/>
      <c r="CH24" s="54"/>
      <c r="CI24" s="54"/>
      <c r="CJ24" s="54"/>
      <c r="CK24" s="54"/>
      <c r="CL24" s="54"/>
      <c r="CM24" s="54"/>
      <c r="CN24" s="54"/>
      <c r="CO24" s="54"/>
      <c r="CP24" s="54"/>
      <c r="CQ24" s="54"/>
      <c r="CR24" s="107">
        <f t="shared" si="9"/>
        <v>170690.47845714289</v>
      </c>
      <c r="CS24" s="107">
        <f t="shared" si="10"/>
        <v>170690.47845714289</v>
      </c>
      <c r="CT24" s="108">
        <f t="shared" si="11"/>
        <v>12195.905182342958</v>
      </c>
      <c r="CU24" s="65">
        <f t="shared" si="5"/>
        <v>7.145041300827519E-2</v>
      </c>
      <c r="CV24" s="66">
        <f t="shared" si="6"/>
        <v>143437.81512605044</v>
      </c>
      <c r="CW24" s="66">
        <f t="shared" si="7"/>
        <v>27253.184873949584</v>
      </c>
      <c r="CX24" s="128">
        <f t="shared" si="8"/>
        <v>170691</v>
      </c>
      <c r="CY24" s="109">
        <f t="shared" si="4"/>
        <v>3413820</v>
      </c>
      <c r="CZ24" s="110" t="s">
        <v>902</v>
      </c>
    </row>
    <row r="25" spans="1:104" ht="51" x14ac:dyDescent="0.2">
      <c r="A25" s="129">
        <v>21</v>
      </c>
      <c r="B25" s="62" t="s">
        <v>263</v>
      </c>
      <c r="C25" s="110" t="s">
        <v>873</v>
      </c>
      <c r="D25" s="11" t="s">
        <v>264</v>
      </c>
      <c r="E25" s="63">
        <v>35</v>
      </c>
      <c r="F25" s="27"/>
      <c r="G25" s="27"/>
      <c r="H25" s="27"/>
      <c r="I25" s="27"/>
      <c r="J25" s="27"/>
      <c r="K25" s="27"/>
      <c r="L25" s="27"/>
      <c r="M25" s="27"/>
      <c r="N25" s="27"/>
      <c r="O25" s="27"/>
      <c r="P25" s="27"/>
      <c r="Q25" s="27"/>
      <c r="R25" s="27"/>
      <c r="S25" s="27"/>
      <c r="T25" s="50"/>
      <c r="U25" s="132"/>
      <c r="V25" s="51">
        <v>157675</v>
      </c>
      <c r="W25" s="132">
        <f>((V25*5.1%)+V25)</f>
        <v>165716.42499999999</v>
      </c>
      <c r="X25" s="50">
        <v>173264</v>
      </c>
      <c r="Y25" s="132">
        <f>((X25*5.1%)+X25)</f>
        <v>182100.46400000001</v>
      </c>
      <c r="Z25" s="50">
        <v>183974</v>
      </c>
      <c r="AA25" s="132">
        <f>((Z25*5.1%)+Z25)</f>
        <v>193356.674</v>
      </c>
      <c r="AB25" s="27"/>
      <c r="AC25" s="27"/>
      <c r="AD25" s="27"/>
      <c r="AE25" s="27"/>
      <c r="AF25" s="27"/>
      <c r="AG25" s="27"/>
      <c r="AH25" s="27"/>
      <c r="AI25" s="27"/>
      <c r="AJ25" s="27"/>
      <c r="AK25" s="27"/>
      <c r="AL25" s="27"/>
      <c r="AM25" s="27"/>
      <c r="AN25" s="27"/>
      <c r="AO25" s="27"/>
      <c r="AP25" s="27"/>
      <c r="AQ25" s="27"/>
      <c r="AR25" s="27"/>
      <c r="AS25" s="27"/>
      <c r="AT25" s="27"/>
      <c r="AU25" s="27"/>
      <c r="AV25" s="27"/>
      <c r="AW25" s="27"/>
      <c r="AX25" s="27"/>
      <c r="AY25" s="27"/>
      <c r="AZ25" s="27"/>
      <c r="BA25" s="27"/>
      <c r="BB25" s="27"/>
      <c r="BC25" s="27"/>
      <c r="BD25" s="27"/>
      <c r="BE25" s="27"/>
      <c r="BF25" s="27"/>
      <c r="BG25" s="27"/>
      <c r="BH25" s="27"/>
      <c r="BI25" s="27"/>
      <c r="BJ25" s="27"/>
      <c r="BK25" s="27"/>
      <c r="BL25" s="27"/>
      <c r="BM25" s="27"/>
      <c r="BN25" s="27"/>
      <c r="BO25" s="27"/>
      <c r="BP25" s="27"/>
      <c r="BQ25" s="27"/>
      <c r="BR25" s="27"/>
      <c r="BS25" s="27"/>
      <c r="BT25" s="27"/>
      <c r="BU25" s="27"/>
      <c r="BV25" s="27"/>
      <c r="BW25" s="27"/>
      <c r="BX25" s="27"/>
      <c r="BY25" s="27"/>
      <c r="BZ25" s="27"/>
      <c r="CA25" s="27"/>
      <c r="CB25" s="27"/>
      <c r="CC25" s="27"/>
      <c r="CD25" s="27"/>
      <c r="CE25" s="45"/>
      <c r="CF25" s="54"/>
      <c r="CG25" s="54"/>
      <c r="CH25" s="54"/>
      <c r="CI25" s="54"/>
      <c r="CJ25" s="54"/>
      <c r="CK25" s="54"/>
      <c r="CL25" s="54"/>
      <c r="CM25" s="54"/>
      <c r="CN25" s="54"/>
      <c r="CO25" s="54"/>
      <c r="CP25" s="54"/>
      <c r="CQ25" s="54"/>
      <c r="CR25" s="107">
        <f t="shared" si="9"/>
        <v>182100.46400000001</v>
      </c>
      <c r="CS25" s="107">
        <f t="shared" si="10"/>
        <v>180391.18766666666</v>
      </c>
      <c r="CT25" s="108">
        <f t="shared" si="11"/>
        <v>13899.174809436368</v>
      </c>
      <c r="CU25" s="65">
        <f t="shared" si="5"/>
        <v>7.7050187369018072E-2</v>
      </c>
      <c r="CV25" s="66">
        <f t="shared" si="6"/>
        <v>151589.91596638656</v>
      </c>
      <c r="CW25" s="66">
        <f t="shared" si="7"/>
        <v>28802.084033613446</v>
      </c>
      <c r="CX25" s="128">
        <f t="shared" si="8"/>
        <v>180392</v>
      </c>
      <c r="CY25" s="109">
        <f t="shared" si="4"/>
        <v>6313720</v>
      </c>
      <c r="CZ25" s="110" t="s">
        <v>903</v>
      </c>
    </row>
    <row r="26" spans="1:104" ht="51" x14ac:dyDescent="0.2">
      <c r="A26" s="129">
        <v>22</v>
      </c>
      <c r="B26" s="62" t="s">
        <v>265</v>
      </c>
      <c r="C26" s="110" t="s">
        <v>266</v>
      </c>
      <c r="D26" s="63" t="s">
        <v>232</v>
      </c>
      <c r="E26" s="63">
        <v>20</v>
      </c>
      <c r="F26" s="54"/>
      <c r="G26" s="54"/>
      <c r="H26" s="54"/>
      <c r="I26" s="54"/>
      <c r="J26" s="54"/>
      <c r="K26" s="54"/>
      <c r="L26" s="54"/>
      <c r="M26" s="54"/>
      <c r="N26" s="54"/>
      <c r="O26" s="54"/>
      <c r="P26" s="54"/>
      <c r="Q26" s="54"/>
      <c r="R26" s="54"/>
      <c r="S26" s="54"/>
      <c r="T26" s="54"/>
      <c r="U26" s="54"/>
      <c r="V26" s="54"/>
      <c r="W26" s="54"/>
      <c r="X26" s="54"/>
      <c r="Y26" s="54"/>
      <c r="Z26" s="54"/>
      <c r="AA26" s="54"/>
      <c r="AB26" s="54"/>
      <c r="AC26" s="54"/>
      <c r="AD26" s="54"/>
      <c r="AE26" s="54"/>
      <c r="AF26" s="54"/>
      <c r="AG26" s="54"/>
      <c r="AH26" s="54"/>
      <c r="AI26" s="54"/>
      <c r="AJ26" s="54"/>
      <c r="AK26" s="54"/>
      <c r="AL26" s="54"/>
      <c r="AM26" s="54"/>
      <c r="AN26" s="54"/>
      <c r="AO26" s="54"/>
      <c r="AP26" s="54"/>
      <c r="AQ26" s="54"/>
      <c r="AR26" s="54"/>
      <c r="AS26" s="54"/>
      <c r="AT26" s="54"/>
      <c r="AU26" s="54"/>
      <c r="AV26" s="54"/>
      <c r="AW26" s="54"/>
      <c r="AX26" s="54"/>
      <c r="AY26" s="54"/>
      <c r="AZ26" s="54"/>
      <c r="BA26" s="54"/>
      <c r="BB26" s="54"/>
      <c r="BC26" s="54"/>
      <c r="BD26" s="54"/>
      <c r="BE26" s="54"/>
      <c r="BF26" s="54"/>
      <c r="BG26" s="54"/>
      <c r="BH26" s="54"/>
      <c r="BI26" s="54"/>
      <c r="BJ26" s="54"/>
      <c r="BK26" s="54"/>
      <c r="BL26" s="54"/>
      <c r="BM26" s="54"/>
      <c r="BN26" s="54"/>
      <c r="BO26" s="54"/>
      <c r="BP26" s="54"/>
      <c r="BQ26" s="54"/>
      <c r="BR26" s="54"/>
      <c r="BS26" s="54"/>
      <c r="BT26" s="54"/>
      <c r="BU26" s="54"/>
      <c r="BV26" s="54"/>
      <c r="BW26" s="54"/>
      <c r="BX26" s="54"/>
      <c r="BY26" s="54"/>
      <c r="BZ26" s="54"/>
      <c r="CA26" s="54"/>
      <c r="CB26" s="54"/>
      <c r="CC26" s="54"/>
      <c r="CD26" s="54"/>
      <c r="CE26" s="54"/>
      <c r="CF26" s="54">
        <v>151600</v>
      </c>
      <c r="CG26" s="45">
        <v>205334.5</v>
      </c>
      <c r="CH26" s="45">
        <v>193000</v>
      </c>
      <c r="CI26" s="45"/>
      <c r="CJ26" s="45"/>
      <c r="CK26" s="45"/>
      <c r="CL26" s="45"/>
      <c r="CM26" s="45"/>
      <c r="CN26" s="45"/>
      <c r="CO26" s="45"/>
      <c r="CP26" s="45"/>
      <c r="CQ26" s="45"/>
      <c r="CR26" s="107">
        <f t="shared" si="9"/>
        <v>193000</v>
      </c>
      <c r="CS26" s="107">
        <f t="shared" si="10"/>
        <v>183311.5</v>
      </c>
      <c r="CT26" s="108">
        <f t="shared" si="11"/>
        <v>28146.92517398659</v>
      </c>
      <c r="CU26" s="65">
        <f t="shared" si="5"/>
        <v>0.15354696881530394</v>
      </c>
      <c r="CV26" s="66">
        <f t="shared" si="6"/>
        <v>162184.87394957984</v>
      </c>
      <c r="CW26" s="66">
        <f t="shared" si="7"/>
        <v>30815.126050420171</v>
      </c>
      <c r="CX26" s="128">
        <f t="shared" si="8"/>
        <v>193000</v>
      </c>
      <c r="CY26" s="109">
        <f t="shared" si="4"/>
        <v>3860000</v>
      </c>
      <c r="CZ26" s="110" t="s">
        <v>903</v>
      </c>
    </row>
    <row r="27" spans="1:104" ht="51" x14ac:dyDescent="0.2">
      <c r="A27" s="129">
        <v>23</v>
      </c>
      <c r="B27" s="62" t="s">
        <v>267</v>
      </c>
      <c r="C27" s="110" t="s">
        <v>268</v>
      </c>
      <c r="D27" s="63" t="s">
        <v>232</v>
      </c>
      <c r="E27" s="11">
        <v>40</v>
      </c>
      <c r="F27" s="54"/>
      <c r="G27" s="54"/>
      <c r="H27" s="54"/>
      <c r="I27" s="54"/>
      <c r="J27" s="54"/>
      <c r="K27" s="54"/>
      <c r="L27" s="54"/>
      <c r="M27" s="54"/>
      <c r="N27" s="54">
        <f>16900/1.19</f>
        <v>14201.680672268909</v>
      </c>
      <c r="O27" s="54">
        <f t="shared" ref="O27:O34" si="12">N27*19%</f>
        <v>2698.3193277310929</v>
      </c>
      <c r="P27" s="54">
        <f t="shared" ref="P27:P34" si="13">N27*1.36</f>
        <v>19314.285714285717</v>
      </c>
      <c r="Q27" s="54"/>
      <c r="R27" s="54"/>
      <c r="S27" s="54"/>
      <c r="T27" s="54"/>
      <c r="U27" s="54"/>
      <c r="V27" s="54"/>
      <c r="W27" s="54"/>
      <c r="X27" s="54"/>
      <c r="Y27" s="54"/>
      <c r="Z27" s="54"/>
      <c r="AA27" s="54"/>
      <c r="AB27" s="54"/>
      <c r="AC27" s="54"/>
      <c r="AD27" s="54"/>
      <c r="AE27" s="54"/>
      <c r="AF27" s="54"/>
      <c r="AG27" s="54"/>
      <c r="AH27" s="54"/>
      <c r="AI27" s="54"/>
      <c r="AJ27" s="54"/>
      <c r="AK27" s="54"/>
      <c r="AL27" s="54"/>
      <c r="AM27" s="54"/>
      <c r="AN27" s="54"/>
      <c r="AO27" s="54"/>
      <c r="AP27" s="54"/>
      <c r="AQ27" s="54"/>
      <c r="AR27" s="54"/>
      <c r="AS27" s="54"/>
      <c r="AT27" s="54"/>
      <c r="AU27" s="54"/>
      <c r="AV27" s="54"/>
      <c r="AW27" s="54"/>
      <c r="AX27" s="54"/>
      <c r="AY27" s="54"/>
      <c r="AZ27" s="54"/>
      <c r="BA27" s="54"/>
      <c r="BB27" s="54"/>
      <c r="BC27" s="54"/>
      <c r="BD27" s="54"/>
      <c r="BE27" s="54"/>
      <c r="BF27" s="54"/>
      <c r="BG27" s="54"/>
      <c r="BH27" s="54"/>
      <c r="BI27" s="54"/>
      <c r="BJ27" s="54"/>
      <c r="BK27" s="54"/>
      <c r="BL27" s="54"/>
      <c r="BM27" s="54"/>
      <c r="BN27" s="54"/>
      <c r="BO27" s="54"/>
      <c r="BP27" s="54"/>
      <c r="BQ27" s="54"/>
      <c r="BR27" s="54"/>
      <c r="BS27" s="54"/>
      <c r="BT27" s="54"/>
      <c r="BU27" s="54"/>
      <c r="BV27" s="54"/>
      <c r="BW27" s="54"/>
      <c r="BX27" s="54"/>
      <c r="BY27" s="54"/>
      <c r="BZ27" s="54"/>
      <c r="CA27" s="54"/>
      <c r="CB27" s="54"/>
      <c r="CC27" s="54"/>
      <c r="CD27" s="54"/>
      <c r="CE27" s="54"/>
      <c r="CF27" s="54"/>
      <c r="CG27" s="45">
        <v>12036.85</v>
      </c>
      <c r="CH27" s="45"/>
      <c r="CI27" s="45"/>
      <c r="CJ27" s="45"/>
      <c r="CK27" s="45"/>
      <c r="CL27" s="45"/>
      <c r="CM27" s="45"/>
      <c r="CN27" s="45"/>
      <c r="CO27" s="45"/>
      <c r="CP27" s="45"/>
      <c r="CQ27" s="45"/>
      <c r="CR27" s="107">
        <f t="shared" si="9"/>
        <v>15675.567857142858</v>
      </c>
      <c r="CS27" s="107">
        <f t="shared" si="10"/>
        <v>15675.567857142858</v>
      </c>
      <c r="CT27" s="108">
        <f t="shared" si="11"/>
        <v>5145.9241432206036</v>
      </c>
      <c r="CU27" s="65">
        <f t="shared" si="5"/>
        <v>0.32827672911866917</v>
      </c>
      <c r="CV27" s="66">
        <f t="shared" si="6"/>
        <v>13173.10924369748</v>
      </c>
      <c r="CW27" s="66">
        <f t="shared" si="7"/>
        <v>2502.8907563025214</v>
      </c>
      <c r="CX27" s="128">
        <f t="shared" si="8"/>
        <v>15676</v>
      </c>
      <c r="CY27" s="109">
        <f t="shared" si="4"/>
        <v>627040</v>
      </c>
      <c r="CZ27" s="110" t="s">
        <v>902</v>
      </c>
    </row>
    <row r="28" spans="1:104" ht="51" x14ac:dyDescent="0.2">
      <c r="A28" s="129">
        <v>24</v>
      </c>
      <c r="B28" s="62" t="s">
        <v>267</v>
      </c>
      <c r="C28" s="110" t="s">
        <v>269</v>
      </c>
      <c r="D28" s="63" t="s">
        <v>232</v>
      </c>
      <c r="E28" s="11">
        <v>40</v>
      </c>
      <c r="F28" s="54"/>
      <c r="G28" s="54"/>
      <c r="H28" s="54"/>
      <c r="I28" s="54"/>
      <c r="J28" s="54"/>
      <c r="K28" s="54"/>
      <c r="L28" s="54"/>
      <c r="M28" s="54"/>
      <c r="N28" s="54">
        <f>17900/1.19</f>
        <v>15042.01680672269</v>
      </c>
      <c r="O28" s="54">
        <f t="shared" si="12"/>
        <v>2857.9831932773109</v>
      </c>
      <c r="P28" s="54">
        <f t="shared" si="13"/>
        <v>20457.142857142859</v>
      </c>
      <c r="Q28" s="54"/>
      <c r="R28" s="54"/>
      <c r="S28" s="54"/>
      <c r="T28" s="54"/>
      <c r="U28" s="54"/>
      <c r="V28" s="54"/>
      <c r="W28" s="54"/>
      <c r="X28" s="54"/>
      <c r="Y28" s="54"/>
      <c r="Z28" s="54"/>
      <c r="AA28" s="54"/>
      <c r="AB28" s="54"/>
      <c r="AC28" s="54"/>
      <c r="AD28" s="54"/>
      <c r="AE28" s="54"/>
      <c r="AF28" s="54"/>
      <c r="AG28" s="54"/>
      <c r="AH28" s="54"/>
      <c r="AI28" s="54"/>
      <c r="AJ28" s="54"/>
      <c r="AK28" s="54"/>
      <c r="AL28" s="54"/>
      <c r="AM28" s="54"/>
      <c r="AN28" s="54"/>
      <c r="AO28" s="54"/>
      <c r="AP28" s="54"/>
      <c r="AQ28" s="54"/>
      <c r="AR28" s="54"/>
      <c r="AS28" s="54"/>
      <c r="AT28" s="54"/>
      <c r="AU28" s="54"/>
      <c r="AV28" s="54"/>
      <c r="AW28" s="54"/>
      <c r="AX28" s="54"/>
      <c r="AY28" s="54"/>
      <c r="AZ28" s="54"/>
      <c r="BA28" s="54"/>
      <c r="BB28" s="54"/>
      <c r="BC28" s="54"/>
      <c r="BD28" s="54"/>
      <c r="BE28" s="54"/>
      <c r="BF28" s="54"/>
      <c r="BG28" s="54"/>
      <c r="BH28" s="54"/>
      <c r="BI28" s="54"/>
      <c r="BJ28" s="54"/>
      <c r="BK28" s="54"/>
      <c r="BL28" s="54"/>
      <c r="BM28" s="54"/>
      <c r="BN28" s="54"/>
      <c r="BO28" s="54"/>
      <c r="BP28" s="54"/>
      <c r="BQ28" s="54"/>
      <c r="BR28" s="54"/>
      <c r="BS28" s="54"/>
      <c r="BT28" s="54"/>
      <c r="BU28" s="54"/>
      <c r="BV28" s="54"/>
      <c r="BW28" s="54"/>
      <c r="BX28" s="54"/>
      <c r="BY28" s="54"/>
      <c r="BZ28" s="54"/>
      <c r="CA28" s="54"/>
      <c r="CB28" s="54"/>
      <c r="CC28" s="54"/>
      <c r="CD28" s="54"/>
      <c r="CE28" s="54"/>
      <c r="CF28" s="54"/>
      <c r="CG28" s="45">
        <v>13452.949999999999</v>
      </c>
      <c r="CH28" s="45"/>
      <c r="CI28" s="45"/>
      <c r="CJ28" s="45"/>
      <c r="CK28" s="45"/>
      <c r="CL28" s="45"/>
      <c r="CM28" s="45"/>
      <c r="CN28" s="45"/>
      <c r="CO28" s="45"/>
      <c r="CP28" s="45"/>
      <c r="CQ28" s="45"/>
      <c r="CR28" s="107">
        <f t="shared" si="9"/>
        <v>16955.04642857143</v>
      </c>
      <c r="CS28" s="107">
        <f t="shared" si="10"/>
        <v>16955.04642857143</v>
      </c>
      <c r="CT28" s="108">
        <f t="shared" si="11"/>
        <v>4952.7122660240893</v>
      </c>
      <c r="CU28" s="65">
        <f t="shared" si="5"/>
        <v>0.29210844611301878</v>
      </c>
      <c r="CV28" s="66">
        <f t="shared" si="6"/>
        <v>14248.73949579832</v>
      </c>
      <c r="CW28" s="66">
        <f t="shared" si="7"/>
        <v>2707.2605042016808</v>
      </c>
      <c r="CX28" s="128">
        <f t="shared" si="8"/>
        <v>16956</v>
      </c>
      <c r="CY28" s="109">
        <f t="shared" si="4"/>
        <v>678240</v>
      </c>
      <c r="CZ28" s="110" t="s">
        <v>902</v>
      </c>
    </row>
    <row r="29" spans="1:104" ht="51" x14ac:dyDescent="0.2">
      <c r="A29" s="129">
        <v>25</v>
      </c>
      <c r="B29" s="62" t="s">
        <v>267</v>
      </c>
      <c r="C29" s="110" t="s">
        <v>270</v>
      </c>
      <c r="D29" s="63" t="s">
        <v>232</v>
      </c>
      <c r="E29" s="11">
        <v>40</v>
      </c>
      <c r="F29" s="27"/>
      <c r="G29" s="27"/>
      <c r="H29" s="27"/>
      <c r="I29" s="27"/>
      <c r="J29" s="27"/>
      <c r="K29" s="27"/>
      <c r="L29" s="27"/>
      <c r="M29" s="27"/>
      <c r="N29" s="54">
        <f>17900/1.19</f>
        <v>15042.01680672269</v>
      </c>
      <c r="O29" s="54">
        <f t="shared" si="12"/>
        <v>2857.9831932773109</v>
      </c>
      <c r="P29" s="54">
        <f t="shared" si="13"/>
        <v>20457.142857142859</v>
      </c>
      <c r="Q29" s="27"/>
      <c r="R29" s="27"/>
      <c r="S29" s="27"/>
      <c r="T29" s="27"/>
      <c r="U29" s="27"/>
      <c r="V29" s="27"/>
      <c r="W29" s="27"/>
      <c r="X29" s="27"/>
      <c r="Y29" s="27"/>
      <c r="Z29" s="27"/>
      <c r="AA29" s="27"/>
      <c r="AB29" s="137"/>
      <c r="AC29" s="132"/>
      <c r="AD29" s="137"/>
      <c r="AE29" s="132"/>
      <c r="AF29" s="137"/>
      <c r="AG29" s="132"/>
      <c r="AH29" s="138"/>
      <c r="AI29" s="132"/>
      <c r="AJ29" s="69"/>
      <c r="AK29" s="69"/>
      <c r="AL29" s="69"/>
      <c r="AM29" s="69"/>
      <c r="AN29" s="69"/>
      <c r="AO29" s="69"/>
      <c r="AP29" s="45">
        <f>16900/1.19</f>
        <v>14201.680672268909</v>
      </c>
      <c r="AQ29" s="45">
        <f>AP29*19%</f>
        <v>2698.3193277310929</v>
      </c>
      <c r="AR29" s="45">
        <f>AP29*1.36</f>
        <v>19314.285714285717</v>
      </c>
      <c r="AS29" s="27"/>
      <c r="AT29" s="27"/>
      <c r="AU29" s="27"/>
      <c r="AV29" s="27"/>
      <c r="AW29" s="27"/>
      <c r="AX29" s="27"/>
      <c r="AY29" s="27"/>
      <c r="AZ29" s="27"/>
      <c r="BA29" s="27"/>
      <c r="BB29" s="27"/>
      <c r="BC29" s="27"/>
      <c r="BD29" s="27"/>
      <c r="BE29" s="27"/>
      <c r="BF29" s="27"/>
      <c r="BG29" s="27"/>
      <c r="BH29" s="27"/>
      <c r="BI29" s="27"/>
      <c r="BJ29" s="27"/>
      <c r="BK29" s="27"/>
      <c r="BL29" s="27"/>
      <c r="BM29" s="27"/>
      <c r="BN29" s="27"/>
      <c r="BO29" s="27"/>
      <c r="BP29" s="27"/>
      <c r="BQ29" s="27"/>
      <c r="BR29" s="27"/>
      <c r="BS29" s="27"/>
      <c r="BT29" s="27"/>
      <c r="BU29" s="27"/>
      <c r="BV29" s="27"/>
      <c r="BW29" s="27"/>
      <c r="BX29" s="27"/>
      <c r="BY29" s="27"/>
      <c r="BZ29" s="27"/>
      <c r="CA29" s="27"/>
      <c r="CB29" s="27"/>
      <c r="CC29" s="27"/>
      <c r="CD29" s="27"/>
      <c r="CE29" s="27"/>
      <c r="CF29" s="54"/>
      <c r="CG29" s="54"/>
      <c r="CH29" s="54"/>
      <c r="CI29" s="54"/>
      <c r="CJ29" s="54"/>
      <c r="CK29" s="54"/>
      <c r="CL29" s="54"/>
      <c r="CM29" s="54"/>
      <c r="CN29" s="54"/>
      <c r="CO29" s="54"/>
      <c r="CP29" s="54"/>
      <c r="CQ29" s="54"/>
      <c r="CR29" s="107">
        <f t="shared" si="9"/>
        <v>19885.71428571429</v>
      </c>
      <c r="CS29" s="107">
        <f t="shared" si="10"/>
        <v>19885.71428571429</v>
      </c>
      <c r="CT29" s="108">
        <f t="shared" si="11"/>
        <v>808.12203564176752</v>
      </c>
      <c r="CU29" s="65">
        <f t="shared" si="5"/>
        <v>4.0638320757847499E-2</v>
      </c>
      <c r="CV29" s="66">
        <f t="shared" si="6"/>
        <v>16710.9243697479</v>
      </c>
      <c r="CW29" s="66">
        <f t="shared" si="7"/>
        <v>3175.0756302521008</v>
      </c>
      <c r="CX29" s="128">
        <f t="shared" si="8"/>
        <v>19886</v>
      </c>
      <c r="CY29" s="109">
        <f t="shared" si="4"/>
        <v>795440</v>
      </c>
      <c r="CZ29" s="110" t="s">
        <v>903</v>
      </c>
    </row>
    <row r="30" spans="1:104" ht="51" x14ac:dyDescent="0.2">
      <c r="A30" s="129">
        <v>26</v>
      </c>
      <c r="B30" s="62" t="s">
        <v>267</v>
      </c>
      <c r="C30" s="110" t="s">
        <v>271</v>
      </c>
      <c r="D30" s="63" t="s">
        <v>232</v>
      </c>
      <c r="E30" s="11">
        <v>40</v>
      </c>
      <c r="F30" s="27"/>
      <c r="G30" s="27"/>
      <c r="H30" s="27"/>
      <c r="I30" s="27"/>
      <c r="J30" s="27"/>
      <c r="K30" s="27"/>
      <c r="L30" s="27"/>
      <c r="M30" s="27"/>
      <c r="N30" s="54">
        <f>19900/1.19</f>
        <v>16722.689075630253</v>
      </c>
      <c r="O30" s="54">
        <f t="shared" si="12"/>
        <v>3177.3109243697481</v>
      </c>
      <c r="P30" s="54">
        <f t="shared" si="13"/>
        <v>22742.857142857145</v>
      </c>
      <c r="Q30" s="27"/>
      <c r="R30" s="27"/>
      <c r="S30" s="27"/>
      <c r="T30" s="27"/>
      <c r="U30" s="27"/>
      <c r="V30" s="27"/>
      <c r="W30" s="27"/>
      <c r="X30" s="27"/>
      <c r="Y30" s="27"/>
      <c r="Z30" s="27"/>
      <c r="AA30" s="27"/>
      <c r="AB30" s="27"/>
      <c r="AC30" s="27"/>
      <c r="AD30" s="27"/>
      <c r="AE30" s="27"/>
      <c r="AF30" s="27"/>
      <c r="AG30" s="27"/>
      <c r="AH30" s="27"/>
      <c r="AI30" s="27"/>
      <c r="AJ30" s="69"/>
      <c r="AK30" s="69"/>
      <c r="AL30" s="69"/>
      <c r="AM30" s="27"/>
      <c r="AN30" s="27"/>
      <c r="AO30" s="27"/>
      <c r="AP30" s="45">
        <f>14900/1.19</f>
        <v>12521.008403361346</v>
      </c>
      <c r="AQ30" s="45">
        <f>AP30*19%</f>
        <v>2378.9915966386557</v>
      </c>
      <c r="AR30" s="45">
        <f>AP30*1.36</f>
        <v>17028.571428571431</v>
      </c>
      <c r="AS30" s="27"/>
      <c r="AT30" s="27"/>
      <c r="AU30" s="27"/>
      <c r="AV30" s="27"/>
      <c r="AW30" s="27"/>
      <c r="AX30" s="27"/>
      <c r="AY30" s="27"/>
      <c r="AZ30" s="27"/>
      <c r="BA30" s="27"/>
      <c r="BB30" s="27"/>
      <c r="BC30" s="27"/>
      <c r="BD30" s="27"/>
      <c r="BE30" s="27"/>
      <c r="BF30" s="27"/>
      <c r="BG30" s="27"/>
      <c r="BH30" s="27"/>
      <c r="BI30" s="27"/>
      <c r="BJ30" s="27"/>
      <c r="BK30" s="27"/>
      <c r="BL30" s="27"/>
      <c r="BM30" s="27"/>
      <c r="BN30" s="27"/>
      <c r="BO30" s="27"/>
      <c r="BP30" s="27"/>
      <c r="BQ30" s="27"/>
      <c r="BR30" s="27"/>
      <c r="BS30" s="27"/>
      <c r="BT30" s="27"/>
      <c r="BU30" s="27"/>
      <c r="BV30" s="27"/>
      <c r="BW30" s="27"/>
      <c r="BX30" s="27"/>
      <c r="BY30" s="27"/>
      <c r="BZ30" s="27"/>
      <c r="CA30" s="27"/>
      <c r="CB30" s="27"/>
      <c r="CC30" s="27"/>
      <c r="CD30" s="27"/>
      <c r="CE30" s="27"/>
      <c r="CF30" s="54"/>
      <c r="CG30" s="54"/>
      <c r="CH30" s="54"/>
      <c r="CI30" s="54"/>
      <c r="CJ30" s="54"/>
      <c r="CK30" s="54"/>
      <c r="CL30" s="54"/>
      <c r="CM30" s="54"/>
      <c r="CN30" s="54"/>
      <c r="CO30" s="54"/>
      <c r="CP30" s="54"/>
      <c r="CQ30" s="54"/>
      <c r="CR30" s="107">
        <f t="shared" si="9"/>
        <v>19885.71428571429</v>
      </c>
      <c r="CS30" s="107">
        <f t="shared" si="10"/>
        <v>19885.71428571429</v>
      </c>
      <c r="CT30" s="108">
        <f t="shared" si="11"/>
        <v>4040.6101782088363</v>
      </c>
      <c r="CU30" s="65">
        <f t="shared" si="5"/>
        <v>0.20319160378923742</v>
      </c>
      <c r="CV30" s="66">
        <f t="shared" si="6"/>
        <v>16710.9243697479</v>
      </c>
      <c r="CW30" s="66">
        <f t="shared" si="7"/>
        <v>3175.0756302521008</v>
      </c>
      <c r="CX30" s="128">
        <f t="shared" si="8"/>
        <v>19886</v>
      </c>
      <c r="CY30" s="109">
        <f t="shared" si="4"/>
        <v>795440</v>
      </c>
      <c r="CZ30" s="110" t="s">
        <v>902</v>
      </c>
    </row>
    <row r="31" spans="1:104" ht="51" x14ac:dyDescent="0.2">
      <c r="A31" s="129">
        <v>27</v>
      </c>
      <c r="B31" s="62" t="s">
        <v>267</v>
      </c>
      <c r="C31" s="110" t="s">
        <v>272</v>
      </c>
      <c r="D31" s="63" t="s">
        <v>232</v>
      </c>
      <c r="E31" s="11">
        <v>40</v>
      </c>
      <c r="F31" s="54"/>
      <c r="G31" s="54"/>
      <c r="H31" s="54"/>
      <c r="I31" s="54"/>
      <c r="J31" s="54"/>
      <c r="K31" s="54"/>
      <c r="L31" s="54"/>
      <c r="M31" s="54"/>
      <c r="N31" s="54">
        <f>20900/1.19</f>
        <v>17563.025210084033</v>
      </c>
      <c r="O31" s="54">
        <f t="shared" si="12"/>
        <v>3336.9747899159665</v>
      </c>
      <c r="P31" s="54">
        <f t="shared" si="13"/>
        <v>23885.714285714286</v>
      </c>
      <c r="Q31" s="54"/>
      <c r="R31" s="54"/>
      <c r="S31" s="54"/>
      <c r="T31" s="54"/>
      <c r="U31" s="54"/>
      <c r="V31" s="54"/>
      <c r="W31" s="54"/>
      <c r="X31" s="54"/>
      <c r="Y31" s="54"/>
      <c r="Z31" s="54"/>
      <c r="AA31" s="54"/>
      <c r="AB31" s="54"/>
      <c r="AC31" s="54"/>
      <c r="AD31" s="54"/>
      <c r="AE31" s="54"/>
      <c r="AF31" s="54"/>
      <c r="AG31" s="54"/>
      <c r="AH31" s="54"/>
      <c r="AI31" s="54"/>
      <c r="AJ31" s="54"/>
      <c r="AK31" s="54"/>
      <c r="AL31" s="54"/>
      <c r="AM31" s="54"/>
      <c r="AN31" s="54"/>
      <c r="AO31" s="54"/>
      <c r="AP31" s="54">
        <f>25900/1.19</f>
        <v>21764.705882352941</v>
      </c>
      <c r="AQ31" s="54">
        <f>AP31*19%</f>
        <v>4135.2941176470586</v>
      </c>
      <c r="AR31" s="54">
        <f>AP31*1.36</f>
        <v>29600</v>
      </c>
      <c r="AS31" s="54"/>
      <c r="AT31" s="54"/>
      <c r="AU31" s="54"/>
      <c r="AV31" s="54"/>
      <c r="AW31" s="54"/>
      <c r="AX31" s="54"/>
      <c r="AY31" s="54"/>
      <c r="AZ31" s="54"/>
      <c r="BA31" s="54"/>
      <c r="BB31" s="54"/>
      <c r="BC31" s="54"/>
      <c r="BD31" s="54"/>
      <c r="BE31" s="54"/>
      <c r="BF31" s="54"/>
      <c r="BG31" s="54"/>
      <c r="BH31" s="54"/>
      <c r="BI31" s="54"/>
      <c r="BJ31" s="54"/>
      <c r="BK31" s="54"/>
      <c r="BL31" s="54"/>
      <c r="BM31" s="54"/>
      <c r="BN31" s="54"/>
      <c r="BO31" s="54"/>
      <c r="BP31" s="54"/>
      <c r="BQ31" s="54"/>
      <c r="BR31" s="54"/>
      <c r="BS31" s="54"/>
      <c r="BT31" s="54"/>
      <c r="BU31" s="54"/>
      <c r="BV31" s="54"/>
      <c r="BW31" s="54"/>
      <c r="BX31" s="54"/>
      <c r="BY31" s="54"/>
      <c r="BZ31" s="54"/>
      <c r="CA31" s="54"/>
      <c r="CB31" s="54"/>
      <c r="CC31" s="54"/>
      <c r="CD31" s="54"/>
      <c r="CE31" s="54"/>
      <c r="CF31" s="54"/>
      <c r="CG31" s="45">
        <v>16993.2</v>
      </c>
      <c r="CH31" s="45">
        <v>15600</v>
      </c>
      <c r="CI31" s="45"/>
      <c r="CJ31" s="45"/>
      <c r="CK31" s="45"/>
      <c r="CL31" s="45"/>
      <c r="CM31" s="45"/>
      <c r="CN31" s="45"/>
      <c r="CO31" s="45"/>
      <c r="CP31" s="45"/>
      <c r="CQ31" s="45"/>
      <c r="CR31" s="107">
        <f t="shared" si="9"/>
        <v>20439.457142857143</v>
      </c>
      <c r="CS31" s="107">
        <f t="shared" si="10"/>
        <v>21519.728571428572</v>
      </c>
      <c r="CT31" s="108">
        <f t="shared" si="11"/>
        <v>6491.5668890989809</v>
      </c>
      <c r="CU31" s="65">
        <f t="shared" si="5"/>
        <v>0.30165654123155339</v>
      </c>
      <c r="CV31" s="66">
        <f t="shared" si="6"/>
        <v>17176.470588235294</v>
      </c>
      <c r="CW31" s="66">
        <f t="shared" si="7"/>
        <v>3263.5294117647059</v>
      </c>
      <c r="CX31" s="128">
        <f t="shared" si="8"/>
        <v>20440</v>
      </c>
      <c r="CY31" s="109">
        <f t="shared" si="4"/>
        <v>817600</v>
      </c>
      <c r="CZ31" s="110" t="s">
        <v>902</v>
      </c>
    </row>
    <row r="32" spans="1:104" ht="51" x14ac:dyDescent="0.2">
      <c r="A32" s="129">
        <v>28</v>
      </c>
      <c r="B32" s="62" t="s">
        <v>267</v>
      </c>
      <c r="C32" s="110" t="s">
        <v>273</v>
      </c>
      <c r="D32" s="63" t="s">
        <v>232</v>
      </c>
      <c r="E32" s="11">
        <v>40</v>
      </c>
      <c r="F32" s="27"/>
      <c r="G32" s="27"/>
      <c r="H32" s="27"/>
      <c r="I32" s="27"/>
      <c r="J32" s="27"/>
      <c r="K32" s="27"/>
      <c r="L32" s="27"/>
      <c r="M32" s="27"/>
      <c r="N32" s="76">
        <f>21900/1.19</f>
        <v>18403.361344537814</v>
      </c>
      <c r="O32" s="54">
        <f t="shared" si="12"/>
        <v>3496.6386554621849</v>
      </c>
      <c r="P32" s="54">
        <f t="shared" si="13"/>
        <v>25028.571428571428</v>
      </c>
      <c r="Q32" s="27"/>
      <c r="R32" s="27"/>
      <c r="S32" s="27"/>
      <c r="T32" s="27"/>
      <c r="U32" s="27"/>
      <c r="V32" s="27"/>
      <c r="W32" s="27"/>
      <c r="X32" s="27"/>
      <c r="Y32" s="27"/>
      <c r="Z32" s="27"/>
      <c r="AA32" s="27"/>
      <c r="AB32" s="27"/>
      <c r="AC32" s="27"/>
      <c r="AD32" s="27"/>
      <c r="AE32" s="27"/>
      <c r="AF32" s="27"/>
      <c r="AG32" s="27"/>
      <c r="AH32" s="27"/>
      <c r="AI32" s="27"/>
      <c r="AJ32" s="69"/>
      <c r="AK32" s="69"/>
      <c r="AL32" s="69"/>
      <c r="AM32" s="69"/>
      <c r="AN32" s="69"/>
      <c r="AO32" s="69"/>
      <c r="AP32" s="139">
        <f>15900/1.19</f>
        <v>13361.344537815126</v>
      </c>
      <c r="AQ32" s="54">
        <f>AP32*19%</f>
        <v>2538.6554621848741</v>
      </c>
      <c r="AR32" s="54">
        <f>AP32*1.36</f>
        <v>18171.428571428572</v>
      </c>
      <c r="AS32" s="27"/>
      <c r="AT32" s="27"/>
      <c r="AU32" s="27"/>
      <c r="AV32" s="27"/>
      <c r="AW32" s="27"/>
      <c r="AX32" s="27"/>
      <c r="AY32" s="27"/>
      <c r="AZ32" s="27"/>
      <c r="BA32" s="27"/>
      <c r="BB32" s="27"/>
      <c r="BC32" s="27"/>
      <c r="BD32" s="27"/>
      <c r="BE32" s="27"/>
      <c r="BF32" s="27"/>
      <c r="BG32" s="27"/>
      <c r="BH32" s="27"/>
      <c r="BI32" s="27"/>
      <c r="BJ32" s="27"/>
      <c r="BK32" s="27"/>
      <c r="BL32" s="27"/>
      <c r="BM32" s="27"/>
      <c r="BN32" s="27"/>
      <c r="BO32" s="27"/>
      <c r="BP32" s="27"/>
      <c r="BQ32" s="27"/>
      <c r="BR32" s="27"/>
      <c r="BS32" s="27"/>
      <c r="BT32" s="27"/>
      <c r="BU32" s="27"/>
      <c r="BV32" s="27"/>
      <c r="BW32" s="27"/>
      <c r="BX32" s="27"/>
      <c r="BY32" s="27"/>
      <c r="BZ32" s="27"/>
      <c r="CA32" s="27"/>
      <c r="CB32" s="27"/>
      <c r="CC32" s="27"/>
      <c r="CD32" s="27"/>
      <c r="CE32" s="27"/>
      <c r="CF32" s="54"/>
      <c r="CG32" s="54"/>
      <c r="CH32" s="54"/>
      <c r="CI32" s="54"/>
      <c r="CJ32" s="54"/>
      <c r="CK32" s="54"/>
      <c r="CL32" s="54"/>
      <c r="CM32" s="54"/>
      <c r="CN32" s="54"/>
      <c r="CO32" s="54"/>
      <c r="CP32" s="54"/>
      <c r="CQ32" s="54"/>
      <c r="CR32" s="107">
        <f t="shared" si="9"/>
        <v>21600</v>
      </c>
      <c r="CS32" s="107">
        <f t="shared" si="10"/>
        <v>21600</v>
      </c>
      <c r="CT32" s="108">
        <f t="shared" si="11"/>
        <v>4848.7322138506079</v>
      </c>
      <c r="CU32" s="65">
        <f t="shared" si="5"/>
        <v>0.22447834323382443</v>
      </c>
      <c r="CV32" s="66">
        <f t="shared" si="6"/>
        <v>18151.26050420168</v>
      </c>
      <c r="CW32" s="66">
        <f t="shared" si="7"/>
        <v>3448.7394957983192</v>
      </c>
      <c r="CX32" s="128">
        <f t="shared" si="8"/>
        <v>21600</v>
      </c>
      <c r="CY32" s="109">
        <f t="shared" si="4"/>
        <v>864000</v>
      </c>
      <c r="CZ32" s="110" t="s">
        <v>902</v>
      </c>
    </row>
    <row r="33" spans="1:104" ht="29" customHeight="1" x14ac:dyDescent="0.2">
      <c r="A33" s="129">
        <v>29</v>
      </c>
      <c r="B33" s="62" t="s">
        <v>267</v>
      </c>
      <c r="C33" s="110" t="s">
        <v>274</v>
      </c>
      <c r="D33" s="63" t="s">
        <v>232</v>
      </c>
      <c r="E33" s="11">
        <v>40</v>
      </c>
      <c r="F33" s="27"/>
      <c r="G33" s="27"/>
      <c r="H33" s="27"/>
      <c r="I33" s="27"/>
      <c r="J33" s="27"/>
      <c r="K33" s="27"/>
      <c r="L33" s="27"/>
      <c r="M33" s="27"/>
      <c r="N33" s="45">
        <f>25900/1.19</f>
        <v>21764.705882352941</v>
      </c>
      <c r="O33" s="54">
        <f t="shared" si="12"/>
        <v>4135.2941176470586</v>
      </c>
      <c r="P33" s="54">
        <f t="shared" si="13"/>
        <v>29600</v>
      </c>
      <c r="Q33" s="27"/>
      <c r="R33" s="27"/>
      <c r="S33" s="27"/>
      <c r="T33" s="27"/>
      <c r="U33" s="27"/>
      <c r="V33" s="27"/>
      <c r="W33" s="27"/>
      <c r="X33" s="27"/>
      <c r="Y33" s="27"/>
      <c r="Z33" s="27"/>
      <c r="AA33" s="27"/>
      <c r="AB33" s="27"/>
      <c r="AC33" s="27"/>
      <c r="AD33" s="27"/>
      <c r="AE33" s="27"/>
      <c r="AF33" s="27"/>
      <c r="AG33" s="27"/>
      <c r="AH33" s="27"/>
      <c r="AI33" s="27"/>
      <c r="AJ33" s="69">
        <v>12852.941176470589</v>
      </c>
      <c r="AK33" s="69">
        <f>AJ33*19%</f>
        <v>2442.0588235294122</v>
      </c>
      <c r="AL33" s="69">
        <f>AJ33*1.36</f>
        <v>17480.000000000004</v>
      </c>
      <c r="AM33" s="27"/>
      <c r="AN33" s="27"/>
      <c r="AO33" s="27"/>
      <c r="AP33" s="45">
        <f>25900/1.19</f>
        <v>21764.705882352941</v>
      </c>
      <c r="AQ33" s="45">
        <f>AP33*19%</f>
        <v>4135.2941176470586</v>
      </c>
      <c r="AR33" s="45">
        <f>AP33*1.36</f>
        <v>29600</v>
      </c>
      <c r="AS33" s="27"/>
      <c r="AT33" s="27"/>
      <c r="AU33" s="27"/>
      <c r="AV33" s="27"/>
      <c r="AW33" s="27"/>
      <c r="AX33" s="27"/>
      <c r="AY33" s="27"/>
      <c r="AZ33" s="27"/>
      <c r="BA33" s="27"/>
      <c r="BB33" s="27"/>
      <c r="BC33" s="27"/>
      <c r="BD33" s="27"/>
      <c r="BE33" s="27"/>
      <c r="BF33" s="27"/>
      <c r="BG33" s="27"/>
      <c r="BH33" s="27"/>
      <c r="BI33" s="27"/>
      <c r="BJ33" s="27"/>
      <c r="BK33" s="27"/>
      <c r="BL33" s="27"/>
      <c r="BM33" s="27"/>
      <c r="BN33" s="27"/>
      <c r="BO33" s="27"/>
      <c r="BP33" s="27"/>
      <c r="BQ33" s="27"/>
      <c r="BR33" s="27"/>
      <c r="BS33" s="27"/>
      <c r="BT33" s="27"/>
      <c r="BU33" s="27"/>
      <c r="BV33" s="27"/>
      <c r="BW33" s="27"/>
      <c r="BX33" s="27"/>
      <c r="BY33" s="27"/>
      <c r="BZ33" s="27"/>
      <c r="CA33" s="27"/>
      <c r="CB33" s="27"/>
      <c r="CC33" s="27"/>
      <c r="CD33" s="27"/>
      <c r="CE33" s="27"/>
      <c r="CF33" s="54"/>
      <c r="CG33" s="54"/>
      <c r="CH33" s="54"/>
      <c r="CI33" s="54"/>
      <c r="CJ33" s="54"/>
      <c r="CK33" s="54"/>
      <c r="CL33" s="54"/>
      <c r="CM33" s="54"/>
      <c r="CN33" s="54"/>
      <c r="CO33" s="54"/>
      <c r="CP33" s="54"/>
      <c r="CQ33" s="54"/>
      <c r="CR33" s="107">
        <f t="shared" si="9"/>
        <v>29600</v>
      </c>
      <c r="CS33" s="107">
        <f t="shared" si="10"/>
        <v>25560</v>
      </c>
      <c r="CT33" s="108">
        <f t="shared" si="11"/>
        <v>6997.4852625782642</v>
      </c>
      <c r="CU33" s="65">
        <f t="shared" si="5"/>
        <v>0.27376702905235778</v>
      </c>
      <c r="CV33" s="66">
        <f t="shared" si="6"/>
        <v>24873.949579831933</v>
      </c>
      <c r="CW33" s="66">
        <f t="shared" si="7"/>
        <v>4726.0504201680669</v>
      </c>
      <c r="CX33" s="128">
        <f t="shared" si="8"/>
        <v>29600</v>
      </c>
      <c r="CY33" s="109">
        <f t="shared" si="4"/>
        <v>1184000</v>
      </c>
      <c r="CZ33" s="110" t="s">
        <v>902</v>
      </c>
    </row>
    <row r="34" spans="1:104" ht="51" x14ac:dyDescent="0.2">
      <c r="A34" s="129">
        <v>30</v>
      </c>
      <c r="B34" s="62" t="s">
        <v>275</v>
      </c>
      <c r="C34" s="110" t="s">
        <v>276</v>
      </c>
      <c r="D34" s="63" t="s">
        <v>232</v>
      </c>
      <c r="E34" s="11">
        <v>40</v>
      </c>
      <c r="F34" s="27"/>
      <c r="G34" s="27"/>
      <c r="H34" s="27"/>
      <c r="I34" s="27"/>
      <c r="J34" s="27"/>
      <c r="K34" s="27"/>
      <c r="L34" s="27"/>
      <c r="M34" s="27"/>
      <c r="N34" s="54">
        <f>210900/1.19</f>
        <v>177226.89075630254</v>
      </c>
      <c r="O34" s="54">
        <f t="shared" si="12"/>
        <v>33673.109243697487</v>
      </c>
      <c r="P34" s="54">
        <f t="shared" si="13"/>
        <v>241028.57142857148</v>
      </c>
      <c r="Q34" s="27"/>
      <c r="R34" s="27"/>
      <c r="S34" s="27"/>
      <c r="T34" s="27"/>
      <c r="U34" s="27"/>
      <c r="V34" s="27"/>
      <c r="W34" s="27"/>
      <c r="X34" s="27"/>
      <c r="Y34" s="27"/>
      <c r="Z34" s="27"/>
      <c r="AA34" s="27"/>
      <c r="AB34" s="27"/>
      <c r="AC34" s="27"/>
      <c r="AD34" s="27"/>
      <c r="AE34" s="27"/>
      <c r="AF34" s="27"/>
      <c r="AG34" s="27"/>
      <c r="AH34" s="27"/>
      <c r="AI34" s="27"/>
      <c r="AJ34" s="27"/>
      <c r="AK34" s="27"/>
      <c r="AL34" s="27"/>
      <c r="AM34" s="27"/>
      <c r="AN34" s="27"/>
      <c r="AO34" s="27"/>
      <c r="AP34" s="27"/>
      <c r="AQ34" s="27"/>
      <c r="AR34" s="27"/>
      <c r="AS34" s="27"/>
      <c r="AT34" s="27"/>
      <c r="AU34" s="27"/>
      <c r="AV34" s="27"/>
      <c r="AW34" s="27"/>
      <c r="AX34" s="27"/>
      <c r="AY34" s="27"/>
      <c r="AZ34" s="27"/>
      <c r="BA34" s="27"/>
      <c r="BB34" s="27"/>
      <c r="BC34" s="27"/>
      <c r="BD34" s="27"/>
      <c r="BE34" s="27"/>
      <c r="BF34" s="27"/>
      <c r="BG34" s="27"/>
      <c r="BH34" s="45">
        <f>212090/1.19</f>
        <v>178226.89075630254</v>
      </c>
      <c r="BI34" s="45">
        <f>BH34*19%</f>
        <v>33863.109243697487</v>
      </c>
      <c r="BJ34" s="45">
        <f>BH34*1.36</f>
        <v>242388.57142857148</v>
      </c>
      <c r="BK34" s="27"/>
      <c r="BL34" s="27"/>
      <c r="BM34" s="27"/>
      <c r="BN34" s="27"/>
      <c r="BO34" s="27"/>
      <c r="BP34" s="27"/>
      <c r="BQ34" s="27"/>
      <c r="BR34" s="27"/>
      <c r="BS34" s="27"/>
      <c r="BT34" s="27"/>
      <c r="BU34" s="27"/>
      <c r="BV34" s="27"/>
      <c r="BW34" s="27"/>
      <c r="BX34" s="27"/>
      <c r="BY34" s="27"/>
      <c r="BZ34" s="27"/>
      <c r="CA34" s="27"/>
      <c r="CB34" s="27"/>
      <c r="CC34" s="27"/>
      <c r="CD34" s="27"/>
      <c r="CE34" s="45">
        <v>250965.00000000003</v>
      </c>
      <c r="CF34" s="54"/>
      <c r="CG34" s="45">
        <v>191173.5</v>
      </c>
      <c r="CH34" s="45">
        <v>186000</v>
      </c>
      <c r="CI34" s="45"/>
      <c r="CJ34" s="45"/>
      <c r="CK34" s="45"/>
      <c r="CL34" s="45"/>
      <c r="CM34" s="45"/>
      <c r="CN34" s="45"/>
      <c r="CO34" s="45"/>
      <c r="CP34" s="45"/>
      <c r="CQ34" s="45"/>
      <c r="CR34" s="107">
        <f t="shared" si="9"/>
        <v>241028.57142857148</v>
      </c>
      <c r="CS34" s="107">
        <f t="shared" si="10"/>
        <v>222311.12857142859</v>
      </c>
      <c r="CT34" s="108">
        <f t="shared" si="11"/>
        <v>31074.670946851569</v>
      </c>
      <c r="CU34" s="65">
        <f t="shared" si="5"/>
        <v>0.13978009623961435</v>
      </c>
      <c r="CV34" s="66">
        <f t="shared" si="6"/>
        <v>186816.80672268907</v>
      </c>
      <c r="CW34" s="66">
        <f t="shared" si="7"/>
        <v>35495.193277310922</v>
      </c>
      <c r="CX34" s="128">
        <f t="shared" si="8"/>
        <v>222312</v>
      </c>
      <c r="CY34" s="109">
        <f t="shared" si="4"/>
        <v>8892480</v>
      </c>
      <c r="CZ34" s="110" t="s">
        <v>902</v>
      </c>
    </row>
    <row r="35" spans="1:104" ht="47.25" customHeight="1" x14ac:dyDescent="0.2">
      <c r="A35" s="129">
        <v>31</v>
      </c>
      <c r="B35" s="62" t="s">
        <v>277</v>
      </c>
      <c r="C35" s="110" t="s">
        <v>1101</v>
      </c>
      <c r="D35" s="11" t="s">
        <v>1093</v>
      </c>
      <c r="E35" s="11">
        <v>40</v>
      </c>
      <c r="F35" s="27"/>
      <c r="G35" s="27"/>
      <c r="H35" s="27"/>
      <c r="I35" s="27"/>
      <c r="J35" s="27"/>
      <c r="K35" s="27"/>
      <c r="L35" s="27"/>
      <c r="M35" s="27"/>
      <c r="N35" s="27"/>
      <c r="O35" s="27"/>
      <c r="P35" s="27"/>
      <c r="Q35" s="27"/>
      <c r="R35" s="27"/>
      <c r="S35" s="27"/>
      <c r="T35" s="27"/>
      <c r="U35" s="27"/>
      <c r="V35" s="27"/>
      <c r="W35" s="27"/>
      <c r="X35" s="27"/>
      <c r="Y35" s="27"/>
      <c r="Z35" s="27"/>
      <c r="AA35" s="27"/>
      <c r="AB35" s="27"/>
      <c r="AC35" s="27"/>
      <c r="AD35" s="27"/>
      <c r="AE35" s="27"/>
      <c r="AF35" s="27"/>
      <c r="AG35" s="27"/>
      <c r="AH35" s="27"/>
      <c r="AI35" s="27"/>
      <c r="AJ35" s="27"/>
      <c r="AK35" s="27"/>
      <c r="AL35" s="27"/>
      <c r="AM35" s="27"/>
      <c r="AN35" s="27"/>
      <c r="AO35" s="27"/>
      <c r="AP35" s="27"/>
      <c r="AQ35" s="27"/>
      <c r="AR35" s="27"/>
      <c r="AS35" s="27"/>
      <c r="AT35" s="27"/>
      <c r="AU35" s="27"/>
      <c r="AV35" s="27"/>
      <c r="AW35" s="27"/>
      <c r="AX35" s="27"/>
      <c r="AY35" s="27"/>
      <c r="AZ35" s="27"/>
      <c r="BA35" s="27"/>
      <c r="BB35" s="27"/>
      <c r="BC35" s="27"/>
      <c r="BD35" s="27"/>
      <c r="BE35" s="27"/>
      <c r="BF35" s="27"/>
      <c r="BG35" s="27"/>
      <c r="BH35" s="27"/>
      <c r="BI35" s="27"/>
      <c r="BJ35" s="27"/>
      <c r="BK35" s="27"/>
      <c r="BL35" s="27"/>
      <c r="BM35" s="27"/>
      <c r="BN35" s="27"/>
      <c r="BO35" s="27"/>
      <c r="BP35" s="27"/>
      <c r="BQ35" s="27"/>
      <c r="BR35" s="27"/>
      <c r="BS35" s="27"/>
      <c r="BT35" s="27"/>
      <c r="BU35" s="27"/>
      <c r="BV35" s="27"/>
      <c r="BW35" s="27"/>
      <c r="BX35" s="27"/>
      <c r="BY35" s="27"/>
      <c r="BZ35" s="27"/>
      <c r="CA35" s="27"/>
      <c r="CB35" s="27"/>
      <c r="CC35" s="27"/>
      <c r="CD35" s="45">
        <f>68907.56*1.19</f>
        <v>81999.996399999989</v>
      </c>
      <c r="CE35" s="45"/>
      <c r="CF35" s="54">
        <v>59300</v>
      </c>
      <c r="CG35" s="54"/>
      <c r="CH35" s="54"/>
      <c r="CI35" s="54"/>
      <c r="CJ35" s="54"/>
      <c r="CK35" s="54"/>
      <c r="CL35" s="54"/>
      <c r="CM35" s="54"/>
      <c r="CN35" s="54"/>
      <c r="CO35" s="54"/>
      <c r="CP35" s="54"/>
      <c r="CQ35" s="54"/>
      <c r="CR35" s="107">
        <f t="shared" si="9"/>
        <v>70649.998200000002</v>
      </c>
      <c r="CS35" s="107">
        <f t="shared" si="10"/>
        <v>70649.998200000002</v>
      </c>
      <c r="CT35" s="108">
        <f t="shared" si="11"/>
        <v>16051.321387350095</v>
      </c>
      <c r="CU35" s="65">
        <f t="shared" si="5"/>
        <v>0.2271949298839486</v>
      </c>
      <c r="CV35" s="66">
        <f t="shared" si="6"/>
        <v>59369.747899159665</v>
      </c>
      <c r="CW35" s="66">
        <f t="shared" si="7"/>
        <v>11280.252100840336</v>
      </c>
      <c r="CX35" s="128">
        <f t="shared" si="8"/>
        <v>70650</v>
      </c>
      <c r="CY35" s="109">
        <f t="shared" si="4"/>
        <v>2826000</v>
      </c>
      <c r="CZ35" s="110" t="s">
        <v>902</v>
      </c>
    </row>
    <row r="36" spans="1:104" ht="51" x14ac:dyDescent="0.2">
      <c r="A36" s="129">
        <v>32</v>
      </c>
      <c r="B36" s="130" t="s">
        <v>874</v>
      </c>
      <c r="C36" s="110" t="s">
        <v>942</v>
      </c>
      <c r="D36" s="11" t="s">
        <v>239</v>
      </c>
      <c r="E36" s="11">
        <v>48</v>
      </c>
      <c r="F36" s="27"/>
      <c r="G36" s="27"/>
      <c r="H36" s="27"/>
      <c r="I36" s="27"/>
      <c r="J36" s="27"/>
      <c r="K36" s="27"/>
      <c r="L36" s="27"/>
      <c r="M36" s="27"/>
      <c r="N36" s="27"/>
      <c r="O36" s="27"/>
      <c r="P36" s="27"/>
      <c r="Q36" s="27"/>
      <c r="R36" s="27"/>
      <c r="S36" s="27"/>
      <c r="T36" s="27"/>
      <c r="U36" s="27"/>
      <c r="V36" s="27"/>
      <c r="W36" s="27"/>
      <c r="X36" s="27"/>
      <c r="Y36" s="27"/>
      <c r="Z36" s="27"/>
      <c r="AA36" s="27"/>
      <c r="AB36" s="27"/>
      <c r="AC36" s="27"/>
      <c r="AD36" s="27"/>
      <c r="AE36" s="27"/>
      <c r="AF36" s="27"/>
      <c r="AG36" s="27"/>
      <c r="AH36" s="27"/>
      <c r="AI36" s="27"/>
      <c r="AJ36" s="27"/>
      <c r="AK36" s="27"/>
      <c r="AL36" s="27"/>
      <c r="AM36" s="27"/>
      <c r="AN36" s="27"/>
      <c r="AO36" s="27"/>
      <c r="AP36" s="27"/>
      <c r="AQ36" s="27"/>
      <c r="AR36" s="27"/>
      <c r="AS36" s="69">
        <v>1898949.5798319329</v>
      </c>
      <c r="AT36" s="69">
        <f>AS36*19%</f>
        <v>360800.42016806727</v>
      </c>
      <c r="AU36" s="69">
        <f>(AS36*1.17)+AT36</f>
        <v>2582571.4285714286</v>
      </c>
      <c r="AV36" s="45">
        <v>1633193.2773109244</v>
      </c>
      <c r="AW36" s="45">
        <f>AV36*19%</f>
        <v>310306.72268907563</v>
      </c>
      <c r="AX36" s="69">
        <f>(AV36*1.17)+AW36</f>
        <v>2221142.8571428573</v>
      </c>
      <c r="AY36" s="27"/>
      <c r="AZ36" s="27"/>
      <c r="BA36" s="27"/>
      <c r="BB36" s="27"/>
      <c r="BC36" s="27"/>
      <c r="BD36" s="27"/>
      <c r="BE36" s="27"/>
      <c r="BF36" s="27"/>
      <c r="BG36" s="27"/>
      <c r="BH36" s="27"/>
      <c r="BI36" s="27"/>
      <c r="BJ36" s="27"/>
      <c r="BK36" s="27"/>
      <c r="BL36" s="27"/>
      <c r="BM36" s="27"/>
      <c r="BN36" s="27"/>
      <c r="BO36" s="27"/>
      <c r="BP36" s="27"/>
      <c r="BQ36" s="27"/>
      <c r="BR36" s="27"/>
      <c r="BS36" s="27"/>
      <c r="BT36" s="27"/>
      <c r="BU36" s="27"/>
      <c r="BV36" s="27"/>
      <c r="BW36" s="27"/>
      <c r="BX36" s="27"/>
      <c r="BY36" s="27"/>
      <c r="BZ36" s="27"/>
      <c r="CA36" s="27"/>
      <c r="CB36" s="27"/>
      <c r="CC36" s="27"/>
      <c r="CD36" s="27"/>
      <c r="CE36" s="27"/>
      <c r="CF36" s="54"/>
      <c r="CG36" s="54"/>
      <c r="CH36" s="54"/>
      <c r="CI36" s="54"/>
      <c r="CJ36" s="54"/>
      <c r="CK36" s="54"/>
      <c r="CL36" s="54"/>
      <c r="CM36" s="54"/>
      <c r="CN36" s="54"/>
      <c r="CO36" s="54"/>
      <c r="CP36" s="54"/>
      <c r="CQ36" s="54"/>
      <c r="CR36" s="107">
        <f t="shared" si="9"/>
        <v>2401857.1428571427</v>
      </c>
      <c r="CS36" s="107">
        <f t="shared" si="10"/>
        <v>2401857.1428571427</v>
      </c>
      <c r="CT36" s="108">
        <f t="shared" si="11"/>
        <v>255568.59377170927</v>
      </c>
      <c r="CU36" s="65">
        <f t="shared" si="5"/>
        <v>0.10640457719633409</v>
      </c>
      <c r="CV36" s="66">
        <f t="shared" si="6"/>
        <v>2018368.0672268909</v>
      </c>
      <c r="CW36" s="66">
        <f t="shared" si="7"/>
        <v>383489.93277310929</v>
      </c>
      <c r="CX36" s="128">
        <f t="shared" si="8"/>
        <v>2401858</v>
      </c>
      <c r="CY36" s="109">
        <f t="shared" si="4"/>
        <v>115289184</v>
      </c>
      <c r="CZ36" s="110" t="s">
        <v>903</v>
      </c>
    </row>
    <row r="37" spans="1:104" ht="36.75" customHeight="1" x14ac:dyDescent="0.2">
      <c r="A37" s="129">
        <v>33</v>
      </c>
      <c r="B37" s="62" t="s">
        <v>278</v>
      </c>
      <c r="C37" s="110" t="s">
        <v>945</v>
      </c>
      <c r="D37" s="11" t="s">
        <v>232</v>
      </c>
      <c r="E37" s="11">
        <v>30</v>
      </c>
      <c r="F37" s="27"/>
      <c r="G37" s="27"/>
      <c r="H37" s="27"/>
      <c r="I37" s="27"/>
      <c r="J37" s="27"/>
      <c r="K37" s="27"/>
      <c r="L37" s="132">
        <v>28000</v>
      </c>
      <c r="M37" s="132">
        <f>((L37*5.1%)+L37)</f>
        <v>29428</v>
      </c>
      <c r="N37" s="45">
        <f>29900/1.19</f>
        <v>25126.050420168067</v>
      </c>
      <c r="O37" s="45">
        <f>N37*19%</f>
        <v>4773.9495798319331</v>
      </c>
      <c r="P37" s="45">
        <f>N37*1.36</f>
        <v>34171.428571428572</v>
      </c>
      <c r="Q37" s="27"/>
      <c r="R37" s="27"/>
      <c r="S37" s="27"/>
      <c r="T37" s="27"/>
      <c r="U37" s="27"/>
      <c r="V37" s="27"/>
      <c r="W37" s="27"/>
      <c r="X37" s="27"/>
      <c r="Y37" s="27"/>
      <c r="Z37" s="27"/>
      <c r="AA37" s="27"/>
      <c r="AB37" s="27"/>
      <c r="AC37" s="27"/>
      <c r="AD37" s="27"/>
      <c r="AE37" s="27"/>
      <c r="AF37" s="27"/>
      <c r="AG37" s="27"/>
      <c r="AH37" s="27"/>
      <c r="AI37" s="27"/>
      <c r="AJ37" s="27"/>
      <c r="AK37" s="27"/>
      <c r="AL37" s="27"/>
      <c r="AM37" s="27"/>
      <c r="AN37" s="27"/>
      <c r="AO37" s="27"/>
      <c r="AP37" s="27"/>
      <c r="AQ37" s="27"/>
      <c r="AR37" s="27"/>
      <c r="AS37" s="27"/>
      <c r="AT37" s="27"/>
      <c r="AU37" s="27"/>
      <c r="AV37" s="27"/>
      <c r="AW37" s="27"/>
      <c r="AX37" s="27"/>
      <c r="AY37" s="27"/>
      <c r="AZ37" s="27"/>
      <c r="BA37" s="27"/>
      <c r="BB37" s="27"/>
      <c r="BC37" s="27"/>
      <c r="BD37" s="27"/>
      <c r="BE37" s="27"/>
      <c r="BF37" s="27"/>
      <c r="BG37" s="27"/>
      <c r="BH37" s="27"/>
      <c r="BI37" s="27"/>
      <c r="BJ37" s="27"/>
      <c r="BK37" s="27"/>
      <c r="BL37" s="27"/>
      <c r="BM37" s="27"/>
      <c r="BN37" s="27"/>
      <c r="BO37" s="27"/>
      <c r="BP37" s="27"/>
      <c r="BQ37" s="27"/>
      <c r="BR37" s="27"/>
      <c r="BS37" s="27"/>
      <c r="BT37" s="27"/>
      <c r="BU37" s="27"/>
      <c r="BV37" s="27"/>
      <c r="BW37" s="27"/>
      <c r="BX37" s="27"/>
      <c r="BY37" s="27"/>
      <c r="BZ37" s="27"/>
      <c r="CA37" s="27"/>
      <c r="CB37" s="27"/>
      <c r="CC37" s="27"/>
      <c r="CD37" s="27"/>
      <c r="CE37" s="27"/>
      <c r="CF37" s="54"/>
      <c r="CG37" s="54"/>
      <c r="CH37" s="54"/>
      <c r="CI37" s="54"/>
      <c r="CJ37" s="54"/>
      <c r="CK37" s="54"/>
      <c r="CL37" s="54"/>
      <c r="CM37" s="54"/>
      <c r="CN37" s="54"/>
      <c r="CO37" s="54"/>
      <c r="CP37" s="54"/>
      <c r="CQ37" s="54"/>
      <c r="CR37" s="107">
        <f t="shared" si="9"/>
        <v>31799.714285714286</v>
      </c>
      <c r="CS37" s="107">
        <f t="shared" si="10"/>
        <v>31799.714285714286</v>
      </c>
      <c r="CT37" s="108">
        <f t="shared" si="11"/>
        <v>3354.1105089311613</v>
      </c>
      <c r="CU37" s="65">
        <f t="shared" si="5"/>
        <v>0.1054761209108713</v>
      </c>
      <c r="CV37" s="66">
        <f>CX37/1.05</f>
        <v>30285.714285714286</v>
      </c>
      <c r="CW37" s="66">
        <f>CV37*5%</f>
        <v>1514.2857142857144</v>
      </c>
      <c r="CX37" s="128">
        <f>ROUNDUP(IF(CU37&lt;15%,CS37,CR37),0)</f>
        <v>31800</v>
      </c>
      <c r="CY37" s="109">
        <f t="shared" ref="CY37:CY68" si="14">CX37*E37</f>
        <v>954000</v>
      </c>
      <c r="CZ37" s="110" t="s">
        <v>903</v>
      </c>
    </row>
    <row r="38" spans="1:104" ht="32.25" customHeight="1" x14ac:dyDescent="0.2">
      <c r="A38" s="129">
        <v>34</v>
      </c>
      <c r="B38" s="62" t="s">
        <v>279</v>
      </c>
      <c r="C38" s="110" t="s">
        <v>280</v>
      </c>
      <c r="D38" s="11" t="s">
        <v>232</v>
      </c>
      <c r="E38" s="11">
        <v>30</v>
      </c>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27"/>
      <c r="AH38" s="27"/>
      <c r="AI38" s="27"/>
      <c r="AJ38" s="27"/>
      <c r="AK38" s="27"/>
      <c r="AL38" s="27"/>
      <c r="AM38" s="69">
        <v>29571.428571428572</v>
      </c>
      <c r="AN38" s="69">
        <f>AM38*19%</f>
        <v>5618.5714285714284</v>
      </c>
      <c r="AO38" s="69">
        <f>(AM38*1.17)+AN38</f>
        <v>40217.142857142855</v>
      </c>
      <c r="AP38" s="27"/>
      <c r="AQ38" s="27"/>
      <c r="AR38" s="27"/>
      <c r="AS38" s="27"/>
      <c r="AT38" s="27"/>
      <c r="AU38" s="27"/>
      <c r="AV38" s="27"/>
      <c r="AW38" s="27"/>
      <c r="AX38" s="27"/>
      <c r="AY38" s="69">
        <v>34886.554621848743</v>
      </c>
      <c r="AZ38" s="69">
        <f>AY38*19%</f>
        <v>6628.4453781512611</v>
      </c>
      <c r="BA38" s="69">
        <f>(AY38*1.17)+AZ38</f>
        <v>47445.71428571429</v>
      </c>
      <c r="BB38" s="27"/>
      <c r="BC38" s="27"/>
      <c r="BD38" s="27"/>
      <c r="BE38" s="27"/>
      <c r="BF38" s="27"/>
      <c r="BG38" s="27"/>
      <c r="BH38" s="27"/>
      <c r="BI38" s="27"/>
      <c r="BJ38" s="27"/>
      <c r="BK38" s="27"/>
      <c r="BL38" s="27"/>
      <c r="BM38" s="27"/>
      <c r="BN38" s="27"/>
      <c r="BO38" s="27"/>
      <c r="BP38" s="27"/>
      <c r="BQ38" s="27"/>
      <c r="BR38" s="27"/>
      <c r="BS38" s="27"/>
      <c r="BT38" s="27"/>
      <c r="BU38" s="27"/>
      <c r="BV38" s="27"/>
      <c r="BW38" s="27"/>
      <c r="BX38" s="27"/>
      <c r="BY38" s="27"/>
      <c r="BZ38" s="27"/>
      <c r="CA38" s="27"/>
      <c r="CB38" s="27"/>
      <c r="CC38" s="27"/>
      <c r="CD38" s="27"/>
      <c r="CE38" s="27"/>
      <c r="CF38" s="54"/>
      <c r="CG38" s="54"/>
      <c r="CH38" s="54"/>
      <c r="CI38" s="54"/>
      <c r="CJ38" s="54"/>
      <c r="CK38" s="54"/>
      <c r="CL38" s="54"/>
      <c r="CM38" s="54"/>
      <c r="CN38" s="54"/>
      <c r="CO38" s="54"/>
      <c r="CP38" s="54"/>
      <c r="CQ38" s="54"/>
      <c r="CR38" s="107">
        <f t="shared" si="9"/>
        <v>43831.428571428572</v>
      </c>
      <c r="CS38" s="107">
        <f t="shared" si="10"/>
        <v>43831.428571428572</v>
      </c>
      <c r="CT38" s="108">
        <f t="shared" si="11"/>
        <v>5111.3718754341908</v>
      </c>
      <c r="CU38" s="65">
        <f t="shared" si="5"/>
        <v>0.11661431173991048</v>
      </c>
      <c r="CV38" s="66">
        <f t="shared" si="6"/>
        <v>36833.613445378156</v>
      </c>
      <c r="CW38" s="66">
        <f t="shared" si="7"/>
        <v>6998.3865546218494</v>
      </c>
      <c r="CX38" s="128">
        <f t="shared" si="8"/>
        <v>43832</v>
      </c>
      <c r="CY38" s="109">
        <f t="shared" si="14"/>
        <v>1314960</v>
      </c>
      <c r="CZ38" s="110" t="s">
        <v>903</v>
      </c>
    </row>
    <row r="39" spans="1:104" ht="15.5" customHeight="1" x14ac:dyDescent="0.2">
      <c r="A39" s="129">
        <v>35</v>
      </c>
      <c r="B39" s="62" t="s">
        <v>281</v>
      </c>
      <c r="C39" s="110" t="s">
        <v>947</v>
      </c>
      <c r="D39" s="140" t="s">
        <v>232</v>
      </c>
      <c r="E39" s="141">
        <v>30</v>
      </c>
      <c r="F39" s="27"/>
      <c r="G39" s="27"/>
      <c r="H39" s="27"/>
      <c r="I39" s="27"/>
      <c r="J39" s="27"/>
      <c r="K39" s="27"/>
      <c r="L39" s="132">
        <v>32000</v>
      </c>
      <c r="M39" s="132">
        <f>((L39*5.1%)+L39)</f>
        <v>33632</v>
      </c>
      <c r="N39" s="45">
        <f>41900/1.19</f>
        <v>35210.08403361345</v>
      </c>
      <c r="O39" s="45">
        <f>N39*19%</f>
        <v>6689.9159663865557</v>
      </c>
      <c r="P39" s="45">
        <f>N39*1.36</f>
        <v>47885.714285714297</v>
      </c>
      <c r="Q39" s="27"/>
      <c r="R39" s="27"/>
      <c r="S39" s="27"/>
      <c r="T39" s="27"/>
      <c r="U39" s="27"/>
      <c r="V39" s="27"/>
      <c r="W39" s="27"/>
      <c r="X39" s="27"/>
      <c r="Y39" s="27"/>
      <c r="Z39" s="27"/>
      <c r="AA39" s="27"/>
      <c r="AB39" s="27"/>
      <c r="AC39" s="27"/>
      <c r="AD39" s="27"/>
      <c r="AE39" s="27"/>
      <c r="AF39" s="27"/>
      <c r="AG39" s="27"/>
      <c r="AH39" s="27"/>
      <c r="AI39" s="27"/>
      <c r="AJ39" s="27"/>
      <c r="AK39" s="27"/>
      <c r="AL39" s="27"/>
      <c r="AM39" s="27"/>
      <c r="AN39" s="27"/>
      <c r="AO39" s="27"/>
      <c r="AP39" s="27"/>
      <c r="AQ39" s="27"/>
      <c r="AR39" s="27"/>
      <c r="AS39" s="27"/>
      <c r="AT39" s="27"/>
      <c r="AU39" s="27"/>
      <c r="AV39" s="27"/>
      <c r="AW39" s="27"/>
      <c r="AX39" s="27"/>
      <c r="AY39" s="27"/>
      <c r="AZ39" s="27"/>
      <c r="BA39" s="27"/>
      <c r="BB39" s="27"/>
      <c r="BC39" s="27"/>
      <c r="BD39" s="27"/>
      <c r="BE39" s="27"/>
      <c r="BF39" s="27"/>
      <c r="BG39" s="27"/>
      <c r="BH39" s="27"/>
      <c r="BI39" s="27"/>
      <c r="BJ39" s="27"/>
      <c r="BK39" s="27"/>
      <c r="BL39" s="27"/>
      <c r="BM39" s="27"/>
      <c r="BN39" s="27"/>
      <c r="BO39" s="27"/>
      <c r="BP39" s="27"/>
      <c r="BQ39" s="27"/>
      <c r="BR39" s="27"/>
      <c r="BS39" s="27"/>
      <c r="BT39" s="27"/>
      <c r="BU39" s="27"/>
      <c r="BV39" s="27"/>
      <c r="BW39" s="27"/>
      <c r="BX39" s="27"/>
      <c r="BY39" s="27"/>
      <c r="BZ39" s="27"/>
      <c r="CA39" s="27"/>
      <c r="CB39" s="27"/>
      <c r="CC39" s="27"/>
      <c r="CD39" s="27"/>
      <c r="CE39" s="27"/>
      <c r="CF39" s="54"/>
      <c r="CG39" s="54"/>
      <c r="CH39" s="54"/>
      <c r="CI39" s="54"/>
      <c r="CJ39" s="54"/>
      <c r="CK39" s="54"/>
      <c r="CL39" s="54"/>
      <c r="CM39" s="54"/>
      <c r="CN39" s="54"/>
      <c r="CO39" s="54"/>
      <c r="CP39" s="54"/>
      <c r="CQ39" s="54"/>
      <c r="CR39" s="107">
        <f t="shared" si="9"/>
        <v>40758.857142857145</v>
      </c>
      <c r="CS39" s="107">
        <f t="shared" si="10"/>
        <v>40758.857142857145</v>
      </c>
      <c r="CT39" s="108">
        <f t="shared" si="11"/>
        <v>10078.898028524174</v>
      </c>
      <c r="CU39" s="65">
        <f t="shared" si="5"/>
        <v>0.24728117359125876</v>
      </c>
      <c r="CV39" s="66">
        <f t="shared" si="6"/>
        <v>34251.26050420168</v>
      </c>
      <c r="CW39" s="66">
        <f t="shared" si="7"/>
        <v>6507.7394957983197</v>
      </c>
      <c r="CX39" s="128">
        <f t="shared" si="8"/>
        <v>40759</v>
      </c>
      <c r="CY39" s="109">
        <f t="shared" si="14"/>
        <v>1222770</v>
      </c>
      <c r="CZ39" s="110" t="s">
        <v>902</v>
      </c>
    </row>
    <row r="40" spans="1:104" ht="108.75" customHeight="1" x14ac:dyDescent="0.2">
      <c r="A40" s="129">
        <v>36</v>
      </c>
      <c r="B40" s="130" t="s">
        <v>875</v>
      </c>
      <c r="C40" s="110" t="s">
        <v>1295</v>
      </c>
      <c r="D40" s="140" t="s">
        <v>232</v>
      </c>
      <c r="E40" s="141">
        <v>25</v>
      </c>
      <c r="F40" s="27"/>
      <c r="G40" s="27"/>
      <c r="H40" s="27"/>
      <c r="I40" s="27"/>
      <c r="J40" s="27"/>
      <c r="K40" s="27"/>
      <c r="L40" s="27"/>
      <c r="M40" s="27"/>
      <c r="N40" s="69">
        <f>59900/1.19</f>
        <v>50336.134453781517</v>
      </c>
      <c r="O40" s="69">
        <f>N40*19%</f>
        <v>9563.8655462184888</v>
      </c>
      <c r="P40" s="69">
        <f>(N40+1.17)+O40</f>
        <v>59901.170000000006</v>
      </c>
      <c r="Q40" s="27"/>
      <c r="R40" s="27"/>
      <c r="S40" s="27"/>
      <c r="T40" s="27"/>
      <c r="U40" s="27"/>
      <c r="V40" s="27"/>
      <c r="W40" s="27"/>
      <c r="X40" s="27"/>
      <c r="Y40" s="27"/>
      <c r="Z40" s="27"/>
      <c r="AA40" s="27"/>
      <c r="AB40" s="27"/>
      <c r="AC40" s="27"/>
      <c r="AD40" s="27"/>
      <c r="AE40" s="27"/>
      <c r="AF40" s="27"/>
      <c r="AG40" s="27"/>
      <c r="AH40" s="27"/>
      <c r="AI40" s="27"/>
      <c r="AJ40" s="27"/>
      <c r="AK40" s="27"/>
      <c r="AL40" s="27"/>
      <c r="AM40" s="27"/>
      <c r="AN40" s="27"/>
      <c r="AO40" s="27"/>
      <c r="AP40" s="27"/>
      <c r="AQ40" s="27"/>
      <c r="AR40" s="27"/>
      <c r="AS40" s="27"/>
      <c r="AT40" s="27"/>
      <c r="AU40" s="27"/>
      <c r="AV40" s="27"/>
      <c r="AW40" s="27"/>
      <c r="AX40" s="27"/>
      <c r="AY40" s="27">
        <v>37058.823529411769</v>
      </c>
      <c r="AZ40" s="69">
        <f>AY40*19%</f>
        <v>7041.176470588236</v>
      </c>
      <c r="BA40" s="69">
        <f>(AY40*1.17)+AZ40</f>
        <v>50400.000000000007</v>
      </c>
      <c r="BB40" s="69"/>
      <c r="BC40" s="69"/>
      <c r="BD40" s="69"/>
      <c r="BE40" s="27"/>
      <c r="BF40" s="27"/>
      <c r="BG40" s="27"/>
      <c r="BH40" s="27"/>
      <c r="BI40" s="27"/>
      <c r="BJ40" s="27"/>
      <c r="BK40" s="27"/>
      <c r="BL40" s="27"/>
      <c r="BM40" s="27"/>
      <c r="BN40" s="27"/>
      <c r="BO40" s="27"/>
      <c r="BP40" s="27"/>
      <c r="BQ40" s="27"/>
      <c r="BR40" s="27"/>
      <c r="BS40" s="27"/>
      <c r="BT40" s="27"/>
      <c r="BU40" s="27"/>
      <c r="BV40" s="27"/>
      <c r="BW40" s="27"/>
      <c r="BX40" s="27"/>
      <c r="BY40" s="27"/>
      <c r="BZ40" s="27"/>
      <c r="CA40" s="27"/>
      <c r="CB40" s="27"/>
      <c r="CC40" s="27"/>
      <c r="CD40" s="27"/>
      <c r="CE40" s="27"/>
      <c r="CF40" s="54"/>
      <c r="CG40" s="54"/>
      <c r="CH40" s="54"/>
      <c r="CI40" s="54"/>
      <c r="CJ40" s="54"/>
      <c r="CK40" s="54"/>
      <c r="CL40" s="54"/>
      <c r="CM40" s="54"/>
      <c r="CN40" s="54"/>
      <c r="CO40" s="54"/>
      <c r="CP40" s="54"/>
      <c r="CQ40" s="54"/>
      <c r="CR40" s="107">
        <f t="shared" si="9"/>
        <v>55150.585000000006</v>
      </c>
      <c r="CS40" s="107">
        <f t="shared" si="10"/>
        <v>55150.585000000006</v>
      </c>
      <c r="CT40" s="108">
        <f t="shared" si="11"/>
        <v>6718.3417362061891</v>
      </c>
      <c r="CU40" s="65">
        <f t="shared" si="5"/>
        <v>0.12181814093551661</v>
      </c>
      <c r="CV40" s="66">
        <f t="shared" si="6"/>
        <v>46345.378151260506</v>
      </c>
      <c r="CW40" s="66">
        <f t="shared" si="7"/>
        <v>8805.6218487394963</v>
      </c>
      <c r="CX40" s="128">
        <f t="shared" si="8"/>
        <v>55151</v>
      </c>
      <c r="CY40" s="109">
        <f t="shared" si="14"/>
        <v>1378775</v>
      </c>
      <c r="CZ40" s="110" t="s">
        <v>903</v>
      </c>
    </row>
    <row r="41" spans="1:104" ht="51" x14ac:dyDescent="0.2">
      <c r="A41" s="129">
        <v>37</v>
      </c>
      <c r="B41" s="62" t="s">
        <v>282</v>
      </c>
      <c r="C41" s="110" t="s">
        <v>876</v>
      </c>
      <c r="D41" s="140" t="s">
        <v>232</v>
      </c>
      <c r="E41" s="141">
        <v>30</v>
      </c>
      <c r="F41" s="27"/>
      <c r="G41" s="27"/>
      <c r="H41" s="27"/>
      <c r="I41" s="27"/>
      <c r="J41" s="27"/>
      <c r="K41" s="27"/>
      <c r="L41" s="27"/>
      <c r="M41" s="27"/>
      <c r="N41" s="27"/>
      <c r="O41" s="27"/>
      <c r="P41" s="27"/>
      <c r="Q41" s="27"/>
      <c r="R41" s="27"/>
      <c r="S41" s="27"/>
      <c r="T41" s="27"/>
      <c r="U41" s="27"/>
      <c r="V41" s="27"/>
      <c r="W41" s="27"/>
      <c r="X41" s="27"/>
      <c r="Y41" s="27"/>
      <c r="Z41" s="27"/>
      <c r="AA41" s="27"/>
      <c r="AB41" s="142">
        <v>24000</v>
      </c>
      <c r="AC41" s="132">
        <f>((AB41*5.1%)+AB41)</f>
        <v>25224</v>
      </c>
      <c r="AD41" s="142">
        <v>25300</v>
      </c>
      <c r="AE41" s="132">
        <f>((AD41*5.1%)+AD41)</f>
        <v>26590.3</v>
      </c>
      <c r="AF41" s="142">
        <v>30000</v>
      </c>
      <c r="AG41" s="132">
        <f>((AF41*5.1%)+AF41)</f>
        <v>31530</v>
      </c>
      <c r="AH41" s="27"/>
      <c r="AI41" s="27"/>
      <c r="AJ41" s="27"/>
      <c r="AK41" s="27"/>
      <c r="AL41" s="27"/>
      <c r="AM41" s="27"/>
      <c r="AN41" s="27"/>
      <c r="AO41" s="27"/>
      <c r="AP41" s="27"/>
      <c r="AQ41" s="27"/>
      <c r="AR41" s="27"/>
      <c r="AS41" s="27"/>
      <c r="AT41" s="27"/>
      <c r="AU41" s="27"/>
      <c r="AV41" s="27"/>
      <c r="AW41" s="27"/>
      <c r="AX41" s="27"/>
      <c r="AY41" s="27"/>
      <c r="AZ41" s="27"/>
      <c r="BA41" s="27"/>
      <c r="BB41" s="27"/>
      <c r="BC41" s="27"/>
      <c r="BD41" s="27"/>
      <c r="BE41" s="27"/>
      <c r="BF41" s="27"/>
      <c r="BG41" s="27"/>
      <c r="BH41" s="27"/>
      <c r="BI41" s="27"/>
      <c r="BJ41" s="27"/>
      <c r="BK41" s="27"/>
      <c r="BL41" s="27"/>
      <c r="BM41" s="27"/>
      <c r="BN41" s="27"/>
      <c r="BO41" s="27"/>
      <c r="BP41" s="27"/>
      <c r="BQ41" s="27"/>
      <c r="BR41" s="27"/>
      <c r="BS41" s="27"/>
      <c r="BT41" s="27"/>
      <c r="BU41" s="27"/>
      <c r="BV41" s="27"/>
      <c r="BW41" s="27"/>
      <c r="BX41" s="27"/>
      <c r="BY41" s="27"/>
      <c r="BZ41" s="27"/>
      <c r="CA41" s="27"/>
      <c r="CB41" s="27"/>
      <c r="CC41" s="27"/>
      <c r="CD41" s="27"/>
      <c r="CE41" s="27"/>
      <c r="CF41" s="54"/>
      <c r="CG41" s="54"/>
      <c r="CH41" s="54"/>
      <c r="CI41" s="54"/>
      <c r="CJ41" s="54"/>
      <c r="CK41" s="54"/>
      <c r="CL41" s="54"/>
      <c r="CM41" s="54"/>
      <c r="CN41" s="54"/>
      <c r="CO41" s="54"/>
      <c r="CP41" s="54"/>
      <c r="CQ41" s="54"/>
      <c r="CR41" s="107">
        <f t="shared" si="9"/>
        <v>26590.3</v>
      </c>
      <c r="CS41" s="107">
        <f t="shared" si="10"/>
        <v>27781.433333333334</v>
      </c>
      <c r="CT41" s="108">
        <f t="shared" si="11"/>
        <v>3317.4550431518037</v>
      </c>
      <c r="CU41" s="65">
        <f t="shared" si="5"/>
        <v>0.11941266684650793</v>
      </c>
      <c r="CV41" s="66">
        <f t="shared" si="6"/>
        <v>23346.218487394959</v>
      </c>
      <c r="CW41" s="66">
        <f t="shared" si="7"/>
        <v>4435.7815126050418</v>
      </c>
      <c r="CX41" s="128">
        <f t="shared" si="8"/>
        <v>27782</v>
      </c>
      <c r="CY41" s="109">
        <f t="shared" si="14"/>
        <v>833460</v>
      </c>
      <c r="CZ41" s="110" t="s">
        <v>903</v>
      </c>
    </row>
    <row r="42" spans="1:104" ht="159" customHeight="1" x14ac:dyDescent="0.2">
      <c r="A42" s="129">
        <v>38</v>
      </c>
      <c r="B42" s="62" t="s">
        <v>283</v>
      </c>
      <c r="C42" s="110" t="s">
        <v>1173</v>
      </c>
      <c r="D42" s="140" t="s">
        <v>239</v>
      </c>
      <c r="E42" s="141">
        <v>100</v>
      </c>
      <c r="F42" s="54"/>
      <c r="G42" s="54"/>
      <c r="H42" s="54"/>
      <c r="I42" s="54"/>
      <c r="J42" s="54"/>
      <c r="K42" s="54"/>
      <c r="L42" s="70">
        <v>180000</v>
      </c>
      <c r="M42" s="70">
        <f>((L42*5.1%)+L42)</f>
        <v>189180</v>
      </c>
      <c r="N42" s="45">
        <f>268900/1.19</f>
        <v>225966.38655462186</v>
      </c>
      <c r="O42" s="45">
        <f>N42*19%</f>
        <v>42933.613445378156</v>
      </c>
      <c r="P42" s="45">
        <f>N42*1.36</f>
        <v>307314.28571428574</v>
      </c>
      <c r="Q42" s="54"/>
      <c r="R42" s="54"/>
      <c r="S42" s="54"/>
      <c r="T42" s="54"/>
      <c r="U42" s="54"/>
      <c r="V42" s="54"/>
      <c r="W42" s="54"/>
      <c r="X42" s="54"/>
      <c r="Y42" s="54"/>
      <c r="Z42" s="54"/>
      <c r="AA42" s="54"/>
      <c r="AB42" s="54"/>
      <c r="AC42" s="54"/>
      <c r="AD42" s="54"/>
      <c r="AE42" s="54"/>
      <c r="AF42" s="54"/>
      <c r="AG42" s="54"/>
      <c r="AH42" s="54"/>
      <c r="AI42" s="54"/>
      <c r="AJ42" s="54"/>
      <c r="AK42" s="54"/>
      <c r="AL42" s="54"/>
      <c r="AM42" s="54"/>
      <c r="AN42" s="54"/>
      <c r="AO42" s="54"/>
      <c r="AP42" s="54"/>
      <c r="AQ42" s="54"/>
      <c r="AR42" s="54"/>
      <c r="AS42" s="54"/>
      <c r="AT42" s="54"/>
      <c r="AU42" s="54"/>
      <c r="AV42" s="54"/>
      <c r="AW42" s="54"/>
      <c r="AX42" s="54"/>
      <c r="AY42" s="54"/>
      <c r="AZ42" s="54"/>
      <c r="BA42" s="54"/>
      <c r="BB42" s="54"/>
      <c r="BC42" s="54"/>
      <c r="BD42" s="54"/>
      <c r="BE42" s="54"/>
      <c r="BF42" s="54"/>
      <c r="BG42" s="54"/>
      <c r="BH42" s="54"/>
      <c r="BI42" s="54"/>
      <c r="BJ42" s="54"/>
      <c r="BK42" s="54"/>
      <c r="BL42" s="54"/>
      <c r="BM42" s="54"/>
      <c r="BN42" s="54"/>
      <c r="BO42" s="54"/>
      <c r="BP42" s="54"/>
      <c r="BQ42" s="54"/>
      <c r="BR42" s="54"/>
      <c r="BS42" s="54"/>
      <c r="BT42" s="54"/>
      <c r="BU42" s="54"/>
      <c r="BV42" s="54"/>
      <c r="BW42" s="54"/>
      <c r="BX42" s="54"/>
      <c r="BY42" s="54"/>
      <c r="BZ42" s="54"/>
      <c r="CA42" s="54"/>
      <c r="CB42" s="54"/>
      <c r="CC42" s="54"/>
      <c r="CD42" s="54"/>
      <c r="CE42" s="54"/>
      <c r="CF42" s="54">
        <v>240000</v>
      </c>
      <c r="CG42" s="54"/>
      <c r="CH42" s="54"/>
      <c r="CI42" s="54"/>
      <c r="CJ42" s="54"/>
      <c r="CK42" s="54"/>
      <c r="CL42" s="54"/>
      <c r="CM42" s="54"/>
      <c r="CN42" s="54"/>
      <c r="CO42" s="54"/>
      <c r="CP42" s="54"/>
      <c r="CQ42" s="54"/>
      <c r="CR42" s="107">
        <f t="shared" si="9"/>
        <v>240000</v>
      </c>
      <c r="CS42" s="107">
        <f t="shared" si="10"/>
        <v>245498.09523809524</v>
      </c>
      <c r="CT42" s="108">
        <f t="shared" si="11"/>
        <v>59258.747487113797</v>
      </c>
      <c r="CU42" s="65">
        <f t="shared" si="5"/>
        <v>0.24138169964065084</v>
      </c>
      <c r="CV42" s="66">
        <f t="shared" si="6"/>
        <v>201680.67226890757</v>
      </c>
      <c r="CW42" s="66">
        <f t="shared" si="7"/>
        <v>38319.327731092439</v>
      </c>
      <c r="CX42" s="128">
        <f t="shared" si="8"/>
        <v>240000</v>
      </c>
      <c r="CY42" s="109">
        <f t="shared" si="14"/>
        <v>24000000</v>
      </c>
      <c r="CZ42" s="110" t="s">
        <v>902</v>
      </c>
    </row>
    <row r="43" spans="1:104" ht="51" x14ac:dyDescent="0.2">
      <c r="A43" s="129">
        <v>39</v>
      </c>
      <c r="B43" s="62" t="s">
        <v>284</v>
      </c>
      <c r="C43" s="110" t="s">
        <v>285</v>
      </c>
      <c r="D43" s="140" t="s">
        <v>239</v>
      </c>
      <c r="E43" s="141">
        <v>50</v>
      </c>
      <c r="F43" s="27"/>
      <c r="G43" s="27"/>
      <c r="H43" s="27"/>
      <c r="I43" s="27"/>
      <c r="J43" s="27"/>
      <c r="K43" s="27"/>
      <c r="L43" s="27"/>
      <c r="M43" s="27"/>
      <c r="N43" s="27"/>
      <c r="O43" s="27"/>
      <c r="P43" s="27"/>
      <c r="Q43" s="27"/>
      <c r="R43" s="27"/>
      <c r="S43" s="27"/>
      <c r="T43" s="27"/>
      <c r="U43" s="27"/>
      <c r="V43" s="27"/>
      <c r="W43" s="27"/>
      <c r="X43" s="27"/>
      <c r="Y43" s="27"/>
      <c r="Z43" s="27"/>
      <c r="AA43" s="27"/>
      <c r="AB43" s="27"/>
      <c r="AC43" s="27"/>
      <c r="AD43" s="27"/>
      <c r="AE43" s="27"/>
      <c r="AF43" s="27"/>
      <c r="AG43" s="27"/>
      <c r="AH43" s="27"/>
      <c r="AI43" s="27"/>
      <c r="AJ43" s="27"/>
      <c r="AK43" s="27"/>
      <c r="AL43" s="27"/>
      <c r="AM43" s="27"/>
      <c r="AN43" s="27"/>
      <c r="AO43" s="27"/>
      <c r="AP43" s="27"/>
      <c r="AQ43" s="27"/>
      <c r="AR43" s="27"/>
      <c r="AS43" s="27"/>
      <c r="AT43" s="27"/>
      <c r="AU43" s="27"/>
      <c r="AV43" s="27"/>
      <c r="AW43" s="27"/>
      <c r="AX43" s="27"/>
      <c r="AY43" s="27"/>
      <c r="AZ43" s="27"/>
      <c r="BA43" s="27"/>
      <c r="BB43" s="27"/>
      <c r="BC43" s="27"/>
      <c r="BD43" s="27"/>
      <c r="BE43" s="27"/>
      <c r="BF43" s="27"/>
      <c r="BG43" s="27"/>
      <c r="BH43" s="27"/>
      <c r="BI43" s="27"/>
      <c r="BJ43" s="27"/>
      <c r="BK43" s="27"/>
      <c r="BL43" s="27"/>
      <c r="BM43" s="27"/>
      <c r="BN43" s="27"/>
      <c r="BO43" s="27"/>
      <c r="BP43" s="27"/>
      <c r="BQ43" s="27"/>
      <c r="BR43" s="27"/>
      <c r="BS43" s="27"/>
      <c r="BT43" s="27"/>
      <c r="BU43" s="27"/>
      <c r="BV43" s="27"/>
      <c r="BW43" s="27"/>
      <c r="BX43" s="27"/>
      <c r="BY43" s="27"/>
      <c r="BZ43" s="27"/>
      <c r="CA43" s="27"/>
      <c r="CB43" s="27"/>
      <c r="CC43" s="27"/>
      <c r="CD43" s="27"/>
      <c r="CE43" s="45"/>
      <c r="CF43" s="54"/>
      <c r="CG43" s="45">
        <v>26197.85</v>
      </c>
      <c r="CH43" s="45">
        <v>23400</v>
      </c>
      <c r="CI43" s="45"/>
      <c r="CJ43" s="45"/>
      <c r="CK43" s="45"/>
      <c r="CL43" s="45"/>
      <c r="CM43" s="45"/>
      <c r="CN43" s="45"/>
      <c r="CO43" s="45"/>
      <c r="CP43" s="45"/>
      <c r="CQ43" s="45"/>
      <c r="CR43" s="107">
        <f t="shared" si="9"/>
        <v>24798.924999999999</v>
      </c>
      <c r="CS43" s="107">
        <f t="shared" si="10"/>
        <v>24798.924999999999</v>
      </c>
      <c r="CT43" s="108">
        <f t="shared" si="11"/>
        <v>1978.378707742781</v>
      </c>
      <c r="CU43" s="65">
        <f t="shared" si="5"/>
        <v>7.9776793056262757E-2</v>
      </c>
      <c r="CV43" s="66">
        <f t="shared" si="6"/>
        <v>20839.495798319327</v>
      </c>
      <c r="CW43" s="66">
        <f t="shared" si="7"/>
        <v>3959.5042016806724</v>
      </c>
      <c r="CX43" s="128">
        <f t="shared" si="8"/>
        <v>24799</v>
      </c>
      <c r="CY43" s="109">
        <f t="shared" si="14"/>
        <v>1239950</v>
      </c>
      <c r="CZ43" s="110" t="s">
        <v>903</v>
      </c>
    </row>
    <row r="44" spans="1:104" ht="119" x14ac:dyDescent="0.2">
      <c r="A44" s="129">
        <v>40</v>
      </c>
      <c r="B44" s="62" t="s">
        <v>287</v>
      </c>
      <c r="C44" s="110" t="s">
        <v>1314</v>
      </c>
      <c r="D44" s="140" t="s">
        <v>232</v>
      </c>
      <c r="E44" s="141">
        <v>20</v>
      </c>
      <c r="F44" s="132">
        <v>75000</v>
      </c>
      <c r="G44" s="132">
        <f>((F44*5.1%)+F44)</f>
        <v>78825</v>
      </c>
      <c r="H44" s="27"/>
      <c r="I44" s="27"/>
      <c r="J44" s="27"/>
      <c r="K44" s="27"/>
      <c r="L44" s="27"/>
      <c r="M44" s="27"/>
      <c r="N44" s="45">
        <f>99900/1.19</f>
        <v>83949.579831932773</v>
      </c>
      <c r="O44" s="45">
        <f t="shared" ref="O44:O50" si="15">N44*19%</f>
        <v>15950.420168067227</v>
      </c>
      <c r="P44" s="45">
        <f t="shared" ref="P44:P50" si="16">N44*1.36</f>
        <v>114171.42857142858</v>
      </c>
      <c r="Q44" s="27"/>
      <c r="R44" s="27"/>
      <c r="S44" s="27"/>
      <c r="T44" s="27"/>
      <c r="U44" s="27"/>
      <c r="V44" s="27"/>
      <c r="W44" s="27"/>
      <c r="X44" s="27"/>
      <c r="Y44" s="27"/>
      <c r="Z44" s="27"/>
      <c r="AA44" s="27"/>
      <c r="AB44" s="27"/>
      <c r="AC44" s="27"/>
      <c r="AD44" s="27"/>
      <c r="AE44" s="27"/>
      <c r="AF44" s="27"/>
      <c r="AG44" s="27"/>
      <c r="AH44" s="27"/>
      <c r="AI44" s="27"/>
      <c r="AJ44" s="27"/>
      <c r="AK44" s="27"/>
      <c r="AL44" s="27"/>
      <c r="AM44" s="27"/>
      <c r="AN44" s="27"/>
      <c r="AO44" s="27"/>
      <c r="AP44" s="27"/>
      <c r="AQ44" s="27"/>
      <c r="AR44" s="27"/>
      <c r="AS44" s="27"/>
      <c r="AT44" s="27"/>
      <c r="AU44" s="27"/>
      <c r="AV44" s="27"/>
      <c r="AW44" s="27"/>
      <c r="AX44" s="27"/>
      <c r="AY44" s="27"/>
      <c r="AZ44" s="27"/>
      <c r="BA44" s="27"/>
      <c r="BB44" s="27"/>
      <c r="BC44" s="27"/>
      <c r="BD44" s="27"/>
      <c r="BE44" s="27"/>
      <c r="BF44" s="27"/>
      <c r="BG44" s="27"/>
      <c r="BH44" s="27"/>
      <c r="BI44" s="27"/>
      <c r="BJ44" s="27"/>
      <c r="BK44" s="27"/>
      <c r="BL44" s="27"/>
      <c r="BM44" s="27"/>
      <c r="BN44" s="27"/>
      <c r="BO44" s="27"/>
      <c r="BP44" s="27"/>
      <c r="BQ44" s="27"/>
      <c r="BR44" s="27"/>
      <c r="BS44" s="27"/>
      <c r="BT44" s="27"/>
      <c r="BU44" s="27"/>
      <c r="BV44" s="27"/>
      <c r="BW44" s="27"/>
      <c r="BX44" s="27"/>
      <c r="BY44" s="27"/>
      <c r="BZ44" s="27"/>
      <c r="CA44" s="27"/>
      <c r="CB44" s="27"/>
      <c r="CC44" s="27"/>
      <c r="CD44" s="27"/>
      <c r="CE44" s="27"/>
      <c r="CF44" s="54"/>
      <c r="CG44" s="54"/>
      <c r="CH44" s="54"/>
      <c r="CI44" s="54"/>
      <c r="CJ44" s="54"/>
      <c r="CK44" s="54"/>
      <c r="CL44" s="54"/>
      <c r="CM44" s="54"/>
      <c r="CN44" s="54"/>
      <c r="CO44" s="54"/>
      <c r="CP44" s="54"/>
      <c r="CQ44" s="54"/>
      <c r="CR44" s="107">
        <f t="shared" si="9"/>
        <v>96498.21428571429</v>
      </c>
      <c r="CS44" s="107">
        <f t="shared" si="10"/>
        <v>96498.21428571429</v>
      </c>
      <c r="CT44" s="108">
        <f t="shared" si="11"/>
        <v>24993.699333583096</v>
      </c>
      <c r="CU44" s="65">
        <f t="shared" si="5"/>
        <v>0.25900685850601479</v>
      </c>
      <c r="CV44" s="66">
        <f>CX44/1.05</f>
        <v>91903.809523809527</v>
      </c>
      <c r="CW44" s="66">
        <f>CV44*5%</f>
        <v>4595.1904761904761</v>
      </c>
      <c r="CX44" s="128">
        <f t="shared" si="8"/>
        <v>96499</v>
      </c>
      <c r="CY44" s="109">
        <f t="shared" si="14"/>
        <v>1929980</v>
      </c>
      <c r="CZ44" s="110" t="s">
        <v>902</v>
      </c>
    </row>
    <row r="45" spans="1:104" ht="155.25" customHeight="1" x14ac:dyDescent="0.2">
      <c r="A45" s="129">
        <v>41</v>
      </c>
      <c r="B45" s="62" t="s">
        <v>288</v>
      </c>
      <c r="C45" s="110" t="s">
        <v>289</v>
      </c>
      <c r="D45" s="140" t="s">
        <v>232</v>
      </c>
      <c r="E45" s="141">
        <v>25</v>
      </c>
      <c r="F45" s="27"/>
      <c r="G45" s="27"/>
      <c r="H45" s="64">
        <v>90000</v>
      </c>
      <c r="I45" s="64">
        <f>(H45*5.1%)+H45</f>
        <v>94590</v>
      </c>
      <c r="J45" s="27"/>
      <c r="K45" s="27"/>
      <c r="L45" s="27"/>
      <c r="M45" s="27"/>
      <c r="N45" s="45">
        <f>119900/1.19</f>
        <v>100756.3025210084</v>
      </c>
      <c r="O45" s="45">
        <f t="shared" si="15"/>
        <v>19143.697478991595</v>
      </c>
      <c r="P45" s="45">
        <f t="shared" si="16"/>
        <v>137028.57142857145</v>
      </c>
      <c r="Q45" s="27"/>
      <c r="R45" s="27"/>
      <c r="S45" s="27"/>
      <c r="T45" s="27"/>
      <c r="U45" s="27"/>
      <c r="V45" s="27"/>
      <c r="W45" s="27"/>
      <c r="X45" s="27"/>
      <c r="Y45" s="27"/>
      <c r="Z45" s="27"/>
      <c r="AA45" s="27"/>
      <c r="AB45" s="27"/>
      <c r="AC45" s="27"/>
      <c r="AD45" s="27"/>
      <c r="AE45" s="27"/>
      <c r="AF45" s="27"/>
      <c r="AG45" s="27"/>
      <c r="AH45" s="27"/>
      <c r="AI45" s="27"/>
      <c r="AJ45" s="27"/>
      <c r="AK45" s="27"/>
      <c r="AL45" s="27"/>
      <c r="AM45" s="27"/>
      <c r="AN45" s="27"/>
      <c r="AO45" s="27"/>
      <c r="AP45" s="27"/>
      <c r="AQ45" s="27"/>
      <c r="AR45" s="27"/>
      <c r="AS45" s="27"/>
      <c r="AT45" s="27"/>
      <c r="AU45" s="27"/>
      <c r="AV45" s="27"/>
      <c r="AW45" s="27"/>
      <c r="AX45" s="27"/>
      <c r="AY45" s="27"/>
      <c r="AZ45" s="27"/>
      <c r="BA45" s="27"/>
      <c r="BB45" s="27"/>
      <c r="BC45" s="27"/>
      <c r="BD45" s="27"/>
      <c r="BE45" s="27"/>
      <c r="BF45" s="27"/>
      <c r="BG45" s="27"/>
      <c r="BH45" s="27"/>
      <c r="BI45" s="27"/>
      <c r="BJ45" s="27"/>
      <c r="BK45" s="27"/>
      <c r="BL45" s="27"/>
      <c r="BM45" s="27"/>
      <c r="BN45" s="27"/>
      <c r="BO45" s="27"/>
      <c r="BP45" s="27"/>
      <c r="BQ45" s="27"/>
      <c r="BR45" s="27"/>
      <c r="BS45" s="27"/>
      <c r="BT45" s="27"/>
      <c r="BU45" s="27"/>
      <c r="BV45" s="27"/>
      <c r="BW45" s="27"/>
      <c r="BX45" s="27"/>
      <c r="BY45" s="27"/>
      <c r="BZ45" s="27"/>
      <c r="CA45" s="27"/>
      <c r="CB45" s="27"/>
      <c r="CC45" s="27"/>
      <c r="CD45" s="27"/>
      <c r="CE45" s="27"/>
      <c r="CF45" s="54"/>
      <c r="CG45" s="54"/>
      <c r="CH45" s="54"/>
      <c r="CI45" s="54"/>
      <c r="CJ45" s="54"/>
      <c r="CK45" s="54"/>
      <c r="CL45" s="54"/>
      <c r="CM45" s="54"/>
      <c r="CN45" s="54"/>
      <c r="CO45" s="54"/>
      <c r="CP45" s="54"/>
      <c r="CQ45" s="54"/>
      <c r="CR45" s="107">
        <f t="shared" si="9"/>
        <v>115809.28571428572</v>
      </c>
      <c r="CS45" s="107">
        <f t="shared" si="10"/>
        <v>115809.28571428572</v>
      </c>
      <c r="CT45" s="108">
        <f t="shared" si="11"/>
        <v>30008.60164101257</v>
      </c>
      <c r="CU45" s="65">
        <f t="shared" si="5"/>
        <v>0.25912085940195762</v>
      </c>
      <c r="CV45" s="66">
        <f>CX45/1.05</f>
        <v>110295.23809523809</v>
      </c>
      <c r="CW45" s="66">
        <f>CV45*5%</f>
        <v>5514.7619047619046</v>
      </c>
      <c r="CX45" s="128">
        <f t="shared" si="8"/>
        <v>115810</v>
      </c>
      <c r="CY45" s="109">
        <f t="shared" si="14"/>
        <v>2895250</v>
      </c>
      <c r="CZ45" s="110" t="s">
        <v>903</v>
      </c>
    </row>
    <row r="46" spans="1:104" ht="99.75" customHeight="1" x14ac:dyDescent="0.2">
      <c r="A46" s="129">
        <v>42</v>
      </c>
      <c r="B46" s="143" t="s">
        <v>286</v>
      </c>
      <c r="C46" s="110" t="s">
        <v>1103</v>
      </c>
      <c r="D46" s="140" t="s">
        <v>232</v>
      </c>
      <c r="E46" s="141">
        <v>35</v>
      </c>
      <c r="F46" s="132">
        <v>111261</v>
      </c>
      <c r="G46" s="132">
        <f>((F46*5.1%)+F46)</f>
        <v>116935.311</v>
      </c>
      <c r="H46" s="64">
        <v>124000</v>
      </c>
      <c r="I46" s="64">
        <f t="shared" ref="I46" si="17">(H46*5.1%)+H46</f>
        <v>130324</v>
      </c>
      <c r="J46" s="27"/>
      <c r="K46" s="27"/>
      <c r="L46" s="27"/>
      <c r="M46" s="27"/>
      <c r="N46" s="45">
        <f>119900/1.19</f>
        <v>100756.3025210084</v>
      </c>
      <c r="O46" s="45">
        <f t="shared" si="15"/>
        <v>19143.697478991595</v>
      </c>
      <c r="P46" s="45">
        <f t="shared" si="16"/>
        <v>137028.57142857145</v>
      </c>
      <c r="Q46" s="27"/>
      <c r="R46" s="27"/>
      <c r="S46" s="27"/>
      <c r="T46" s="27"/>
      <c r="U46" s="27"/>
      <c r="V46" s="27"/>
      <c r="W46" s="27"/>
      <c r="X46" s="27"/>
      <c r="Y46" s="27"/>
      <c r="Z46" s="27"/>
      <c r="AA46" s="27"/>
      <c r="AB46" s="27"/>
      <c r="AC46" s="27"/>
      <c r="AD46" s="27"/>
      <c r="AE46" s="27"/>
      <c r="AF46" s="27"/>
      <c r="AG46" s="27"/>
      <c r="AH46" s="27"/>
      <c r="AI46" s="27"/>
      <c r="AJ46" s="27"/>
      <c r="AK46" s="27"/>
      <c r="AL46" s="27"/>
      <c r="AM46" s="27"/>
      <c r="AN46" s="27"/>
      <c r="AO46" s="27"/>
      <c r="AP46" s="27"/>
      <c r="AQ46" s="27"/>
      <c r="AR46" s="27"/>
      <c r="AS46" s="27"/>
      <c r="AT46" s="27"/>
      <c r="AU46" s="27"/>
      <c r="AV46" s="27"/>
      <c r="AW46" s="27"/>
      <c r="AX46" s="27"/>
      <c r="AY46" s="27"/>
      <c r="AZ46" s="27"/>
      <c r="BA46" s="27"/>
      <c r="BB46" s="27"/>
      <c r="BC46" s="27"/>
      <c r="BD46" s="27"/>
      <c r="BE46" s="27"/>
      <c r="BF46" s="27"/>
      <c r="BG46" s="27"/>
      <c r="BH46" s="27"/>
      <c r="BI46" s="27"/>
      <c r="BJ46" s="27"/>
      <c r="BK46" s="27"/>
      <c r="BL46" s="27"/>
      <c r="BM46" s="27"/>
      <c r="BN46" s="27"/>
      <c r="BO46" s="27"/>
      <c r="BP46" s="27"/>
      <c r="BQ46" s="27"/>
      <c r="BR46" s="27"/>
      <c r="BS46" s="27"/>
      <c r="BT46" s="27"/>
      <c r="BU46" s="27"/>
      <c r="BV46" s="27"/>
      <c r="BW46" s="27"/>
      <c r="BX46" s="27"/>
      <c r="BY46" s="27"/>
      <c r="BZ46" s="27"/>
      <c r="CA46" s="27"/>
      <c r="CB46" s="27"/>
      <c r="CC46" s="27"/>
      <c r="CD46" s="27"/>
      <c r="CE46" s="27"/>
      <c r="CF46" s="54"/>
      <c r="CG46" s="54"/>
      <c r="CH46" s="54"/>
      <c r="CI46" s="54"/>
      <c r="CJ46" s="54"/>
      <c r="CK46" s="54"/>
      <c r="CL46" s="54"/>
      <c r="CM46" s="54"/>
      <c r="CN46" s="54"/>
      <c r="CO46" s="54"/>
      <c r="CP46" s="54"/>
      <c r="CQ46" s="54"/>
      <c r="CR46" s="107">
        <f t="shared" si="9"/>
        <v>130324</v>
      </c>
      <c r="CS46" s="107">
        <f t="shared" si="10"/>
        <v>128095.96080952382</v>
      </c>
      <c r="CT46" s="108">
        <f t="shared" si="11"/>
        <v>10230.244260931511</v>
      </c>
      <c r="CU46" s="65">
        <f t="shared" si="5"/>
        <v>7.986390980855114E-2</v>
      </c>
      <c r="CV46" s="66">
        <f>CX46/1.05</f>
        <v>121996.19047619047</v>
      </c>
      <c r="CW46" s="66">
        <f>CV46*5%</f>
        <v>6099.8095238095239</v>
      </c>
      <c r="CX46" s="128">
        <f t="shared" si="8"/>
        <v>128096</v>
      </c>
      <c r="CY46" s="109">
        <f t="shared" si="14"/>
        <v>4483360</v>
      </c>
      <c r="CZ46" s="110" t="s">
        <v>903</v>
      </c>
    </row>
    <row r="47" spans="1:104" ht="51" x14ac:dyDescent="0.2">
      <c r="A47" s="129">
        <v>43</v>
      </c>
      <c r="B47" s="62" t="s">
        <v>290</v>
      </c>
      <c r="C47" s="110" t="s">
        <v>291</v>
      </c>
      <c r="D47" s="140" t="s">
        <v>232</v>
      </c>
      <c r="E47" s="141">
        <v>20</v>
      </c>
      <c r="F47" s="27"/>
      <c r="G47" s="27"/>
      <c r="H47" s="27"/>
      <c r="I47" s="27"/>
      <c r="J47" s="132">
        <v>140000</v>
      </c>
      <c r="K47" s="134">
        <f>((J47*5.1%)+J47)</f>
        <v>147140</v>
      </c>
      <c r="L47" s="27"/>
      <c r="M47" s="27"/>
      <c r="N47" s="45">
        <f>189900/1.19</f>
        <v>159579.83193277312</v>
      </c>
      <c r="O47" s="45">
        <f t="shared" si="15"/>
        <v>30320.168067226892</v>
      </c>
      <c r="P47" s="45">
        <f t="shared" si="16"/>
        <v>217028.57142857145</v>
      </c>
      <c r="Q47" s="27"/>
      <c r="R47" s="27"/>
      <c r="S47" s="27"/>
      <c r="T47" s="27"/>
      <c r="U47" s="27"/>
      <c r="V47" s="27"/>
      <c r="W47" s="27"/>
      <c r="X47" s="27"/>
      <c r="Y47" s="27"/>
      <c r="Z47" s="27"/>
      <c r="AA47" s="27"/>
      <c r="AB47" s="27"/>
      <c r="AC47" s="27"/>
      <c r="AD47" s="27"/>
      <c r="AE47" s="27"/>
      <c r="AF47" s="27"/>
      <c r="AG47" s="27"/>
      <c r="AH47" s="27"/>
      <c r="AI47" s="27"/>
      <c r="AJ47" s="27"/>
      <c r="AK47" s="27"/>
      <c r="AL47" s="27"/>
      <c r="AM47" s="27"/>
      <c r="AN47" s="27"/>
      <c r="AO47" s="27"/>
      <c r="AP47" s="27"/>
      <c r="AQ47" s="27"/>
      <c r="AR47" s="27"/>
      <c r="AS47" s="27"/>
      <c r="AT47" s="27"/>
      <c r="AU47" s="27"/>
      <c r="AV47" s="27"/>
      <c r="AW47" s="27"/>
      <c r="AX47" s="27"/>
      <c r="AY47" s="27"/>
      <c r="AZ47" s="27"/>
      <c r="BA47" s="27"/>
      <c r="BB47" s="27"/>
      <c r="BC47" s="27"/>
      <c r="BD47" s="27"/>
      <c r="BE47" s="64">
        <v>152000</v>
      </c>
      <c r="BF47" s="27"/>
      <c r="BG47" s="27"/>
      <c r="BH47" s="27"/>
      <c r="BI47" s="27"/>
      <c r="BJ47" s="27"/>
      <c r="BK47" s="27"/>
      <c r="BL47" s="27"/>
      <c r="BM47" s="27"/>
      <c r="BN47" s="27"/>
      <c r="BO47" s="27"/>
      <c r="BP47" s="27"/>
      <c r="BQ47" s="27"/>
      <c r="BR47" s="27"/>
      <c r="BS47" s="27"/>
      <c r="BT47" s="27"/>
      <c r="BU47" s="27"/>
      <c r="BV47" s="27"/>
      <c r="BW47" s="27"/>
      <c r="BX47" s="27"/>
      <c r="BY47" s="27"/>
      <c r="BZ47" s="27"/>
      <c r="CA47" s="27"/>
      <c r="CB47" s="27"/>
      <c r="CC47" s="27"/>
      <c r="CD47" s="27"/>
      <c r="CE47" s="27"/>
      <c r="CF47" s="54"/>
      <c r="CG47" s="54"/>
      <c r="CH47" s="54"/>
      <c r="CI47" s="54"/>
      <c r="CJ47" s="54"/>
      <c r="CK47" s="54"/>
      <c r="CL47" s="54"/>
      <c r="CM47" s="54"/>
      <c r="CN47" s="54"/>
      <c r="CO47" s="54"/>
      <c r="CP47" s="54"/>
      <c r="CQ47" s="54"/>
      <c r="CR47" s="107">
        <f t="shared" si="9"/>
        <v>182084.28571428574</v>
      </c>
      <c r="CS47" s="107">
        <f t="shared" si="10"/>
        <v>182084.28571428574</v>
      </c>
      <c r="CT47" s="108">
        <f t="shared" si="11"/>
        <v>49418.682784583136</v>
      </c>
      <c r="CU47" s="65">
        <f t="shared" si="5"/>
        <v>0.27140553393019079</v>
      </c>
      <c r="CV47" s="66">
        <f t="shared" si="6"/>
        <v>153012.6050420168</v>
      </c>
      <c r="CW47" s="66">
        <f t="shared" si="7"/>
        <v>29072.394957983193</v>
      </c>
      <c r="CX47" s="128">
        <f t="shared" si="8"/>
        <v>182085</v>
      </c>
      <c r="CY47" s="109">
        <f t="shared" si="14"/>
        <v>3641700</v>
      </c>
      <c r="CZ47" s="110" t="s">
        <v>902</v>
      </c>
    </row>
    <row r="48" spans="1:104" ht="187" x14ac:dyDescent="0.2">
      <c r="A48" s="129">
        <v>44</v>
      </c>
      <c r="B48" s="130" t="s">
        <v>877</v>
      </c>
      <c r="C48" s="110" t="s">
        <v>1106</v>
      </c>
      <c r="D48" s="140" t="s">
        <v>232</v>
      </c>
      <c r="E48" s="141">
        <v>20</v>
      </c>
      <c r="F48" s="27"/>
      <c r="G48" s="27"/>
      <c r="H48" s="27"/>
      <c r="I48" s="27"/>
      <c r="J48" s="27"/>
      <c r="K48" s="27"/>
      <c r="L48" s="27"/>
      <c r="M48" s="27"/>
      <c r="N48" s="45">
        <v>156900</v>
      </c>
      <c r="O48" s="45">
        <f t="shared" si="15"/>
        <v>29811</v>
      </c>
      <c r="P48" s="45">
        <f t="shared" si="16"/>
        <v>213384.00000000003</v>
      </c>
      <c r="Q48" s="27"/>
      <c r="R48" s="27"/>
      <c r="S48" s="27"/>
      <c r="T48" s="27"/>
      <c r="U48" s="27"/>
      <c r="V48" s="27"/>
      <c r="W48" s="27"/>
      <c r="X48" s="27"/>
      <c r="Y48" s="27"/>
      <c r="Z48" s="27"/>
      <c r="AA48" s="27"/>
      <c r="AB48" s="27"/>
      <c r="AC48" s="27"/>
      <c r="AD48" s="27"/>
      <c r="AE48" s="27"/>
      <c r="AF48" s="27"/>
      <c r="AG48" s="27"/>
      <c r="AH48" s="27"/>
      <c r="AI48" s="27"/>
      <c r="AJ48" s="69"/>
      <c r="AK48" s="69"/>
      <c r="AL48" s="69"/>
      <c r="AM48" s="27"/>
      <c r="AN48" s="27"/>
      <c r="AO48" s="27"/>
      <c r="AP48" s="45">
        <v>160100</v>
      </c>
      <c r="AQ48" s="45">
        <f>AP48*19%</f>
        <v>30419</v>
      </c>
      <c r="AR48" s="45">
        <f>AP48*1.36</f>
        <v>217736.00000000003</v>
      </c>
      <c r="AS48" s="27"/>
      <c r="AT48" s="27"/>
      <c r="AU48" s="27"/>
      <c r="AV48" s="27"/>
      <c r="AW48" s="27"/>
      <c r="AX48" s="27"/>
      <c r="AY48" s="27"/>
      <c r="AZ48" s="27"/>
      <c r="BA48" s="27"/>
      <c r="BB48" s="27"/>
      <c r="BC48" s="27"/>
      <c r="BD48" s="27"/>
      <c r="BE48" s="27"/>
      <c r="BF48" s="27"/>
      <c r="BG48" s="27"/>
      <c r="BH48" s="27"/>
      <c r="BI48" s="27"/>
      <c r="BJ48" s="27"/>
      <c r="BK48" s="27"/>
      <c r="BL48" s="27"/>
      <c r="BM48" s="27"/>
      <c r="BN48" s="27"/>
      <c r="BO48" s="27"/>
      <c r="BP48" s="27"/>
      <c r="BQ48" s="27"/>
      <c r="BR48" s="27"/>
      <c r="BS48" s="27"/>
      <c r="BT48" s="27"/>
      <c r="BU48" s="27"/>
      <c r="BV48" s="27"/>
      <c r="BW48" s="27"/>
      <c r="BX48" s="27"/>
      <c r="BY48" s="27"/>
      <c r="BZ48" s="27"/>
      <c r="CA48" s="27"/>
      <c r="CB48" s="27"/>
      <c r="CC48" s="27"/>
      <c r="CD48" s="27"/>
      <c r="CE48" s="27"/>
      <c r="CF48" s="54"/>
      <c r="CG48" s="54"/>
      <c r="CH48" s="54"/>
      <c r="CI48" s="54"/>
      <c r="CJ48" s="54"/>
      <c r="CK48" s="54"/>
      <c r="CL48" s="54"/>
      <c r="CM48" s="54"/>
      <c r="CN48" s="54"/>
      <c r="CO48" s="54"/>
      <c r="CP48" s="54"/>
      <c r="CQ48" s="54"/>
      <c r="CR48" s="107">
        <f t="shared" si="9"/>
        <v>215560.00000000003</v>
      </c>
      <c r="CS48" s="107">
        <f t="shared" si="10"/>
        <v>215560.00000000003</v>
      </c>
      <c r="CT48" s="108">
        <f t="shared" si="11"/>
        <v>3077.3287117238547</v>
      </c>
      <c r="CU48" s="65">
        <f t="shared" si="5"/>
        <v>1.4275972869381398E-2</v>
      </c>
      <c r="CV48" s="66">
        <f t="shared" si="6"/>
        <v>181142.85714285716</v>
      </c>
      <c r="CW48" s="66">
        <f t="shared" si="7"/>
        <v>34417.142857142862</v>
      </c>
      <c r="CX48" s="128">
        <f t="shared" si="8"/>
        <v>215560</v>
      </c>
      <c r="CY48" s="109">
        <f t="shared" si="14"/>
        <v>4311200</v>
      </c>
      <c r="CZ48" s="110" t="s">
        <v>902</v>
      </c>
    </row>
    <row r="49" spans="1:104" ht="51" x14ac:dyDescent="0.2">
      <c r="A49" s="129">
        <v>45</v>
      </c>
      <c r="B49" s="130" t="s">
        <v>292</v>
      </c>
      <c r="C49" s="110" t="s">
        <v>878</v>
      </c>
      <c r="D49" s="140" t="s">
        <v>239</v>
      </c>
      <c r="E49" s="141">
        <v>80</v>
      </c>
      <c r="F49" s="27"/>
      <c r="G49" s="27"/>
      <c r="H49" s="64">
        <v>45000</v>
      </c>
      <c r="I49" s="64">
        <f>(H49*5.1%)+H49</f>
        <v>47295</v>
      </c>
      <c r="J49" s="27"/>
      <c r="K49" s="27"/>
      <c r="L49" s="27"/>
      <c r="M49" s="27"/>
      <c r="N49" s="45">
        <f>59900/1.19</f>
        <v>50336.134453781517</v>
      </c>
      <c r="O49" s="45">
        <f t="shared" si="15"/>
        <v>9563.8655462184888</v>
      </c>
      <c r="P49" s="45">
        <f t="shared" si="16"/>
        <v>68457.14285714287</v>
      </c>
      <c r="Q49" s="27"/>
      <c r="R49" s="27"/>
      <c r="S49" s="27"/>
      <c r="T49" s="27"/>
      <c r="U49" s="27"/>
      <c r="V49" s="27"/>
      <c r="W49" s="27"/>
      <c r="X49" s="27"/>
      <c r="Y49" s="27"/>
      <c r="Z49" s="27"/>
      <c r="AA49" s="27"/>
      <c r="AB49" s="27"/>
      <c r="AC49" s="27"/>
      <c r="AD49" s="27"/>
      <c r="AE49" s="27"/>
      <c r="AF49" s="27"/>
      <c r="AG49" s="27"/>
      <c r="AH49" s="27"/>
      <c r="AI49" s="27"/>
      <c r="AJ49" s="27"/>
      <c r="AK49" s="27"/>
      <c r="AL49" s="27"/>
      <c r="AM49" s="27"/>
      <c r="AN49" s="27"/>
      <c r="AO49" s="27"/>
      <c r="AP49" s="27"/>
      <c r="AQ49" s="27"/>
      <c r="AR49" s="27"/>
      <c r="AS49" s="27"/>
      <c r="AT49" s="27"/>
      <c r="AU49" s="27"/>
      <c r="AV49" s="27"/>
      <c r="AW49" s="27"/>
      <c r="AX49" s="27"/>
      <c r="AY49" s="27"/>
      <c r="AZ49" s="27"/>
      <c r="BA49" s="27"/>
      <c r="BB49" s="27"/>
      <c r="BC49" s="27"/>
      <c r="BD49" s="27"/>
      <c r="BE49" s="27"/>
      <c r="BF49" s="27"/>
      <c r="BG49" s="27"/>
      <c r="BH49" s="27"/>
      <c r="BI49" s="27"/>
      <c r="BJ49" s="27"/>
      <c r="BK49" s="27"/>
      <c r="BL49" s="27"/>
      <c r="BM49" s="27"/>
      <c r="BN49" s="27"/>
      <c r="BO49" s="27"/>
      <c r="BP49" s="27"/>
      <c r="BQ49" s="27"/>
      <c r="BR49" s="27"/>
      <c r="BS49" s="27"/>
      <c r="BT49" s="27"/>
      <c r="BU49" s="27"/>
      <c r="BV49" s="27"/>
      <c r="BW49" s="27"/>
      <c r="BX49" s="27"/>
      <c r="BY49" s="27"/>
      <c r="BZ49" s="27"/>
      <c r="CA49" s="27"/>
      <c r="CB49" s="27"/>
      <c r="CC49" s="27"/>
      <c r="CD49" s="27"/>
      <c r="CE49" s="27"/>
      <c r="CF49" s="54"/>
      <c r="CG49" s="54"/>
      <c r="CH49" s="54"/>
      <c r="CI49" s="54"/>
      <c r="CJ49" s="54"/>
      <c r="CK49" s="54"/>
      <c r="CL49" s="54"/>
      <c r="CM49" s="54"/>
      <c r="CN49" s="54"/>
      <c r="CO49" s="54"/>
      <c r="CP49" s="54"/>
      <c r="CQ49" s="54"/>
      <c r="CR49" s="107">
        <f t="shared" si="9"/>
        <v>57876.071428571435</v>
      </c>
      <c r="CS49" s="107">
        <f t="shared" si="10"/>
        <v>57876.071428571435</v>
      </c>
      <c r="CT49" s="108">
        <f t="shared" si="11"/>
        <v>14963.894718724196</v>
      </c>
      <c r="CU49" s="65">
        <f t="shared" si="5"/>
        <v>0.25855062980893745</v>
      </c>
      <c r="CV49" s="66">
        <f t="shared" si="6"/>
        <v>48636.134453781517</v>
      </c>
      <c r="CW49" s="66">
        <f t="shared" si="7"/>
        <v>9240.8655462184888</v>
      </c>
      <c r="CX49" s="128">
        <f t="shared" si="8"/>
        <v>57877</v>
      </c>
      <c r="CY49" s="109">
        <f t="shared" si="14"/>
        <v>4630160</v>
      </c>
      <c r="CZ49" s="110" t="s">
        <v>902</v>
      </c>
    </row>
    <row r="50" spans="1:104" ht="51" x14ac:dyDescent="0.2">
      <c r="A50" s="129">
        <v>46</v>
      </c>
      <c r="B50" s="62" t="s">
        <v>1104</v>
      </c>
      <c r="C50" s="110" t="s">
        <v>1105</v>
      </c>
      <c r="D50" s="140" t="s">
        <v>232</v>
      </c>
      <c r="E50" s="141">
        <v>25</v>
      </c>
      <c r="F50" s="27"/>
      <c r="G50" s="27"/>
      <c r="H50" s="27"/>
      <c r="I50" s="27"/>
      <c r="J50" s="27"/>
      <c r="K50" s="27"/>
      <c r="L50" s="27"/>
      <c r="M50" s="27"/>
      <c r="N50" s="45">
        <f>54900/1.19</f>
        <v>46134.45378151261</v>
      </c>
      <c r="O50" s="45">
        <f t="shared" si="15"/>
        <v>8765.5462184873959</v>
      </c>
      <c r="P50" s="45">
        <f t="shared" si="16"/>
        <v>62742.857142857152</v>
      </c>
      <c r="Q50" s="27"/>
      <c r="R50" s="27"/>
      <c r="S50" s="27"/>
      <c r="T50" s="27"/>
      <c r="U50" s="27"/>
      <c r="V50" s="27"/>
      <c r="W50" s="27"/>
      <c r="X50" s="27"/>
      <c r="Y50" s="27"/>
      <c r="Z50" s="27"/>
      <c r="AA50" s="27"/>
      <c r="AB50" s="27"/>
      <c r="AC50" s="27"/>
      <c r="AD50" s="27"/>
      <c r="AE50" s="27"/>
      <c r="AF50" s="27"/>
      <c r="AG50" s="27"/>
      <c r="AH50" s="27"/>
      <c r="AI50" s="27"/>
      <c r="AJ50" s="27"/>
      <c r="AK50" s="27"/>
      <c r="AL50" s="27"/>
      <c r="AM50" s="27"/>
      <c r="AN50" s="27"/>
      <c r="AO50" s="27"/>
      <c r="AP50" s="27"/>
      <c r="AQ50" s="27"/>
      <c r="AR50" s="27"/>
      <c r="AS50" s="27"/>
      <c r="AT50" s="27"/>
      <c r="AU50" s="27"/>
      <c r="AV50" s="27"/>
      <c r="AW50" s="27"/>
      <c r="AX50" s="27"/>
      <c r="AY50" s="27"/>
      <c r="AZ50" s="27"/>
      <c r="BA50" s="27"/>
      <c r="BB50" s="27"/>
      <c r="BC50" s="27"/>
      <c r="BD50" s="27"/>
      <c r="BE50" s="27"/>
      <c r="BF50" s="27"/>
      <c r="BG50" s="27"/>
      <c r="BH50" s="27"/>
      <c r="BI50" s="27"/>
      <c r="BJ50" s="27"/>
      <c r="BK50" s="27"/>
      <c r="BL50" s="27"/>
      <c r="BM50" s="27"/>
      <c r="BN50" s="27"/>
      <c r="BO50" s="27"/>
      <c r="BP50" s="27"/>
      <c r="BQ50" s="27"/>
      <c r="BR50" s="27"/>
      <c r="BS50" s="27"/>
      <c r="BT50" s="27"/>
      <c r="BU50" s="27"/>
      <c r="BV50" s="27"/>
      <c r="BW50" s="27"/>
      <c r="BX50" s="27"/>
      <c r="BY50" s="27"/>
      <c r="BZ50" s="27"/>
      <c r="CA50" s="27"/>
      <c r="CB50" s="27"/>
      <c r="CC50" s="27"/>
      <c r="CD50" s="27"/>
      <c r="CE50" s="45"/>
      <c r="CF50" s="54"/>
      <c r="CG50" s="45">
        <v>39650.799999999996</v>
      </c>
      <c r="CH50" s="45">
        <v>38000</v>
      </c>
      <c r="CI50" s="45"/>
      <c r="CJ50" s="45"/>
      <c r="CK50" s="45"/>
      <c r="CL50" s="45"/>
      <c r="CM50" s="45"/>
      <c r="CN50" s="45"/>
      <c r="CO50" s="45"/>
      <c r="CP50" s="45"/>
      <c r="CQ50" s="45"/>
      <c r="CR50" s="107">
        <f t="shared" si="9"/>
        <v>39650.799999999996</v>
      </c>
      <c r="CS50" s="107">
        <f t="shared" si="10"/>
        <v>46797.885714285716</v>
      </c>
      <c r="CT50" s="108">
        <f t="shared" si="11"/>
        <v>13833.396927489273</v>
      </c>
      <c r="CU50" s="65">
        <f t="shared" si="5"/>
        <v>0.29559875871200808</v>
      </c>
      <c r="CV50" s="66">
        <f t="shared" si="6"/>
        <v>33320.168067226892</v>
      </c>
      <c r="CW50" s="66">
        <f t="shared" si="7"/>
        <v>6330.8319327731097</v>
      </c>
      <c r="CX50" s="128">
        <f t="shared" si="8"/>
        <v>39651</v>
      </c>
      <c r="CY50" s="109">
        <f t="shared" si="14"/>
        <v>991275</v>
      </c>
      <c r="CZ50" s="110" t="s">
        <v>903</v>
      </c>
    </row>
    <row r="51" spans="1:104" ht="51" x14ac:dyDescent="0.2">
      <c r="A51" s="129">
        <v>47</v>
      </c>
      <c r="B51" s="62" t="s">
        <v>293</v>
      </c>
      <c r="C51" s="110" t="s">
        <v>294</v>
      </c>
      <c r="D51" s="140" t="s">
        <v>232</v>
      </c>
      <c r="E51" s="141">
        <v>40</v>
      </c>
      <c r="F51" s="27"/>
      <c r="G51" s="27"/>
      <c r="H51" s="27"/>
      <c r="I51" s="27"/>
      <c r="J51" s="27"/>
      <c r="K51" s="27"/>
      <c r="L51" s="27"/>
      <c r="M51" s="27"/>
      <c r="N51" s="27"/>
      <c r="O51" s="27"/>
      <c r="P51" s="27"/>
      <c r="Q51" s="27"/>
      <c r="R51" s="27"/>
      <c r="S51" s="27"/>
      <c r="T51" s="27"/>
      <c r="U51" s="27"/>
      <c r="V51" s="27"/>
      <c r="W51" s="27"/>
      <c r="X51" s="27"/>
      <c r="Y51" s="27"/>
      <c r="Z51" s="27"/>
      <c r="AA51" s="27"/>
      <c r="AB51" s="27"/>
      <c r="AC51" s="27"/>
      <c r="AD51" s="27"/>
      <c r="AE51" s="27"/>
      <c r="AF51" s="27"/>
      <c r="AG51" s="27"/>
      <c r="AH51" s="27"/>
      <c r="AI51" s="27"/>
      <c r="AJ51" s="27"/>
      <c r="AK51" s="27"/>
      <c r="AL51" s="27"/>
      <c r="AM51" s="27"/>
      <c r="AN51" s="27"/>
      <c r="AO51" s="27"/>
      <c r="AP51" s="27"/>
      <c r="AQ51" s="27"/>
      <c r="AR51" s="27"/>
      <c r="AS51" s="27"/>
      <c r="AT51" s="27"/>
      <c r="AU51" s="27"/>
      <c r="AV51" s="27"/>
      <c r="AW51" s="27"/>
      <c r="AX51" s="27"/>
      <c r="AY51" s="27"/>
      <c r="AZ51" s="27"/>
      <c r="BA51" s="27"/>
      <c r="BB51" s="27"/>
      <c r="BC51" s="27"/>
      <c r="BD51" s="27"/>
      <c r="BE51" s="27"/>
      <c r="BF51" s="27"/>
      <c r="BG51" s="27"/>
      <c r="BH51" s="27"/>
      <c r="BI51" s="27"/>
      <c r="BJ51" s="27"/>
      <c r="BK51" s="27"/>
      <c r="BL51" s="27"/>
      <c r="BM51" s="27"/>
      <c r="BN51" s="27"/>
      <c r="BO51" s="27"/>
      <c r="BP51" s="27"/>
      <c r="BQ51" s="27"/>
      <c r="BR51" s="27"/>
      <c r="BS51" s="27"/>
      <c r="BT51" s="27"/>
      <c r="BU51" s="27"/>
      <c r="BV51" s="27"/>
      <c r="BW51" s="27"/>
      <c r="BX51" s="27"/>
      <c r="BY51" s="27"/>
      <c r="BZ51" s="27"/>
      <c r="CA51" s="27"/>
      <c r="CB51" s="27"/>
      <c r="CC51" s="27"/>
      <c r="CD51" s="27"/>
      <c r="CE51" s="45"/>
      <c r="CF51" s="54"/>
      <c r="CG51" s="45">
        <v>17701.25</v>
      </c>
      <c r="CH51" s="45">
        <v>18100</v>
      </c>
      <c r="CI51" s="45"/>
      <c r="CJ51" s="45"/>
      <c r="CK51" s="45"/>
      <c r="CL51" s="45"/>
      <c r="CM51" s="45"/>
      <c r="CN51" s="45"/>
      <c r="CO51" s="45"/>
      <c r="CP51" s="45"/>
      <c r="CQ51" s="45"/>
      <c r="CR51" s="107">
        <f t="shared" si="9"/>
        <v>17900.625</v>
      </c>
      <c r="CS51" s="107">
        <f t="shared" si="10"/>
        <v>17900.625</v>
      </c>
      <c r="CT51" s="108">
        <f t="shared" si="11"/>
        <v>281.9588289981358</v>
      </c>
      <c r="CU51" s="65">
        <f t="shared" si="5"/>
        <v>1.5751339911211804E-2</v>
      </c>
      <c r="CV51" s="66">
        <f t="shared" si="6"/>
        <v>15042.857142857143</v>
      </c>
      <c r="CW51" s="66">
        <f t="shared" si="7"/>
        <v>2858.1428571428573</v>
      </c>
      <c r="CX51" s="128">
        <f t="shared" si="8"/>
        <v>17901</v>
      </c>
      <c r="CY51" s="109">
        <f t="shared" si="14"/>
        <v>716040</v>
      </c>
      <c r="CZ51" s="110" t="s">
        <v>903</v>
      </c>
    </row>
    <row r="52" spans="1:104" ht="51" x14ac:dyDescent="0.2">
      <c r="A52" s="129">
        <v>48</v>
      </c>
      <c r="B52" s="62" t="s">
        <v>295</v>
      </c>
      <c r="C52" s="110" t="s">
        <v>1064</v>
      </c>
      <c r="D52" s="140" t="s">
        <v>196</v>
      </c>
      <c r="E52" s="141">
        <v>60</v>
      </c>
      <c r="F52" s="54"/>
      <c r="G52" s="54"/>
      <c r="H52" s="54"/>
      <c r="I52" s="54"/>
      <c r="J52" s="54"/>
      <c r="K52" s="54"/>
      <c r="L52" s="54"/>
      <c r="M52" s="54"/>
      <c r="N52" s="54"/>
      <c r="O52" s="54"/>
      <c r="P52" s="54"/>
      <c r="Q52" s="54"/>
      <c r="R52" s="54"/>
      <c r="S52" s="54"/>
      <c r="T52" s="54"/>
      <c r="U52" s="54"/>
      <c r="V52" s="54"/>
      <c r="W52" s="54"/>
      <c r="X52" s="54"/>
      <c r="Y52" s="54"/>
      <c r="Z52" s="54"/>
      <c r="AA52" s="54"/>
      <c r="AB52" s="54"/>
      <c r="AC52" s="54"/>
      <c r="AD52" s="54"/>
      <c r="AE52" s="54"/>
      <c r="AF52" s="54"/>
      <c r="AG52" s="54"/>
      <c r="AH52" s="54"/>
      <c r="AI52" s="54"/>
      <c r="AJ52" s="54"/>
      <c r="AK52" s="54"/>
      <c r="AL52" s="54"/>
      <c r="AM52" s="54"/>
      <c r="AN52" s="54"/>
      <c r="AO52" s="54"/>
      <c r="AP52" s="54"/>
      <c r="AQ52" s="54"/>
      <c r="AR52" s="54"/>
      <c r="AS52" s="54"/>
      <c r="AT52" s="54"/>
      <c r="AU52" s="54"/>
      <c r="AV52" s="54"/>
      <c r="AW52" s="54"/>
      <c r="AX52" s="54"/>
      <c r="AY52" s="54"/>
      <c r="AZ52" s="54"/>
      <c r="BA52" s="54"/>
      <c r="BB52" s="54"/>
      <c r="BC52" s="54"/>
      <c r="BD52" s="54"/>
      <c r="BE52" s="54"/>
      <c r="BF52" s="54"/>
      <c r="BG52" s="54"/>
      <c r="BH52" s="54"/>
      <c r="BI52" s="54"/>
      <c r="BJ52" s="54"/>
      <c r="BK52" s="54"/>
      <c r="BL52" s="54"/>
      <c r="BM52" s="54"/>
      <c r="BN52" s="54"/>
      <c r="BO52" s="54"/>
      <c r="BP52" s="54"/>
      <c r="BQ52" s="54"/>
      <c r="BR52" s="54"/>
      <c r="BS52" s="54"/>
      <c r="BT52" s="54"/>
      <c r="BU52" s="54"/>
      <c r="BV52" s="54"/>
      <c r="BW52" s="54"/>
      <c r="BX52" s="54"/>
      <c r="BY52" s="54"/>
      <c r="BZ52" s="54"/>
      <c r="CA52" s="54"/>
      <c r="CB52" s="54"/>
      <c r="CC52" s="54"/>
      <c r="CD52" s="54"/>
      <c r="CE52" s="54"/>
      <c r="CF52" s="54"/>
      <c r="CG52" s="45">
        <v>13452.949999999999</v>
      </c>
      <c r="CH52" s="45">
        <v>12400</v>
      </c>
      <c r="CI52" s="45"/>
      <c r="CJ52" s="45"/>
      <c r="CK52" s="45"/>
      <c r="CL52" s="45"/>
      <c r="CM52" s="45"/>
      <c r="CN52" s="45"/>
      <c r="CO52" s="45"/>
      <c r="CP52" s="45"/>
      <c r="CQ52" s="45"/>
      <c r="CR52" s="107">
        <f t="shared" si="9"/>
        <v>12926.474999999999</v>
      </c>
      <c r="CS52" s="107">
        <f t="shared" si="10"/>
        <v>12926.474999999999</v>
      </c>
      <c r="CT52" s="108">
        <f t="shared" si="11"/>
        <v>744.54808525037447</v>
      </c>
      <c r="CU52" s="65">
        <f t="shared" si="5"/>
        <v>5.7598694559063822E-2</v>
      </c>
      <c r="CV52" s="66">
        <f t="shared" si="6"/>
        <v>10863.025210084033</v>
      </c>
      <c r="CW52" s="66">
        <f t="shared" si="7"/>
        <v>2063.9747899159665</v>
      </c>
      <c r="CX52" s="128">
        <f t="shared" si="8"/>
        <v>12927</v>
      </c>
      <c r="CY52" s="109">
        <f t="shared" si="14"/>
        <v>775620</v>
      </c>
      <c r="CZ52" s="110" t="s">
        <v>903</v>
      </c>
    </row>
    <row r="53" spans="1:104" ht="51" x14ac:dyDescent="0.2">
      <c r="A53" s="129">
        <v>49</v>
      </c>
      <c r="B53" s="62" t="s">
        <v>296</v>
      </c>
      <c r="C53" s="110" t="s">
        <v>297</v>
      </c>
      <c r="D53" s="140" t="s">
        <v>232</v>
      </c>
      <c r="E53" s="144">
        <v>20</v>
      </c>
      <c r="F53" s="132">
        <v>32900</v>
      </c>
      <c r="G53" s="132">
        <f>((F53*5.1%)+F53)</f>
        <v>34577.9</v>
      </c>
      <c r="H53" s="27"/>
      <c r="I53" s="27"/>
      <c r="J53" s="27"/>
      <c r="K53" s="27"/>
      <c r="L53" s="27"/>
      <c r="M53" s="27"/>
      <c r="N53" s="45">
        <f>37900/1.19</f>
        <v>31848.73949579832</v>
      </c>
      <c r="O53" s="45">
        <f>N53*19%</f>
        <v>6051.2605042016812</v>
      </c>
      <c r="P53" s="45">
        <f>N53*1.36</f>
        <v>43314.285714285717</v>
      </c>
      <c r="Q53" s="27"/>
      <c r="R53" s="27"/>
      <c r="S53" s="27"/>
      <c r="T53" s="27"/>
      <c r="U53" s="27"/>
      <c r="V53" s="27"/>
      <c r="W53" s="27"/>
      <c r="X53" s="27"/>
      <c r="Y53" s="27"/>
      <c r="Z53" s="27"/>
      <c r="AA53" s="27"/>
      <c r="AB53" s="27"/>
      <c r="AC53" s="27"/>
      <c r="AD53" s="27"/>
      <c r="AE53" s="27"/>
      <c r="AF53" s="27"/>
      <c r="AG53" s="27"/>
      <c r="AH53" s="27"/>
      <c r="AI53" s="27"/>
      <c r="AJ53" s="27"/>
      <c r="AK53" s="27"/>
      <c r="AL53" s="27"/>
      <c r="AM53" s="27"/>
      <c r="AN53" s="27"/>
      <c r="AO53" s="27"/>
      <c r="AP53" s="27"/>
      <c r="AQ53" s="27"/>
      <c r="AR53" s="27"/>
      <c r="AS53" s="27"/>
      <c r="AT53" s="27"/>
      <c r="AU53" s="27"/>
      <c r="AV53" s="27"/>
      <c r="AW53" s="27"/>
      <c r="AX53" s="27"/>
      <c r="AY53" s="27"/>
      <c r="AZ53" s="27"/>
      <c r="BA53" s="27"/>
      <c r="BB53" s="27"/>
      <c r="BC53" s="27"/>
      <c r="BD53" s="27"/>
      <c r="BE53" s="27"/>
      <c r="BF53" s="27"/>
      <c r="BG53" s="27"/>
      <c r="BH53" s="27"/>
      <c r="BI53" s="27"/>
      <c r="BJ53" s="27"/>
      <c r="BK53" s="27"/>
      <c r="BL53" s="27"/>
      <c r="BM53" s="27"/>
      <c r="BN53" s="27"/>
      <c r="BO53" s="27"/>
      <c r="BP53" s="27"/>
      <c r="BQ53" s="27"/>
      <c r="BR53" s="27"/>
      <c r="BS53" s="27"/>
      <c r="BT53" s="27"/>
      <c r="BU53" s="27"/>
      <c r="BV53" s="27"/>
      <c r="BW53" s="27"/>
      <c r="BX53" s="27"/>
      <c r="BY53" s="27"/>
      <c r="BZ53" s="27"/>
      <c r="CA53" s="27"/>
      <c r="CB53" s="27"/>
      <c r="CC53" s="27"/>
      <c r="CD53" s="27"/>
      <c r="CE53" s="27"/>
      <c r="CF53" s="54"/>
      <c r="CG53" s="54"/>
      <c r="CH53" s="54"/>
      <c r="CI53" s="54"/>
      <c r="CJ53" s="54"/>
      <c r="CK53" s="54"/>
      <c r="CL53" s="54"/>
      <c r="CM53" s="54"/>
      <c r="CN53" s="54"/>
      <c r="CO53" s="54"/>
      <c r="CP53" s="54"/>
      <c r="CQ53" s="54"/>
      <c r="CR53" s="107">
        <f t="shared" si="9"/>
        <v>38946.092857142859</v>
      </c>
      <c r="CS53" s="107">
        <f t="shared" si="10"/>
        <v>38946.092857142859</v>
      </c>
      <c r="CT53" s="108">
        <f t="shared" si="11"/>
        <v>6177.5575816327228</v>
      </c>
      <c r="CU53" s="65">
        <f t="shared" si="5"/>
        <v>0.15861815983165395</v>
      </c>
      <c r="CV53" s="66">
        <f t="shared" si="6"/>
        <v>32728.571428571431</v>
      </c>
      <c r="CW53" s="66">
        <f t="shared" si="7"/>
        <v>6218.4285714285716</v>
      </c>
      <c r="CX53" s="128">
        <f t="shared" si="8"/>
        <v>38947</v>
      </c>
      <c r="CY53" s="109">
        <f t="shared" si="14"/>
        <v>778940</v>
      </c>
      <c r="CZ53" s="110" t="s">
        <v>902</v>
      </c>
    </row>
    <row r="54" spans="1:104" ht="51" x14ac:dyDescent="0.2">
      <c r="A54" s="129">
        <v>50</v>
      </c>
      <c r="B54" s="130" t="s">
        <v>298</v>
      </c>
      <c r="C54" s="110" t="s">
        <v>1309</v>
      </c>
      <c r="D54" s="140" t="s">
        <v>317</v>
      </c>
      <c r="E54" s="144">
        <v>41</v>
      </c>
      <c r="F54" s="64">
        <v>6000</v>
      </c>
      <c r="G54" s="64">
        <f t="shared" ref="G54" si="18">(F54*5.1%)+F54</f>
        <v>6306</v>
      </c>
      <c r="H54" s="27"/>
      <c r="I54" s="27"/>
      <c r="J54" s="132">
        <v>4500</v>
      </c>
      <c r="K54" s="134">
        <f>((J54*5.1%)+J54)</f>
        <v>4729.5</v>
      </c>
      <c r="L54" s="27"/>
      <c r="M54" s="27"/>
      <c r="N54" s="27"/>
      <c r="O54" s="27"/>
      <c r="P54" s="27"/>
      <c r="Q54" s="27"/>
      <c r="R54" s="27"/>
      <c r="S54" s="27"/>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7"/>
      <c r="AR54" s="27"/>
      <c r="AS54" s="27"/>
      <c r="AT54" s="27"/>
      <c r="AU54" s="27"/>
      <c r="AV54" s="27"/>
      <c r="AW54" s="27"/>
      <c r="AX54" s="27"/>
      <c r="AY54" s="27"/>
      <c r="AZ54" s="27"/>
      <c r="BA54" s="27"/>
      <c r="BB54" s="27"/>
      <c r="BC54" s="27"/>
      <c r="BD54" s="27"/>
      <c r="BE54" s="27"/>
      <c r="BF54" s="27"/>
      <c r="BG54" s="27"/>
      <c r="BH54" s="27"/>
      <c r="BI54" s="27"/>
      <c r="BJ54" s="27"/>
      <c r="BK54" s="27"/>
      <c r="BL54" s="27"/>
      <c r="BM54" s="27"/>
      <c r="BN54" s="27"/>
      <c r="BO54" s="27"/>
      <c r="BP54" s="27"/>
      <c r="BQ54" s="27"/>
      <c r="BR54" s="27"/>
      <c r="BS54" s="27"/>
      <c r="BT54" s="27"/>
      <c r="BU54" s="27"/>
      <c r="BV54" s="27"/>
      <c r="BW54" s="27"/>
      <c r="BX54" s="27"/>
      <c r="BY54" s="27"/>
      <c r="BZ54" s="27"/>
      <c r="CA54" s="27"/>
      <c r="CB54" s="27"/>
      <c r="CC54" s="27"/>
      <c r="CD54" s="27"/>
      <c r="CE54" s="27"/>
      <c r="CF54" s="54"/>
      <c r="CG54" s="54"/>
      <c r="CH54" s="54"/>
      <c r="CI54" s="54"/>
      <c r="CJ54" s="54"/>
      <c r="CK54" s="54"/>
      <c r="CL54" s="54"/>
      <c r="CM54" s="54"/>
      <c r="CN54" s="54"/>
      <c r="CO54" s="54"/>
      <c r="CP54" s="54"/>
      <c r="CQ54" s="54"/>
      <c r="CR54" s="107">
        <f t="shared" si="9"/>
        <v>5517.75</v>
      </c>
      <c r="CS54" s="107">
        <f t="shared" si="10"/>
        <v>5517.75</v>
      </c>
      <c r="CT54" s="108">
        <f t="shared" si="11"/>
        <v>1114.7538405405921</v>
      </c>
      <c r="CU54" s="65">
        <f t="shared" si="5"/>
        <v>0.20203050891044214</v>
      </c>
      <c r="CV54" s="66">
        <f t="shared" si="6"/>
        <v>4636.9747899159665</v>
      </c>
      <c r="CW54" s="66">
        <f t="shared" si="7"/>
        <v>881.02521008403369</v>
      </c>
      <c r="CX54" s="128">
        <f t="shared" si="8"/>
        <v>5518</v>
      </c>
      <c r="CY54" s="109">
        <f t="shared" si="14"/>
        <v>226238</v>
      </c>
      <c r="CZ54" s="110" t="s">
        <v>903</v>
      </c>
    </row>
    <row r="55" spans="1:104" ht="356" x14ac:dyDescent="0.2">
      <c r="A55" s="129">
        <v>51</v>
      </c>
      <c r="B55" s="62" t="s">
        <v>299</v>
      </c>
      <c r="C55" s="110" t="s">
        <v>1107</v>
      </c>
      <c r="D55" s="140" t="s">
        <v>232</v>
      </c>
      <c r="E55" s="144">
        <v>20</v>
      </c>
      <c r="F55" s="27"/>
      <c r="G55" s="27"/>
      <c r="H55" s="27"/>
      <c r="I55" s="27"/>
      <c r="J55" s="27"/>
      <c r="K55" s="27"/>
      <c r="L55" s="27"/>
      <c r="M55" s="27"/>
      <c r="N55" s="69">
        <f>P55/1.19</f>
        <v>37731.092436974788</v>
      </c>
      <c r="O55" s="69">
        <f>N55*19%</f>
        <v>7168.90756302521</v>
      </c>
      <c r="P55" s="69">
        <v>44900</v>
      </c>
      <c r="Q55" s="27"/>
      <c r="R55" s="27"/>
      <c r="S55" s="27"/>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c r="AT55" s="27"/>
      <c r="AU55" s="27"/>
      <c r="AV55" s="27"/>
      <c r="AW55" s="27"/>
      <c r="AX55" s="27"/>
      <c r="AY55" s="69">
        <v>31987.394957983193</v>
      </c>
      <c r="AZ55" s="69">
        <f>AY55*19%</f>
        <v>6077.6050420168067</v>
      </c>
      <c r="BA55" s="69">
        <f>(AY55*1.17)+AZ55</f>
        <v>43502.857142857145</v>
      </c>
      <c r="BB55" s="27"/>
      <c r="BC55" s="27"/>
      <c r="BD55" s="27"/>
      <c r="BE55" s="27"/>
      <c r="BF55" s="27"/>
      <c r="BG55" s="27"/>
      <c r="BH55" s="27"/>
      <c r="BI55" s="27"/>
      <c r="BJ55" s="27"/>
      <c r="BK55" s="27"/>
      <c r="BL55" s="27"/>
      <c r="BM55" s="27"/>
      <c r="BN55" s="27"/>
      <c r="BO55" s="27"/>
      <c r="BP55" s="27"/>
      <c r="BQ55" s="27"/>
      <c r="BR55" s="27"/>
      <c r="BS55" s="27"/>
      <c r="BT55" s="27"/>
      <c r="BU55" s="27"/>
      <c r="BV55" s="27"/>
      <c r="BW55" s="27"/>
      <c r="BX55" s="27"/>
      <c r="BY55" s="27"/>
      <c r="BZ55" s="27"/>
      <c r="CA55" s="27"/>
      <c r="CB55" s="27"/>
      <c r="CC55" s="27"/>
      <c r="CD55" s="27"/>
      <c r="CE55" s="27"/>
      <c r="CF55" s="54"/>
      <c r="CG55" s="54"/>
      <c r="CH55" s="54"/>
      <c r="CI55" s="54"/>
      <c r="CJ55" s="54"/>
      <c r="CK55" s="54"/>
      <c r="CL55" s="54"/>
      <c r="CM55" s="54"/>
      <c r="CN55" s="54"/>
      <c r="CO55" s="54"/>
      <c r="CP55" s="54"/>
      <c r="CQ55" s="54"/>
      <c r="CR55" s="107">
        <f t="shared" si="9"/>
        <v>44201.428571428572</v>
      </c>
      <c r="CS55" s="107">
        <f t="shared" si="10"/>
        <v>44201.428571428572</v>
      </c>
      <c r="CT55" s="108">
        <f t="shared" si="11"/>
        <v>987.92918857206064</v>
      </c>
      <c r="CU55" s="65">
        <f t="shared" si="5"/>
        <v>2.2350616722162906E-2</v>
      </c>
      <c r="CV55" s="66">
        <f t="shared" si="6"/>
        <v>37144.537815126052</v>
      </c>
      <c r="CW55" s="66">
        <f t="shared" si="7"/>
        <v>7057.4621848739498</v>
      </c>
      <c r="CX55" s="128">
        <f t="shared" si="8"/>
        <v>44202</v>
      </c>
      <c r="CY55" s="109">
        <f t="shared" si="14"/>
        <v>884040</v>
      </c>
      <c r="CZ55" s="110" t="s">
        <v>903</v>
      </c>
    </row>
    <row r="56" spans="1:104" ht="136" x14ac:dyDescent="0.2">
      <c r="A56" s="129">
        <v>52</v>
      </c>
      <c r="B56" s="130" t="s">
        <v>300</v>
      </c>
      <c r="C56" s="110" t="s">
        <v>1102</v>
      </c>
      <c r="D56" s="140" t="s">
        <v>232</v>
      </c>
      <c r="E56" s="144">
        <v>20</v>
      </c>
      <c r="F56" s="132">
        <v>77311</v>
      </c>
      <c r="G56" s="132">
        <f>((F56*5.1%)+F56)</f>
        <v>81253.861000000004</v>
      </c>
      <c r="H56" s="27"/>
      <c r="I56" s="27"/>
      <c r="J56" s="27"/>
      <c r="K56" s="27"/>
      <c r="L56" s="27"/>
      <c r="M56" s="27"/>
      <c r="N56" s="45">
        <v>64621.848739495799</v>
      </c>
      <c r="O56" s="45">
        <f>N56*19%</f>
        <v>12278.151260504203</v>
      </c>
      <c r="P56" s="45">
        <f>N56*1.36</f>
        <v>87885.71428571429</v>
      </c>
      <c r="Q56" s="27"/>
      <c r="R56" s="27"/>
      <c r="S56" s="27"/>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c r="AS56" s="27"/>
      <c r="AT56" s="27"/>
      <c r="AU56" s="27"/>
      <c r="AV56" s="27"/>
      <c r="AW56" s="27"/>
      <c r="AX56" s="27"/>
      <c r="AY56" s="27"/>
      <c r="AZ56" s="27"/>
      <c r="BA56" s="27"/>
      <c r="BB56" s="27"/>
      <c r="BC56" s="27"/>
      <c r="BD56" s="27"/>
      <c r="BE56" s="27"/>
      <c r="BF56" s="27"/>
      <c r="BG56" s="27"/>
      <c r="BH56" s="27"/>
      <c r="BI56" s="27"/>
      <c r="BJ56" s="27"/>
      <c r="BK56" s="27"/>
      <c r="BL56" s="27"/>
      <c r="BM56" s="27"/>
      <c r="BN56" s="27"/>
      <c r="BO56" s="27"/>
      <c r="BP56" s="27"/>
      <c r="BQ56" s="27"/>
      <c r="BR56" s="27"/>
      <c r="BS56" s="27"/>
      <c r="BT56" s="27"/>
      <c r="BU56" s="27"/>
      <c r="BV56" s="27"/>
      <c r="BW56" s="27"/>
      <c r="BX56" s="27"/>
      <c r="BY56" s="27"/>
      <c r="BZ56" s="27"/>
      <c r="CA56" s="27"/>
      <c r="CB56" s="27"/>
      <c r="CC56" s="27"/>
      <c r="CD56" s="27"/>
      <c r="CE56" s="27"/>
      <c r="CF56" s="54"/>
      <c r="CG56" s="54"/>
      <c r="CH56" s="54"/>
      <c r="CI56" s="54"/>
      <c r="CJ56" s="54"/>
      <c r="CK56" s="54"/>
      <c r="CL56" s="54"/>
      <c r="CM56" s="54"/>
      <c r="CN56" s="54"/>
      <c r="CO56" s="54"/>
      <c r="CP56" s="54"/>
      <c r="CQ56" s="54"/>
      <c r="CR56" s="107">
        <f t="shared" si="9"/>
        <v>84569.787642857147</v>
      </c>
      <c r="CS56" s="107">
        <f t="shared" si="10"/>
        <v>84569.787642857147</v>
      </c>
      <c r="CT56" s="108">
        <f t="shared" si="11"/>
        <v>4689.4284301628577</v>
      </c>
      <c r="CU56" s="65">
        <f t="shared" si="5"/>
        <v>5.5450398550917157E-2</v>
      </c>
      <c r="CV56" s="66">
        <f t="shared" si="6"/>
        <v>71067.226890756312</v>
      </c>
      <c r="CW56" s="66">
        <f t="shared" si="7"/>
        <v>13502.773109243699</v>
      </c>
      <c r="CX56" s="128">
        <f t="shared" si="8"/>
        <v>84570</v>
      </c>
      <c r="CY56" s="109">
        <f t="shared" si="14"/>
        <v>1691400</v>
      </c>
      <c r="CZ56" s="110" t="s">
        <v>903</v>
      </c>
    </row>
    <row r="57" spans="1:104" ht="204" x14ac:dyDescent="0.2">
      <c r="A57" s="129">
        <v>53</v>
      </c>
      <c r="B57" s="130" t="s">
        <v>879</v>
      </c>
      <c r="C57" s="110" t="s">
        <v>1315</v>
      </c>
      <c r="D57" s="140" t="s">
        <v>317</v>
      </c>
      <c r="E57" s="144">
        <v>35</v>
      </c>
      <c r="F57" s="27"/>
      <c r="G57" s="27"/>
      <c r="H57" s="27"/>
      <c r="I57" s="27"/>
      <c r="J57" s="27"/>
      <c r="K57" s="27"/>
      <c r="L57" s="27"/>
      <c r="M57" s="27"/>
      <c r="N57" s="45"/>
      <c r="O57" s="45"/>
      <c r="P57" s="45"/>
      <c r="Q57" s="27"/>
      <c r="R57" s="27"/>
      <c r="S57" s="27"/>
      <c r="T57" s="27"/>
      <c r="U57" s="27"/>
      <c r="V57" s="27"/>
      <c r="W57" s="27"/>
      <c r="X57" s="27"/>
      <c r="Y57" s="27"/>
      <c r="Z57" s="27"/>
      <c r="AA57" s="27"/>
      <c r="AB57" s="27"/>
      <c r="AC57" s="27"/>
      <c r="AD57" s="27"/>
      <c r="AE57" s="27"/>
      <c r="AF57" s="27"/>
      <c r="AG57" s="27"/>
      <c r="AH57" s="27"/>
      <c r="AI57" s="27"/>
      <c r="AJ57" s="27"/>
      <c r="AK57" s="27"/>
      <c r="AL57" s="27"/>
      <c r="AM57" s="27"/>
      <c r="AN57" s="27"/>
      <c r="AO57" s="27"/>
      <c r="AP57" s="45">
        <v>10350</v>
      </c>
      <c r="AQ57" s="45">
        <f>AP57*19%</f>
        <v>1966.5</v>
      </c>
      <c r="AR57" s="45">
        <f>AP57*1.36</f>
        <v>14076.000000000002</v>
      </c>
      <c r="AS57" s="27"/>
      <c r="AT57" s="27"/>
      <c r="AU57" s="27"/>
      <c r="AV57" s="27"/>
      <c r="AW57" s="27"/>
      <c r="AX57" s="27"/>
      <c r="AY57" s="27"/>
      <c r="AZ57" s="27"/>
      <c r="BA57" s="27"/>
      <c r="BB57" s="27"/>
      <c r="BC57" s="27"/>
      <c r="BD57" s="27"/>
      <c r="BE57" s="27"/>
      <c r="BF57" s="27"/>
      <c r="BG57" s="27"/>
      <c r="BH57" s="45">
        <v>9990</v>
      </c>
      <c r="BI57" s="45">
        <f>BH57*19%</f>
        <v>1898.1</v>
      </c>
      <c r="BJ57" s="45">
        <f>BH57*1.36</f>
        <v>13586.400000000001</v>
      </c>
      <c r="BK57" s="27"/>
      <c r="BL57" s="27"/>
      <c r="BM57" s="27"/>
      <c r="BN57" s="27"/>
      <c r="BO57" s="27"/>
      <c r="BP57" s="27"/>
      <c r="BQ57" s="27"/>
      <c r="BR57" s="27"/>
      <c r="BS57" s="27"/>
      <c r="BT57" s="27"/>
      <c r="BU57" s="27"/>
      <c r="BV57" s="27"/>
      <c r="BW57" s="27"/>
      <c r="BX57" s="27"/>
      <c r="BY57" s="27"/>
      <c r="BZ57" s="27"/>
      <c r="CA57" s="27"/>
      <c r="CB57" s="27"/>
      <c r="CC57" s="27"/>
      <c r="CD57" s="27"/>
      <c r="CE57" s="27"/>
      <c r="CF57" s="54"/>
      <c r="CG57" s="54"/>
      <c r="CH57" s="54"/>
      <c r="CI57" s="54"/>
      <c r="CJ57" s="54"/>
      <c r="CK57" s="54"/>
      <c r="CL57" s="54"/>
      <c r="CM57" s="54"/>
      <c r="CN57" s="54"/>
      <c r="CO57" s="54"/>
      <c r="CP57" s="54"/>
      <c r="CQ57" s="54"/>
      <c r="CR57" s="107">
        <f t="shared" si="9"/>
        <v>13831.2</v>
      </c>
      <c r="CS57" s="107">
        <f t="shared" si="10"/>
        <v>13831.2</v>
      </c>
      <c r="CT57" s="108">
        <f t="shared" si="11"/>
        <v>346.19948006893389</v>
      </c>
      <c r="CU57" s="65">
        <f t="shared" si="5"/>
        <v>2.5030328537576918E-2</v>
      </c>
      <c r="CV57" s="66">
        <f t="shared" si="6"/>
        <v>11623.529411764706</v>
      </c>
      <c r="CW57" s="66">
        <f t="shared" si="7"/>
        <v>2208.4705882352941</v>
      </c>
      <c r="CX57" s="128">
        <f t="shared" si="8"/>
        <v>13832</v>
      </c>
      <c r="CY57" s="109">
        <f t="shared" si="14"/>
        <v>484120</v>
      </c>
      <c r="CZ57" s="110" t="s">
        <v>902</v>
      </c>
    </row>
    <row r="58" spans="1:104" ht="177.75" customHeight="1" x14ac:dyDescent="0.2">
      <c r="A58" s="129">
        <v>54</v>
      </c>
      <c r="B58" s="62" t="s">
        <v>301</v>
      </c>
      <c r="C58" s="110" t="s">
        <v>1108</v>
      </c>
      <c r="D58" s="140" t="s">
        <v>232</v>
      </c>
      <c r="E58" s="11">
        <v>35</v>
      </c>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4"/>
      <c r="AF58" s="54"/>
      <c r="AG58" s="54"/>
      <c r="AH58" s="54"/>
      <c r="AI58" s="54"/>
      <c r="AJ58" s="54"/>
      <c r="AK58" s="54"/>
      <c r="AL58" s="54"/>
      <c r="AM58" s="54"/>
      <c r="AN58" s="54"/>
      <c r="AO58" s="54"/>
      <c r="AP58" s="54"/>
      <c r="AQ58" s="54"/>
      <c r="AR58" s="54"/>
      <c r="AS58" s="54"/>
      <c r="AT58" s="54"/>
      <c r="AU58" s="54"/>
      <c r="AV58" s="54"/>
      <c r="AW58" s="54"/>
      <c r="AX58" s="54"/>
      <c r="AY58" s="54"/>
      <c r="AZ58" s="54"/>
      <c r="BA58" s="54"/>
      <c r="BB58" s="54"/>
      <c r="BC58" s="54"/>
      <c r="BD58" s="54"/>
      <c r="BE58" s="54"/>
      <c r="BF58" s="54"/>
      <c r="BG58" s="54"/>
      <c r="BH58" s="54"/>
      <c r="BI58" s="54"/>
      <c r="BJ58" s="54"/>
      <c r="BK58" s="54"/>
      <c r="BL58" s="54"/>
      <c r="BM58" s="54"/>
      <c r="BN58" s="54"/>
      <c r="BO58" s="54"/>
      <c r="BP58" s="54"/>
      <c r="BQ58" s="54"/>
      <c r="BR58" s="54"/>
      <c r="BS58" s="54"/>
      <c r="BT58" s="54"/>
      <c r="BU58" s="54"/>
      <c r="BV58" s="54"/>
      <c r="BW58" s="54"/>
      <c r="BX58" s="54"/>
      <c r="BY58" s="54"/>
      <c r="BZ58" s="54"/>
      <c r="CA58" s="54"/>
      <c r="CB58" s="54"/>
      <c r="CC58" s="54"/>
      <c r="CD58" s="54"/>
      <c r="CE58" s="54">
        <v>9855</v>
      </c>
      <c r="CF58" s="54"/>
      <c r="CG58" s="45">
        <v>16285.15</v>
      </c>
      <c r="CH58" s="45">
        <v>15400</v>
      </c>
      <c r="CI58" s="45"/>
      <c r="CJ58" s="45"/>
      <c r="CK58" s="45"/>
      <c r="CL58" s="45"/>
      <c r="CM58" s="45"/>
      <c r="CN58" s="45"/>
      <c r="CO58" s="45"/>
      <c r="CP58" s="45"/>
      <c r="CQ58" s="45"/>
      <c r="CR58" s="107">
        <f t="shared" si="9"/>
        <v>15400</v>
      </c>
      <c r="CS58" s="107">
        <f t="shared" si="10"/>
        <v>13846.716666666667</v>
      </c>
      <c r="CT58" s="108">
        <f t="shared" si="11"/>
        <v>3485.1433386352082</v>
      </c>
      <c r="CU58" s="65">
        <f t="shared" si="5"/>
        <v>0.25169456576121235</v>
      </c>
      <c r="CV58" s="66">
        <f t="shared" si="6"/>
        <v>12941.176470588236</v>
      </c>
      <c r="CW58" s="66">
        <f t="shared" si="7"/>
        <v>2458.8235294117649</v>
      </c>
      <c r="CX58" s="128">
        <f t="shared" si="8"/>
        <v>15400</v>
      </c>
      <c r="CY58" s="109">
        <f t="shared" si="14"/>
        <v>539000</v>
      </c>
      <c r="CZ58" s="110" t="s">
        <v>902</v>
      </c>
    </row>
    <row r="59" spans="1:104" ht="57" customHeight="1" x14ac:dyDescent="0.2">
      <c r="A59" s="129">
        <v>55</v>
      </c>
      <c r="B59" s="62" t="s">
        <v>303</v>
      </c>
      <c r="C59" s="110" t="s">
        <v>1109</v>
      </c>
      <c r="D59" s="63" t="s">
        <v>249</v>
      </c>
      <c r="E59" s="105">
        <v>200</v>
      </c>
      <c r="F59" s="54"/>
      <c r="G59" s="54"/>
      <c r="H59" s="54"/>
      <c r="I59" s="54"/>
      <c r="J59" s="54"/>
      <c r="K59" s="54"/>
      <c r="L59" s="54"/>
      <c r="M59" s="54"/>
      <c r="N59" s="54"/>
      <c r="O59" s="54"/>
      <c r="P59" s="54"/>
      <c r="Q59" s="54"/>
      <c r="R59" s="54"/>
      <c r="S59" s="54"/>
      <c r="T59" s="54"/>
      <c r="U59" s="54"/>
      <c r="V59" s="54"/>
      <c r="W59" s="54"/>
      <c r="X59" s="54"/>
      <c r="Y59" s="54"/>
      <c r="Z59" s="54"/>
      <c r="AA59" s="54"/>
      <c r="AB59" s="54"/>
      <c r="AC59" s="54"/>
      <c r="AD59" s="54"/>
      <c r="AE59" s="54"/>
      <c r="AF59" s="54"/>
      <c r="AG59" s="54"/>
      <c r="AH59" s="54"/>
      <c r="AI59" s="54"/>
      <c r="AJ59" s="54"/>
      <c r="AK59" s="54"/>
      <c r="AL59" s="54"/>
      <c r="AM59" s="54"/>
      <c r="AN59" s="54"/>
      <c r="AO59" s="54"/>
      <c r="AP59" s="54"/>
      <c r="AQ59" s="54"/>
      <c r="AR59" s="54"/>
      <c r="AS59" s="54"/>
      <c r="AT59" s="54"/>
      <c r="AU59" s="54"/>
      <c r="AV59" s="54"/>
      <c r="AW59" s="54"/>
      <c r="AX59" s="54"/>
      <c r="AY59" s="54"/>
      <c r="AZ59" s="54"/>
      <c r="BA59" s="54"/>
      <c r="BB59" s="54"/>
      <c r="BC59" s="54"/>
      <c r="BD59" s="54"/>
      <c r="BE59" s="54"/>
      <c r="BF59" s="54"/>
      <c r="BG59" s="54"/>
      <c r="BH59" s="54"/>
      <c r="BI59" s="54"/>
      <c r="BJ59" s="54"/>
      <c r="BK59" s="54"/>
      <c r="BL59" s="54"/>
      <c r="BM59" s="54"/>
      <c r="BN59" s="54"/>
      <c r="BO59" s="54"/>
      <c r="BP59" s="54"/>
      <c r="BQ59" s="54"/>
      <c r="BR59" s="54"/>
      <c r="BS59" s="54"/>
      <c r="BT59" s="54"/>
      <c r="BU59" s="54"/>
      <c r="BV59" s="54"/>
      <c r="BW59" s="54"/>
      <c r="BX59" s="54"/>
      <c r="BY59" s="54"/>
      <c r="BZ59" s="54"/>
      <c r="CA59" s="54"/>
      <c r="CB59" s="54"/>
      <c r="CC59" s="54"/>
      <c r="CD59" s="54">
        <f>(7983.19*1.19)*2</f>
        <v>18999.992199999997</v>
      </c>
      <c r="CE59" s="54"/>
      <c r="CF59" s="54">
        <f>(5500*2)</f>
        <v>11000</v>
      </c>
      <c r="CG59" s="45"/>
      <c r="CH59" s="45">
        <v>14000</v>
      </c>
      <c r="CI59" s="45"/>
      <c r="CJ59" s="45"/>
      <c r="CK59" s="45"/>
      <c r="CL59" s="45"/>
      <c r="CM59" s="45"/>
      <c r="CN59" s="45"/>
      <c r="CO59" s="45"/>
      <c r="CP59" s="45"/>
      <c r="CQ59" s="45"/>
      <c r="CR59" s="107">
        <f t="shared" si="9"/>
        <v>14000</v>
      </c>
      <c r="CS59" s="107">
        <f t="shared" si="10"/>
        <v>14666.664066666664</v>
      </c>
      <c r="CT59" s="108">
        <f t="shared" si="11"/>
        <v>4041.4477026622067</v>
      </c>
      <c r="CU59" s="65">
        <f t="shared" si="5"/>
        <v>0.27555330130232664</v>
      </c>
      <c r="CV59" s="66">
        <f t="shared" si="6"/>
        <v>11764.705882352942</v>
      </c>
      <c r="CW59" s="66">
        <f t="shared" si="7"/>
        <v>2235.294117647059</v>
      </c>
      <c r="CX59" s="128">
        <f t="shared" si="8"/>
        <v>14000</v>
      </c>
      <c r="CY59" s="109">
        <f t="shared" si="14"/>
        <v>2800000</v>
      </c>
      <c r="CZ59" s="110" t="s">
        <v>902</v>
      </c>
    </row>
    <row r="60" spans="1:104" ht="51" x14ac:dyDescent="0.2">
      <c r="A60" s="129">
        <v>56</v>
      </c>
      <c r="B60" s="145" t="s">
        <v>377</v>
      </c>
      <c r="C60" s="110" t="s">
        <v>1112</v>
      </c>
      <c r="D60" s="63" t="s">
        <v>232</v>
      </c>
      <c r="E60" s="105">
        <v>25</v>
      </c>
      <c r="F60" s="27"/>
      <c r="G60" s="27"/>
      <c r="H60" s="27"/>
      <c r="I60" s="27"/>
      <c r="J60" s="27"/>
      <c r="K60" s="27"/>
      <c r="L60" s="27"/>
      <c r="M60" s="27"/>
      <c r="N60" s="27"/>
      <c r="O60" s="27"/>
      <c r="P60" s="27"/>
      <c r="Q60" s="27"/>
      <c r="R60" s="27"/>
      <c r="S60" s="27"/>
      <c r="T60" s="27"/>
      <c r="U60" s="27"/>
      <c r="V60" s="17">
        <v>53550</v>
      </c>
      <c r="W60" s="71">
        <f>((V60*5.1%)+V60)</f>
        <v>56281.05</v>
      </c>
      <c r="X60" s="17">
        <v>53550</v>
      </c>
      <c r="Y60" s="71">
        <f>((X60*5.1%)+X60)</f>
        <v>56281.05</v>
      </c>
      <c r="Z60" s="17">
        <v>50575</v>
      </c>
      <c r="AA60" s="71">
        <f>((Z60*5.1%)+Z60)</f>
        <v>53154.324999999997</v>
      </c>
      <c r="AB60" s="27"/>
      <c r="AC60" s="27"/>
      <c r="AD60" s="27"/>
      <c r="AE60" s="27"/>
      <c r="AF60" s="27"/>
      <c r="AG60" s="27"/>
      <c r="AH60" s="27"/>
      <c r="AI60" s="27"/>
      <c r="AJ60" s="27"/>
      <c r="AK60" s="27"/>
      <c r="AL60" s="27"/>
      <c r="AM60" s="27"/>
      <c r="AN60" s="27"/>
      <c r="AO60" s="27"/>
      <c r="AP60" s="27"/>
      <c r="AQ60" s="27"/>
      <c r="AR60" s="27"/>
      <c r="AS60" s="27"/>
      <c r="AT60" s="27"/>
      <c r="AU60" s="27"/>
      <c r="AV60" s="27"/>
      <c r="AW60" s="27"/>
      <c r="AX60" s="27"/>
      <c r="AY60" s="27"/>
      <c r="AZ60" s="27"/>
      <c r="BA60" s="27"/>
      <c r="BB60" s="27"/>
      <c r="BC60" s="27"/>
      <c r="BD60" s="27"/>
      <c r="BE60" s="27"/>
      <c r="BF60" s="27"/>
      <c r="BG60" s="27"/>
      <c r="BH60" s="27"/>
      <c r="BI60" s="27"/>
      <c r="BJ60" s="27"/>
      <c r="BK60" s="27"/>
      <c r="BL60" s="27"/>
      <c r="BM60" s="27"/>
      <c r="BN60" s="27"/>
      <c r="BO60" s="27"/>
      <c r="BP60" s="27"/>
      <c r="BQ60" s="27"/>
      <c r="BR60" s="27"/>
      <c r="BS60" s="27"/>
      <c r="BT60" s="27"/>
      <c r="BU60" s="27"/>
      <c r="BV60" s="27"/>
      <c r="BW60" s="27"/>
      <c r="BX60" s="27"/>
      <c r="BY60" s="27"/>
      <c r="BZ60" s="27"/>
      <c r="CA60" s="27"/>
      <c r="CB60" s="27"/>
      <c r="CC60" s="27"/>
      <c r="CD60" s="27"/>
      <c r="CE60" s="27"/>
      <c r="CF60" s="54"/>
      <c r="CG60" s="54"/>
      <c r="CH60" s="54"/>
      <c r="CI60" s="54"/>
      <c r="CJ60" s="54"/>
      <c r="CK60" s="54"/>
      <c r="CL60" s="54"/>
      <c r="CM60" s="54"/>
      <c r="CN60" s="54"/>
      <c r="CO60" s="54"/>
      <c r="CP60" s="54"/>
      <c r="CQ60" s="54"/>
      <c r="CR60" s="107">
        <f t="shared" si="9"/>
        <v>56281.05</v>
      </c>
      <c r="CS60" s="107">
        <f t="shared" si="10"/>
        <v>55238.808333333327</v>
      </c>
      <c r="CT60" s="108">
        <f t="shared" si="11"/>
        <v>1805.2155204319361</v>
      </c>
      <c r="CU60" s="65">
        <f t="shared" si="5"/>
        <v>3.2680203916393979E-2</v>
      </c>
      <c r="CV60" s="66">
        <f t="shared" si="6"/>
        <v>46419.327731092439</v>
      </c>
      <c r="CW60" s="66">
        <f t="shared" si="7"/>
        <v>8819.6722689075632</v>
      </c>
      <c r="CX60" s="128">
        <f t="shared" si="8"/>
        <v>55239</v>
      </c>
      <c r="CY60" s="109">
        <f t="shared" si="14"/>
        <v>1380975</v>
      </c>
      <c r="CZ60" s="110" t="s">
        <v>903</v>
      </c>
    </row>
    <row r="61" spans="1:104" ht="323" x14ac:dyDescent="0.2">
      <c r="A61" s="129">
        <v>57</v>
      </c>
      <c r="B61" s="62" t="s">
        <v>1113</v>
      </c>
      <c r="C61" s="110" t="s">
        <v>1308</v>
      </c>
      <c r="D61" s="63" t="s">
        <v>232</v>
      </c>
      <c r="E61" s="105">
        <v>25</v>
      </c>
      <c r="F61" s="27"/>
      <c r="G61" s="27"/>
      <c r="H61" s="27"/>
      <c r="I61" s="27"/>
      <c r="J61" s="27"/>
      <c r="K61" s="27"/>
      <c r="L61" s="27"/>
      <c r="M61" s="27"/>
      <c r="N61" s="27"/>
      <c r="O61" s="27"/>
      <c r="P61" s="27"/>
      <c r="Q61" s="27"/>
      <c r="R61" s="27"/>
      <c r="S61" s="27"/>
      <c r="T61" s="27"/>
      <c r="U61" s="27"/>
      <c r="V61" s="27"/>
      <c r="W61" s="27"/>
      <c r="X61" s="27"/>
      <c r="Y61" s="27"/>
      <c r="Z61" s="27"/>
      <c r="AA61" s="27"/>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27"/>
      <c r="BG61" s="27"/>
      <c r="BH61" s="27"/>
      <c r="BI61" s="27"/>
      <c r="BJ61" s="27"/>
      <c r="BK61" s="27"/>
      <c r="BL61" s="27"/>
      <c r="BM61" s="27"/>
      <c r="BN61" s="27"/>
      <c r="BO61" s="27"/>
      <c r="BP61" s="27"/>
      <c r="BQ61" s="27"/>
      <c r="BR61" s="27"/>
      <c r="BS61" s="27"/>
      <c r="BT61" s="27"/>
      <c r="BU61" s="27"/>
      <c r="BV61" s="27"/>
      <c r="BW61" s="27"/>
      <c r="BX61" s="27"/>
      <c r="BY61" s="27"/>
      <c r="BZ61" s="27"/>
      <c r="CA61" s="27"/>
      <c r="CB61" s="27"/>
      <c r="CC61" s="27"/>
      <c r="CD61" s="45">
        <f>15126.05*1.19</f>
        <v>17999.999499999998</v>
      </c>
      <c r="CE61" s="45"/>
      <c r="CF61" s="54">
        <v>18500</v>
      </c>
      <c r="CG61" s="54"/>
      <c r="CH61" s="54"/>
      <c r="CI61" s="54"/>
      <c r="CJ61" s="54"/>
      <c r="CK61" s="54"/>
      <c r="CL61" s="54"/>
      <c r="CM61" s="54"/>
      <c r="CN61" s="54"/>
      <c r="CO61" s="54"/>
      <c r="CP61" s="54"/>
      <c r="CQ61" s="54"/>
      <c r="CR61" s="107">
        <f t="shared" si="9"/>
        <v>18249.999749999999</v>
      </c>
      <c r="CS61" s="107">
        <f t="shared" si="10"/>
        <v>18249.999749999999</v>
      </c>
      <c r="CT61" s="108">
        <f t="shared" si="11"/>
        <v>353.55374414666574</v>
      </c>
      <c r="CU61" s="65">
        <f t="shared" si="5"/>
        <v>1.9372808163828373E-2</v>
      </c>
      <c r="CV61" s="66">
        <f t="shared" si="6"/>
        <v>15336.134453781513</v>
      </c>
      <c r="CW61" s="66">
        <f t="shared" si="7"/>
        <v>2913.8655462184875</v>
      </c>
      <c r="CX61" s="128">
        <f t="shared" si="8"/>
        <v>18250</v>
      </c>
      <c r="CY61" s="109">
        <f t="shared" si="14"/>
        <v>456250</v>
      </c>
      <c r="CZ61" s="110" t="s">
        <v>903</v>
      </c>
    </row>
    <row r="62" spans="1:104" ht="356" x14ac:dyDescent="0.2">
      <c r="A62" s="129">
        <v>58</v>
      </c>
      <c r="B62" s="62" t="s">
        <v>304</v>
      </c>
      <c r="C62" s="110" t="s">
        <v>1307</v>
      </c>
      <c r="D62" s="63" t="s">
        <v>232</v>
      </c>
      <c r="E62" s="11">
        <v>25</v>
      </c>
      <c r="F62" s="27"/>
      <c r="G62" s="27"/>
      <c r="H62" s="27"/>
      <c r="I62" s="27"/>
      <c r="J62" s="27"/>
      <c r="K62" s="27"/>
      <c r="L62" s="27"/>
      <c r="M62" s="27"/>
      <c r="N62" s="27"/>
      <c r="O62" s="27"/>
      <c r="P62" s="27"/>
      <c r="Q62" s="27"/>
      <c r="R62" s="27"/>
      <c r="S62" s="27"/>
      <c r="T62" s="27"/>
      <c r="U62" s="27"/>
      <c r="V62" s="27"/>
      <c r="W62" s="27"/>
      <c r="X62" s="27"/>
      <c r="Y62" s="27"/>
      <c r="Z62" s="27"/>
      <c r="AA62" s="27"/>
      <c r="AB62" s="27"/>
      <c r="AC62" s="27"/>
      <c r="AD62" s="27"/>
      <c r="AE62" s="27"/>
      <c r="AF62" s="27"/>
      <c r="AG62" s="27"/>
      <c r="AH62" s="27"/>
      <c r="AI62" s="27"/>
      <c r="AJ62" s="27"/>
      <c r="AK62" s="27"/>
      <c r="AL62" s="27"/>
      <c r="AM62" s="27"/>
      <c r="AN62" s="27"/>
      <c r="AO62" s="27"/>
      <c r="AP62" s="27"/>
      <c r="AQ62" s="27"/>
      <c r="AR62" s="27"/>
      <c r="AS62" s="27"/>
      <c r="AT62" s="27"/>
      <c r="AU62" s="27"/>
      <c r="AV62" s="27"/>
      <c r="AW62" s="27"/>
      <c r="AX62" s="27"/>
      <c r="AY62" s="27"/>
      <c r="AZ62" s="27"/>
      <c r="BA62" s="27"/>
      <c r="BB62" s="27"/>
      <c r="BC62" s="27"/>
      <c r="BD62" s="27"/>
      <c r="BE62" s="27"/>
      <c r="BF62" s="27"/>
      <c r="BG62" s="27"/>
      <c r="BH62" s="27"/>
      <c r="BI62" s="27"/>
      <c r="BJ62" s="27"/>
      <c r="BK62" s="27"/>
      <c r="BL62" s="27"/>
      <c r="BM62" s="27"/>
      <c r="BN62" s="27"/>
      <c r="BO62" s="27"/>
      <c r="BP62" s="27"/>
      <c r="BQ62" s="27"/>
      <c r="BR62" s="27"/>
      <c r="BS62" s="27"/>
      <c r="BT62" s="27"/>
      <c r="BU62" s="27"/>
      <c r="BV62" s="27"/>
      <c r="BW62" s="27"/>
      <c r="BX62" s="27"/>
      <c r="BY62" s="27"/>
      <c r="BZ62" s="27"/>
      <c r="CA62" s="27"/>
      <c r="CB62" s="27"/>
      <c r="CC62" s="27"/>
      <c r="CD62" s="54">
        <f>13445.38*1.19</f>
        <v>16000.002199999999</v>
      </c>
      <c r="CE62" s="54">
        <v>17415</v>
      </c>
      <c r="CF62" s="54">
        <v>17600</v>
      </c>
      <c r="CG62" s="54"/>
      <c r="CH62" s="54"/>
      <c r="CI62" s="54"/>
      <c r="CJ62" s="54"/>
      <c r="CK62" s="54"/>
      <c r="CL62" s="54"/>
      <c r="CM62" s="54"/>
      <c r="CN62" s="54"/>
      <c r="CO62" s="54"/>
      <c r="CP62" s="54"/>
      <c r="CQ62" s="54"/>
      <c r="CR62" s="107">
        <f t="shared" si="9"/>
        <v>17415</v>
      </c>
      <c r="CS62" s="107">
        <f t="shared" si="10"/>
        <v>17005.000733333334</v>
      </c>
      <c r="CT62" s="108">
        <f t="shared" si="11"/>
        <v>875.25584202655534</v>
      </c>
      <c r="CU62" s="65">
        <f t="shared" si="5"/>
        <v>5.1470497164453045E-2</v>
      </c>
      <c r="CV62" s="66">
        <f t="shared" si="6"/>
        <v>14290.756302521009</v>
      </c>
      <c r="CW62" s="66">
        <f t="shared" si="7"/>
        <v>2715.2436974789916</v>
      </c>
      <c r="CX62" s="128">
        <f t="shared" si="8"/>
        <v>17006</v>
      </c>
      <c r="CY62" s="109">
        <f t="shared" si="14"/>
        <v>425150</v>
      </c>
      <c r="CZ62" s="110" t="s">
        <v>903</v>
      </c>
    </row>
    <row r="63" spans="1:104" ht="102" x14ac:dyDescent="0.2">
      <c r="A63" s="129">
        <v>59</v>
      </c>
      <c r="B63" s="62" t="s">
        <v>305</v>
      </c>
      <c r="C63" s="110" t="s">
        <v>880</v>
      </c>
      <c r="D63" s="63" t="s">
        <v>232</v>
      </c>
      <c r="E63" s="63">
        <v>25</v>
      </c>
      <c r="F63" s="27"/>
      <c r="G63" s="27"/>
      <c r="H63" s="27"/>
      <c r="I63" s="27"/>
      <c r="J63" s="27"/>
      <c r="K63" s="27"/>
      <c r="L63" s="27"/>
      <c r="M63" s="27"/>
      <c r="N63" s="27"/>
      <c r="O63" s="27"/>
      <c r="P63" s="27"/>
      <c r="Q63" s="27"/>
      <c r="R63" s="27"/>
      <c r="S63" s="27"/>
      <c r="T63" s="27"/>
      <c r="U63" s="27"/>
      <c r="V63" s="27"/>
      <c r="W63" s="27"/>
      <c r="X63" s="27"/>
      <c r="Y63" s="27"/>
      <c r="Z63" s="27"/>
      <c r="AA63" s="27"/>
      <c r="AB63" s="146">
        <v>420000</v>
      </c>
      <c r="AC63" s="71">
        <f>((AB63*5.1%)+AB63)</f>
        <v>441420</v>
      </c>
      <c r="AD63" s="146">
        <v>452000</v>
      </c>
      <c r="AE63" s="71">
        <f>((AD63*5.1%)+AD63)</f>
        <v>475052</v>
      </c>
      <c r="AF63" s="146">
        <v>438000</v>
      </c>
      <c r="AG63" s="71">
        <f>((AF63*5.1%)+AF63)</f>
        <v>460338</v>
      </c>
      <c r="AH63" s="147">
        <v>380000</v>
      </c>
      <c r="AI63" s="71">
        <f>((AH63*5.1%)+AH63)</f>
        <v>399380</v>
      </c>
      <c r="AJ63" s="27"/>
      <c r="AK63" s="27"/>
      <c r="AL63" s="27"/>
      <c r="AM63" s="27"/>
      <c r="AN63" s="27"/>
      <c r="AO63" s="27"/>
      <c r="AP63" s="27"/>
      <c r="AQ63" s="27"/>
      <c r="AR63" s="27"/>
      <c r="AS63" s="27"/>
      <c r="AT63" s="27"/>
      <c r="AU63" s="27"/>
      <c r="AV63" s="27"/>
      <c r="AW63" s="27"/>
      <c r="AX63" s="27"/>
      <c r="AY63" s="27"/>
      <c r="AZ63" s="27"/>
      <c r="BA63" s="27"/>
      <c r="BB63" s="27"/>
      <c r="BC63" s="27"/>
      <c r="BD63" s="27"/>
      <c r="BE63" s="27"/>
      <c r="BF63" s="27"/>
      <c r="BG63" s="27"/>
      <c r="BH63" s="27"/>
      <c r="BI63" s="27"/>
      <c r="BJ63" s="27"/>
      <c r="BK63" s="27"/>
      <c r="BL63" s="27"/>
      <c r="BM63" s="27"/>
      <c r="BN63" s="27"/>
      <c r="BO63" s="27"/>
      <c r="BP63" s="27"/>
      <c r="BQ63" s="27"/>
      <c r="BR63" s="27"/>
      <c r="BS63" s="27"/>
      <c r="BT63" s="27"/>
      <c r="BU63" s="27"/>
      <c r="BV63" s="27"/>
      <c r="BW63" s="27"/>
      <c r="BX63" s="27"/>
      <c r="BY63" s="27"/>
      <c r="BZ63" s="27"/>
      <c r="CA63" s="27"/>
      <c r="CB63" s="27"/>
      <c r="CC63" s="27"/>
      <c r="CD63" s="27"/>
      <c r="CE63" s="27"/>
      <c r="CF63" s="54"/>
      <c r="CG63" s="54"/>
      <c r="CH63" s="54"/>
      <c r="CI63" s="54"/>
      <c r="CJ63" s="54"/>
      <c r="CK63" s="54"/>
      <c r="CL63" s="54"/>
      <c r="CM63" s="54"/>
      <c r="CN63" s="54"/>
      <c r="CO63" s="54"/>
      <c r="CP63" s="54"/>
      <c r="CQ63" s="54"/>
      <c r="CR63" s="107">
        <f t="shared" si="9"/>
        <v>450879</v>
      </c>
      <c r="CS63" s="107">
        <f t="shared" si="10"/>
        <v>444047.5</v>
      </c>
      <c r="CT63" s="108">
        <f t="shared" si="11"/>
        <v>32806.242917062802</v>
      </c>
      <c r="CU63" s="65">
        <f t="shared" si="5"/>
        <v>7.3880030665779681E-2</v>
      </c>
      <c r="CV63" s="66">
        <f t="shared" si="6"/>
        <v>373149.57983193279</v>
      </c>
      <c r="CW63" s="66">
        <f t="shared" si="7"/>
        <v>70898.420168067227</v>
      </c>
      <c r="CX63" s="128">
        <f t="shared" si="8"/>
        <v>444048</v>
      </c>
      <c r="CY63" s="109">
        <f t="shared" si="14"/>
        <v>11101200</v>
      </c>
      <c r="CZ63" s="110" t="s">
        <v>903</v>
      </c>
    </row>
    <row r="64" spans="1:104" ht="132.75" customHeight="1" x14ac:dyDescent="0.2">
      <c r="A64" s="129">
        <v>60</v>
      </c>
      <c r="B64" s="62" t="s">
        <v>306</v>
      </c>
      <c r="C64" s="110" t="s">
        <v>1306</v>
      </c>
      <c r="D64" s="63" t="s">
        <v>232</v>
      </c>
      <c r="E64" s="63">
        <v>50</v>
      </c>
      <c r="F64" s="27"/>
      <c r="G64" s="27"/>
      <c r="H64" s="27"/>
      <c r="I64" s="27"/>
      <c r="J64" s="27"/>
      <c r="K64" s="27"/>
      <c r="L64" s="27"/>
      <c r="M64" s="27"/>
      <c r="N64" s="27"/>
      <c r="O64" s="27"/>
      <c r="P64" s="27"/>
      <c r="Q64" s="27"/>
      <c r="R64" s="27"/>
      <c r="S64" s="27"/>
      <c r="T64" s="27"/>
      <c r="U64" s="27"/>
      <c r="V64" s="27"/>
      <c r="W64" s="27"/>
      <c r="X64" s="27"/>
      <c r="Y64" s="27"/>
      <c r="Z64" s="27"/>
      <c r="AA64" s="27"/>
      <c r="AB64" s="27"/>
      <c r="AC64" s="27"/>
      <c r="AD64" s="27"/>
      <c r="AE64" s="27"/>
      <c r="AF64" s="27"/>
      <c r="AG64" s="27"/>
      <c r="AH64" s="27"/>
      <c r="AI64" s="27"/>
      <c r="AJ64" s="27"/>
      <c r="AK64" s="27"/>
      <c r="AL64" s="27"/>
      <c r="AM64" s="27"/>
      <c r="AN64" s="27"/>
      <c r="AO64" s="27"/>
      <c r="AP64" s="27"/>
      <c r="AQ64" s="27"/>
      <c r="AR64" s="27"/>
      <c r="AS64" s="27"/>
      <c r="AT64" s="27"/>
      <c r="AU64" s="27"/>
      <c r="AV64" s="27"/>
      <c r="AW64" s="27"/>
      <c r="AX64" s="27"/>
      <c r="AY64" s="27"/>
      <c r="AZ64" s="27"/>
      <c r="BA64" s="27"/>
      <c r="BB64" s="27"/>
      <c r="BC64" s="27"/>
      <c r="BD64" s="27"/>
      <c r="BE64" s="27"/>
      <c r="BF64" s="27"/>
      <c r="BG64" s="27"/>
      <c r="BH64" s="27"/>
      <c r="BI64" s="27"/>
      <c r="BJ64" s="27"/>
      <c r="BK64" s="27"/>
      <c r="BL64" s="27"/>
      <c r="BM64" s="27"/>
      <c r="BN64" s="27"/>
      <c r="BO64" s="27"/>
      <c r="BP64" s="27"/>
      <c r="BQ64" s="27"/>
      <c r="BR64" s="27"/>
      <c r="BS64" s="27"/>
      <c r="BT64" s="27"/>
      <c r="BU64" s="27"/>
      <c r="BV64" s="27"/>
      <c r="BW64" s="27"/>
      <c r="BX64" s="27"/>
      <c r="BY64" s="27"/>
      <c r="BZ64" s="27"/>
      <c r="CA64" s="27"/>
      <c r="CB64" s="27"/>
      <c r="CC64" s="27"/>
      <c r="CD64" s="27"/>
      <c r="CE64" s="45">
        <v>39270</v>
      </c>
      <c r="CF64" s="54"/>
      <c r="CG64" s="45"/>
      <c r="CH64" s="45">
        <v>34510</v>
      </c>
      <c r="CI64" s="45"/>
      <c r="CJ64" s="45"/>
      <c r="CK64" s="45"/>
      <c r="CL64" s="45"/>
      <c r="CM64" s="45"/>
      <c r="CN64" s="45"/>
      <c r="CO64" s="45"/>
      <c r="CP64" s="45"/>
      <c r="CQ64" s="45"/>
      <c r="CR64" s="107">
        <f t="shared" si="9"/>
        <v>36890</v>
      </c>
      <c r="CS64" s="107">
        <f t="shared" si="10"/>
        <v>36890</v>
      </c>
      <c r="CT64" s="108">
        <f t="shared" si="11"/>
        <v>3365.8282784479661</v>
      </c>
      <c r="CU64" s="65">
        <f t="shared" si="5"/>
        <v>9.1239584669231932E-2</v>
      </c>
      <c r="CV64" s="66">
        <f t="shared" si="6"/>
        <v>31000</v>
      </c>
      <c r="CW64" s="66">
        <f t="shared" si="7"/>
        <v>5890</v>
      </c>
      <c r="CX64" s="128">
        <f t="shared" si="8"/>
        <v>36890</v>
      </c>
      <c r="CY64" s="109">
        <f t="shared" si="14"/>
        <v>1844500</v>
      </c>
      <c r="CZ64" s="110" t="s">
        <v>903</v>
      </c>
    </row>
    <row r="65" spans="1:104" ht="136" x14ac:dyDescent="0.2">
      <c r="A65" s="129">
        <v>61</v>
      </c>
      <c r="B65" s="130" t="s">
        <v>307</v>
      </c>
      <c r="C65" s="110" t="s">
        <v>1114</v>
      </c>
      <c r="D65" s="63" t="s">
        <v>254</v>
      </c>
      <c r="E65" s="11">
        <v>80</v>
      </c>
      <c r="F65" s="27"/>
      <c r="G65" s="27"/>
      <c r="H65" s="64">
        <v>105000</v>
      </c>
      <c r="I65" s="64">
        <f t="shared" ref="I65" si="19">(H65*5.1%)+H65</f>
        <v>110355</v>
      </c>
      <c r="J65" s="132">
        <v>85000</v>
      </c>
      <c r="K65" s="134">
        <f t="shared" ref="K65" si="20">((J65*5.1%)+J65)</f>
        <v>89335</v>
      </c>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c r="AP65" s="27"/>
      <c r="AQ65" s="27"/>
      <c r="AR65" s="27"/>
      <c r="AS65" s="27"/>
      <c r="AT65" s="27"/>
      <c r="AU65" s="27"/>
      <c r="AV65" s="27"/>
      <c r="AW65" s="27"/>
      <c r="AX65" s="27"/>
      <c r="AY65" s="27"/>
      <c r="AZ65" s="27"/>
      <c r="BA65" s="27"/>
      <c r="BB65" s="27"/>
      <c r="BC65" s="27"/>
      <c r="BD65" s="27"/>
      <c r="BE65" s="27"/>
      <c r="BF65" s="27"/>
      <c r="BG65" s="27"/>
      <c r="BH65" s="27"/>
      <c r="BI65" s="27"/>
      <c r="BJ65" s="27"/>
      <c r="BK65" s="27"/>
      <c r="BL65" s="27"/>
      <c r="BM65" s="27"/>
      <c r="BN65" s="27"/>
      <c r="BO65" s="27"/>
      <c r="BP65" s="27"/>
      <c r="BQ65" s="27"/>
      <c r="BR65" s="27"/>
      <c r="BS65" s="27"/>
      <c r="BT65" s="27"/>
      <c r="BU65" s="27"/>
      <c r="BV65" s="27"/>
      <c r="BW65" s="27"/>
      <c r="BX65" s="27"/>
      <c r="BY65" s="27"/>
      <c r="BZ65" s="27"/>
      <c r="CA65" s="27"/>
      <c r="CB65" s="27"/>
      <c r="CC65" s="27"/>
      <c r="CD65" s="27"/>
      <c r="CE65" s="27"/>
      <c r="CF65" s="54"/>
      <c r="CG65" s="54"/>
      <c r="CH65" s="54"/>
      <c r="CI65" s="54"/>
      <c r="CJ65" s="54"/>
      <c r="CK65" s="54"/>
      <c r="CL65" s="54"/>
      <c r="CM65" s="54"/>
      <c r="CN65" s="54"/>
      <c r="CO65" s="54"/>
      <c r="CP65" s="54"/>
      <c r="CQ65" s="54"/>
      <c r="CR65" s="107">
        <f t="shared" si="9"/>
        <v>99845</v>
      </c>
      <c r="CS65" s="107">
        <f t="shared" si="10"/>
        <v>99845</v>
      </c>
      <c r="CT65" s="108">
        <f t="shared" si="11"/>
        <v>14863.384540541228</v>
      </c>
      <c r="CU65" s="65">
        <f t="shared" si="5"/>
        <v>0.14886458551295736</v>
      </c>
      <c r="CV65" s="66">
        <f t="shared" si="6"/>
        <v>83903.361344537814</v>
      </c>
      <c r="CW65" s="66">
        <f t="shared" si="7"/>
        <v>15941.638655462184</v>
      </c>
      <c r="CX65" s="128">
        <f t="shared" si="8"/>
        <v>99845</v>
      </c>
      <c r="CY65" s="109">
        <f t="shared" si="14"/>
        <v>7987600</v>
      </c>
      <c r="CZ65" s="110" t="s">
        <v>902</v>
      </c>
    </row>
    <row r="66" spans="1:104" ht="102" x14ac:dyDescent="0.2">
      <c r="A66" s="129">
        <v>62</v>
      </c>
      <c r="B66" s="130" t="s">
        <v>308</v>
      </c>
      <c r="C66" s="110" t="s">
        <v>1320</v>
      </c>
      <c r="D66" s="63" t="s">
        <v>232</v>
      </c>
      <c r="E66" s="63">
        <v>20</v>
      </c>
      <c r="F66" s="27"/>
      <c r="G66" s="27"/>
      <c r="H66" s="27"/>
      <c r="I66" s="27"/>
      <c r="J66" s="27"/>
      <c r="K66" s="27"/>
      <c r="L66" s="27"/>
      <c r="M66" s="27"/>
      <c r="N66" s="45">
        <f>+(35900)/1.19</f>
        <v>30168.067226890758</v>
      </c>
      <c r="O66" s="45">
        <f>N66*19%</f>
        <v>5731.9327731092444</v>
      </c>
      <c r="P66" s="45">
        <f>N66*1.36</f>
        <v>41028.571428571435</v>
      </c>
      <c r="Q66" s="27"/>
      <c r="R66" s="27"/>
      <c r="S66" s="27"/>
      <c r="T66" s="27"/>
      <c r="U66" s="27"/>
      <c r="V66" s="27"/>
      <c r="W66" s="27"/>
      <c r="X66" s="27"/>
      <c r="Y66" s="27"/>
      <c r="Z66" s="27"/>
      <c r="AA66" s="27"/>
      <c r="AB66" s="27"/>
      <c r="AC66" s="27"/>
      <c r="AD66" s="27"/>
      <c r="AE66" s="27"/>
      <c r="AF66" s="27"/>
      <c r="AG66" s="27"/>
      <c r="AH66" s="27"/>
      <c r="AI66" s="27"/>
      <c r="AJ66" s="45">
        <f>+(29400)/1.19</f>
        <v>24705.882352941178</v>
      </c>
      <c r="AK66" s="45">
        <f>AJ66*19%</f>
        <v>4694.1176470588243</v>
      </c>
      <c r="AL66" s="45">
        <f>AJ66*1.36</f>
        <v>33600.000000000007</v>
      </c>
      <c r="AM66" s="27"/>
      <c r="AN66" s="27"/>
      <c r="AO66" s="27"/>
      <c r="AP66" s="45"/>
      <c r="AQ66" s="45"/>
      <c r="AR66" s="45"/>
      <c r="AS66" s="27"/>
      <c r="AT66" s="27"/>
      <c r="AU66" s="27"/>
      <c r="AV66" s="27"/>
      <c r="AW66" s="27"/>
      <c r="AX66" s="27"/>
      <c r="AY66" s="27"/>
      <c r="AZ66" s="27"/>
      <c r="BA66" s="27"/>
      <c r="BB66" s="27"/>
      <c r="BC66" s="27"/>
      <c r="BD66" s="27"/>
      <c r="BE66" s="27"/>
      <c r="BF66" s="27"/>
      <c r="BG66" s="27"/>
      <c r="BH66" s="27"/>
      <c r="BI66" s="27"/>
      <c r="BJ66" s="27"/>
      <c r="BK66" s="27"/>
      <c r="BL66" s="27"/>
      <c r="BM66" s="27"/>
      <c r="BN66" s="27"/>
      <c r="BO66" s="27"/>
      <c r="BP66" s="27"/>
      <c r="BQ66" s="27"/>
      <c r="BR66" s="27"/>
      <c r="BS66" s="27"/>
      <c r="BT66" s="27"/>
      <c r="BU66" s="27"/>
      <c r="BV66" s="27"/>
      <c r="BW66" s="27"/>
      <c r="BX66" s="27"/>
      <c r="BY66" s="27"/>
      <c r="BZ66" s="27"/>
      <c r="CA66" s="27"/>
      <c r="CB66" s="27"/>
      <c r="CC66" s="27"/>
      <c r="CD66" s="27"/>
      <c r="CE66" s="27"/>
      <c r="CF66" s="54"/>
      <c r="CG66" s="54"/>
      <c r="CH66" s="54"/>
      <c r="CI66" s="54"/>
      <c r="CJ66" s="54"/>
      <c r="CK66" s="54"/>
      <c r="CL66" s="54"/>
      <c r="CM66" s="54"/>
      <c r="CN66" s="54"/>
      <c r="CO66" s="54"/>
      <c r="CP66" s="54"/>
      <c r="CQ66" s="54"/>
      <c r="CR66" s="107">
        <f t="shared" si="9"/>
        <v>37314.285714285725</v>
      </c>
      <c r="CS66" s="107">
        <f t="shared" si="10"/>
        <v>37314.285714285725</v>
      </c>
      <c r="CT66" s="108">
        <f t="shared" si="11"/>
        <v>5252.7932316714951</v>
      </c>
      <c r="CU66" s="65">
        <f t="shared" si="5"/>
        <v>0.14077164097128811</v>
      </c>
      <c r="CV66" s="66">
        <f t="shared" si="6"/>
        <v>31357.142857142859</v>
      </c>
      <c r="CW66" s="66">
        <f t="shared" si="7"/>
        <v>5957.8571428571431</v>
      </c>
      <c r="CX66" s="128">
        <f t="shared" si="8"/>
        <v>37315</v>
      </c>
      <c r="CY66" s="109">
        <f t="shared" si="14"/>
        <v>746300</v>
      </c>
      <c r="CZ66" s="110" t="s">
        <v>903</v>
      </c>
    </row>
    <row r="67" spans="1:104" ht="409.6" x14ac:dyDescent="0.2">
      <c r="A67" s="129">
        <v>63</v>
      </c>
      <c r="B67" s="130" t="s">
        <v>309</v>
      </c>
      <c r="C67" s="110" t="s">
        <v>1305</v>
      </c>
      <c r="D67" s="63" t="s">
        <v>232</v>
      </c>
      <c r="E67" s="63">
        <v>24</v>
      </c>
      <c r="F67" s="27"/>
      <c r="G67" s="27"/>
      <c r="H67" s="64">
        <v>615000</v>
      </c>
      <c r="I67" s="64">
        <f t="shared" ref="I67" si="21">(H67*5.1%)+H67</f>
        <v>646365</v>
      </c>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7"/>
      <c r="AN67" s="27"/>
      <c r="AO67" s="27"/>
      <c r="AP67" s="27"/>
      <c r="AQ67" s="27"/>
      <c r="AR67" s="27"/>
      <c r="AS67" s="27"/>
      <c r="AT67" s="27"/>
      <c r="AU67" s="27"/>
      <c r="AV67" s="27"/>
      <c r="AW67" s="27"/>
      <c r="AX67" s="27"/>
      <c r="AY67" s="27"/>
      <c r="AZ67" s="27"/>
      <c r="BA67" s="27"/>
      <c r="BB67" s="27"/>
      <c r="BC67" s="27"/>
      <c r="BD67" s="27"/>
      <c r="BE67" s="27"/>
      <c r="BF67" s="132">
        <v>525250</v>
      </c>
      <c r="BG67" s="132">
        <f t="shared" ref="BG67" si="22">((BF67*5.1%)+BF67)</f>
        <v>552037.75</v>
      </c>
      <c r="BH67" s="27"/>
      <c r="BI67" s="27"/>
      <c r="BJ67" s="27"/>
      <c r="BK67" s="27"/>
      <c r="BL67" s="27"/>
      <c r="BM67" s="27"/>
      <c r="BN67" s="27"/>
      <c r="BO67" s="27"/>
      <c r="BP67" s="27"/>
      <c r="BQ67" s="27"/>
      <c r="BR67" s="27"/>
      <c r="BS67" s="27"/>
      <c r="BT67" s="27"/>
      <c r="BU67" s="27"/>
      <c r="BV67" s="27"/>
      <c r="BW67" s="27"/>
      <c r="BX67" s="27"/>
      <c r="BY67" s="27"/>
      <c r="BZ67" s="27"/>
      <c r="CA67" s="27"/>
      <c r="CB67" s="27"/>
      <c r="CC67" s="27"/>
      <c r="CD67" s="27"/>
      <c r="CE67" s="27"/>
      <c r="CF67" s="54"/>
      <c r="CG67" s="54"/>
      <c r="CH67" s="54"/>
      <c r="CI67" s="54"/>
      <c r="CJ67" s="54"/>
      <c r="CK67" s="54"/>
      <c r="CL67" s="54"/>
      <c r="CM67" s="54"/>
      <c r="CN67" s="54"/>
      <c r="CO67" s="54"/>
      <c r="CP67" s="54"/>
      <c r="CQ67" s="54"/>
      <c r="CR67" s="107">
        <f t="shared" si="9"/>
        <v>599201.375</v>
      </c>
      <c r="CS67" s="107">
        <f t="shared" si="10"/>
        <v>599201.375</v>
      </c>
      <c r="CT67" s="108">
        <f t="shared" si="11"/>
        <v>66699.43812567876</v>
      </c>
      <c r="CU67" s="65">
        <f t="shared" si="5"/>
        <v>0.11131389363997832</v>
      </c>
      <c r="CV67" s="66">
        <f t="shared" si="6"/>
        <v>503531.09243697481</v>
      </c>
      <c r="CW67" s="66">
        <f t="shared" si="7"/>
        <v>95670.907563025219</v>
      </c>
      <c r="CX67" s="128">
        <f t="shared" si="8"/>
        <v>599202</v>
      </c>
      <c r="CY67" s="109">
        <f t="shared" si="14"/>
        <v>14380848</v>
      </c>
      <c r="CZ67" s="110" t="s">
        <v>903</v>
      </c>
    </row>
    <row r="68" spans="1:104" ht="153" x14ac:dyDescent="0.2">
      <c r="A68" s="129">
        <v>64</v>
      </c>
      <c r="B68" s="130" t="s">
        <v>310</v>
      </c>
      <c r="C68" s="110" t="s">
        <v>1115</v>
      </c>
      <c r="D68" s="63" t="s">
        <v>239</v>
      </c>
      <c r="E68" s="63">
        <v>25</v>
      </c>
      <c r="F68" s="27"/>
      <c r="G68" s="27"/>
      <c r="H68" s="64"/>
      <c r="I68" s="64"/>
      <c r="J68" s="132"/>
      <c r="K68" s="134"/>
      <c r="L68" s="27"/>
      <c r="M68" s="27"/>
      <c r="N68" s="45">
        <v>341932.77310924372</v>
      </c>
      <c r="O68" s="45">
        <f>N68*19%</f>
        <v>64967.226890756305</v>
      </c>
      <c r="P68" s="45">
        <f>N68*1.36</f>
        <v>465028.57142857148</v>
      </c>
      <c r="Q68" s="27"/>
      <c r="R68" s="27"/>
      <c r="S68" s="27"/>
      <c r="T68" s="27"/>
      <c r="U68" s="27"/>
      <c r="V68" s="27"/>
      <c r="W68" s="27"/>
      <c r="X68" s="27"/>
      <c r="Y68" s="27"/>
      <c r="Z68" s="27"/>
      <c r="AA68" s="27"/>
      <c r="AB68" s="27"/>
      <c r="AC68" s="27"/>
      <c r="AD68" s="27"/>
      <c r="AE68" s="27"/>
      <c r="AF68" s="27"/>
      <c r="AG68" s="27"/>
      <c r="AH68" s="27"/>
      <c r="AI68" s="27"/>
      <c r="AJ68" s="45">
        <v>405294.11764705885</v>
      </c>
      <c r="AK68" s="45">
        <f>AJ68*19%</f>
        <v>77005.882352941189</v>
      </c>
      <c r="AL68" s="45">
        <f>AJ68*1.36</f>
        <v>551200.00000000012</v>
      </c>
      <c r="AM68" s="27"/>
      <c r="AN68" s="27"/>
      <c r="AO68" s="27"/>
      <c r="AP68" s="45">
        <v>403445.37815126055</v>
      </c>
      <c r="AQ68" s="45">
        <f>AP68*19%</f>
        <v>76654.621848739509</v>
      </c>
      <c r="AR68" s="45">
        <f>AP68*1.36</f>
        <v>548685.71428571444</v>
      </c>
      <c r="AS68" s="27"/>
      <c r="AT68" s="27"/>
      <c r="AU68" s="27"/>
      <c r="AV68" s="27"/>
      <c r="AW68" s="27"/>
      <c r="AX68" s="27"/>
      <c r="AY68" s="27"/>
      <c r="AZ68" s="27"/>
      <c r="BA68" s="27"/>
      <c r="BB68" s="27"/>
      <c r="BC68" s="27"/>
      <c r="BD68" s="27"/>
      <c r="BE68" s="27"/>
      <c r="BF68" s="27"/>
      <c r="BG68" s="27"/>
      <c r="BH68" s="27"/>
      <c r="BI68" s="27"/>
      <c r="BJ68" s="27"/>
      <c r="BK68" s="27"/>
      <c r="BL68" s="27"/>
      <c r="BM68" s="27"/>
      <c r="BN68" s="27"/>
      <c r="BO68" s="27"/>
      <c r="BP68" s="27"/>
      <c r="BQ68" s="27"/>
      <c r="BR68" s="27"/>
      <c r="BS68" s="27"/>
      <c r="BT68" s="27"/>
      <c r="BU68" s="27"/>
      <c r="BV68" s="27"/>
      <c r="BW68" s="27"/>
      <c r="BX68" s="27"/>
      <c r="BY68" s="27"/>
      <c r="BZ68" s="27"/>
      <c r="CA68" s="27"/>
      <c r="CB68" s="27"/>
      <c r="CC68" s="27"/>
      <c r="CD68" s="27"/>
      <c r="CE68" s="27"/>
      <c r="CF68" s="54"/>
      <c r="CG68" s="54"/>
      <c r="CH68" s="54"/>
      <c r="CI68" s="54"/>
      <c r="CJ68" s="54"/>
      <c r="CK68" s="54"/>
      <c r="CL68" s="54"/>
      <c r="CM68" s="54"/>
      <c r="CN68" s="54"/>
      <c r="CO68" s="54"/>
      <c r="CP68" s="54"/>
      <c r="CQ68" s="54"/>
      <c r="CR68" s="107">
        <f t="shared" si="9"/>
        <v>548685.71428571444</v>
      </c>
      <c r="CS68" s="107">
        <f t="shared" si="10"/>
        <v>521638.09523809532</v>
      </c>
      <c r="CT68" s="108">
        <f t="shared" si="11"/>
        <v>49041.401362716504</v>
      </c>
      <c r="CU68" s="65">
        <f t="shared" si="5"/>
        <v>9.4014225207865912E-2</v>
      </c>
      <c r="CV68" s="66">
        <f t="shared" si="6"/>
        <v>438352.10084033618</v>
      </c>
      <c r="CW68" s="66">
        <f t="shared" si="7"/>
        <v>83286.899159663881</v>
      </c>
      <c r="CX68" s="128">
        <f t="shared" si="8"/>
        <v>521639</v>
      </c>
      <c r="CY68" s="109">
        <f t="shared" si="14"/>
        <v>13040975</v>
      </c>
      <c r="CZ68" s="110" t="s">
        <v>903</v>
      </c>
    </row>
    <row r="69" spans="1:104" ht="85" x14ac:dyDescent="0.2">
      <c r="A69" s="129">
        <v>65</v>
      </c>
      <c r="B69" s="148" t="s">
        <v>1116</v>
      </c>
      <c r="C69" s="110" t="s">
        <v>1117</v>
      </c>
      <c r="D69" s="63" t="s">
        <v>1049</v>
      </c>
      <c r="E69" s="11">
        <v>25</v>
      </c>
      <c r="F69" s="27"/>
      <c r="G69" s="27"/>
      <c r="H69" s="27"/>
      <c r="I69" s="27"/>
      <c r="J69" s="27"/>
      <c r="K69" s="27"/>
      <c r="L69" s="27"/>
      <c r="M69" s="27"/>
      <c r="N69" s="27"/>
      <c r="O69" s="27"/>
      <c r="P69" s="27"/>
      <c r="Q69" s="27"/>
      <c r="R69" s="27"/>
      <c r="S69" s="27"/>
      <c r="T69" s="27"/>
      <c r="U69" s="27"/>
      <c r="V69" s="27"/>
      <c r="W69" s="27"/>
      <c r="X69" s="27"/>
      <c r="Y69" s="27"/>
      <c r="Z69" s="27"/>
      <c r="AA69" s="27"/>
      <c r="AB69" s="27"/>
      <c r="AC69" s="27"/>
      <c r="AD69" s="27"/>
      <c r="AE69" s="27"/>
      <c r="AF69" s="27"/>
      <c r="AG69" s="27"/>
      <c r="AH69" s="27"/>
      <c r="AI69" s="27"/>
      <c r="AJ69" s="27"/>
      <c r="AK69" s="27"/>
      <c r="AL69" s="27"/>
      <c r="AM69" s="27"/>
      <c r="AN69" s="27"/>
      <c r="AO69" s="27"/>
      <c r="AP69" s="27"/>
      <c r="AQ69" s="27"/>
      <c r="AR69" s="27"/>
      <c r="AS69" s="27"/>
      <c r="AT69" s="27"/>
      <c r="AU69" s="27"/>
      <c r="AV69" s="27"/>
      <c r="AW69" s="27"/>
      <c r="AX69" s="27"/>
      <c r="AY69" s="27"/>
      <c r="AZ69" s="27"/>
      <c r="BA69" s="27"/>
      <c r="BB69" s="27"/>
      <c r="BC69" s="27"/>
      <c r="BD69" s="27"/>
      <c r="BE69" s="27"/>
      <c r="BF69" s="27"/>
      <c r="BG69" s="27"/>
      <c r="BH69" s="27"/>
      <c r="BI69" s="27"/>
      <c r="BJ69" s="27"/>
      <c r="BK69" s="27"/>
      <c r="BL69" s="27"/>
      <c r="BM69" s="27"/>
      <c r="BN69" s="27"/>
      <c r="BO69" s="27"/>
      <c r="BP69" s="27"/>
      <c r="BQ69" s="27"/>
      <c r="BR69" s="27"/>
      <c r="BS69" s="27"/>
      <c r="BT69" s="27"/>
      <c r="BU69" s="27"/>
      <c r="BV69" s="27"/>
      <c r="BW69" s="27"/>
      <c r="BX69" s="27"/>
      <c r="BY69" s="27"/>
      <c r="BZ69" s="27"/>
      <c r="CA69" s="27"/>
      <c r="CB69" s="27"/>
      <c r="CC69" s="27"/>
      <c r="CD69" s="27"/>
      <c r="CE69" s="45"/>
      <c r="CF69" s="54"/>
      <c r="CG69" s="45">
        <v>134529.5</v>
      </c>
      <c r="CH69" s="45">
        <v>132000</v>
      </c>
      <c r="CI69" s="45"/>
      <c r="CJ69" s="45"/>
      <c r="CK69" s="45"/>
      <c r="CL69" s="45"/>
      <c r="CM69" s="45"/>
      <c r="CN69" s="45"/>
      <c r="CO69" s="45"/>
      <c r="CP69" s="45"/>
      <c r="CQ69" s="45"/>
      <c r="CR69" s="107">
        <f t="shared" si="9"/>
        <v>133264.75</v>
      </c>
      <c r="CS69" s="107">
        <f t="shared" si="10"/>
        <v>133264.75</v>
      </c>
      <c r="CT69" s="108">
        <f t="shared" si="11"/>
        <v>1788.626603011372</v>
      </c>
      <c r="CU69" s="65">
        <f t="shared" si="5"/>
        <v>1.342160325976203E-2</v>
      </c>
      <c r="CV69" s="66">
        <f t="shared" si="6"/>
        <v>111987.3949579832</v>
      </c>
      <c r="CW69" s="66">
        <f t="shared" si="7"/>
        <v>21277.605042016807</v>
      </c>
      <c r="CX69" s="128">
        <f t="shared" si="8"/>
        <v>133265</v>
      </c>
      <c r="CY69" s="109">
        <f t="shared" ref="CY69:CY100" si="23">CX69*E69</f>
        <v>3331625</v>
      </c>
      <c r="CZ69" s="110" t="s">
        <v>903</v>
      </c>
    </row>
    <row r="70" spans="1:104" ht="289" x14ac:dyDescent="0.2">
      <c r="A70" s="129">
        <v>66</v>
      </c>
      <c r="B70" s="149" t="s">
        <v>1118</v>
      </c>
      <c r="C70" s="110" t="s">
        <v>1304</v>
      </c>
      <c r="D70" s="63" t="s">
        <v>1049</v>
      </c>
      <c r="E70" s="11">
        <v>25</v>
      </c>
      <c r="F70" s="27"/>
      <c r="G70" s="27"/>
      <c r="H70" s="27"/>
      <c r="I70" s="27"/>
      <c r="J70" s="27"/>
      <c r="K70" s="27"/>
      <c r="L70" s="27"/>
      <c r="M70" s="27"/>
      <c r="N70" s="27"/>
      <c r="O70" s="27"/>
      <c r="P70" s="27"/>
      <c r="Q70" s="27"/>
      <c r="R70" s="27"/>
      <c r="S70" s="27"/>
      <c r="T70" s="27"/>
      <c r="U70" s="27"/>
      <c r="V70" s="27"/>
      <c r="W70" s="27"/>
      <c r="X70" s="27"/>
      <c r="Y70" s="27"/>
      <c r="Z70" s="27"/>
      <c r="AA70" s="27"/>
      <c r="AB70" s="27"/>
      <c r="AC70" s="27"/>
      <c r="AD70" s="27"/>
      <c r="AE70" s="27"/>
      <c r="AF70" s="27"/>
      <c r="AG70" s="27"/>
      <c r="AH70" s="27"/>
      <c r="AI70" s="27"/>
      <c r="AJ70" s="27"/>
      <c r="AK70" s="27"/>
      <c r="AL70" s="27"/>
      <c r="AM70" s="27"/>
      <c r="AN70" s="27"/>
      <c r="AO70" s="27"/>
      <c r="AP70" s="27"/>
      <c r="AQ70" s="27"/>
      <c r="AR70" s="27"/>
      <c r="AS70" s="27"/>
      <c r="AT70" s="27"/>
      <c r="AU70" s="27"/>
      <c r="AV70" s="27"/>
      <c r="AW70" s="27"/>
      <c r="AX70" s="27"/>
      <c r="AY70" s="27"/>
      <c r="AZ70" s="27"/>
      <c r="BA70" s="27"/>
      <c r="BB70" s="27"/>
      <c r="BC70" s="27"/>
      <c r="BD70" s="27"/>
      <c r="BE70" s="27"/>
      <c r="BF70" s="27"/>
      <c r="BG70" s="27"/>
      <c r="BH70" s="27"/>
      <c r="BI70" s="27"/>
      <c r="BJ70" s="27"/>
      <c r="BK70" s="27"/>
      <c r="BL70" s="27"/>
      <c r="BM70" s="27"/>
      <c r="BN70" s="27"/>
      <c r="BO70" s="27"/>
      <c r="BP70" s="27"/>
      <c r="BQ70" s="27"/>
      <c r="BR70" s="27"/>
      <c r="BS70" s="27"/>
      <c r="BT70" s="27"/>
      <c r="BU70" s="27"/>
      <c r="BV70" s="27"/>
      <c r="BW70" s="27"/>
      <c r="BX70" s="27"/>
      <c r="BY70" s="27"/>
      <c r="BZ70" s="27"/>
      <c r="CA70" s="27"/>
      <c r="CB70" s="27"/>
      <c r="CC70" s="27"/>
      <c r="CD70" s="27"/>
      <c r="CE70" s="45"/>
      <c r="CF70" s="54"/>
      <c r="CG70" s="45">
        <v>110455.79999999999</v>
      </c>
      <c r="CH70" s="45">
        <v>113000</v>
      </c>
      <c r="CI70" s="45"/>
      <c r="CJ70" s="45"/>
      <c r="CK70" s="45"/>
      <c r="CL70" s="45"/>
      <c r="CM70" s="45"/>
      <c r="CN70" s="45"/>
      <c r="CO70" s="45"/>
      <c r="CP70" s="45"/>
      <c r="CQ70" s="45"/>
      <c r="CR70" s="107">
        <f t="shared" si="9"/>
        <v>111727.9</v>
      </c>
      <c r="CS70" s="107">
        <f t="shared" si="10"/>
        <v>111727.9</v>
      </c>
      <c r="CT70" s="108">
        <f t="shared" si="11"/>
        <v>1799.0210726948224</v>
      </c>
      <c r="CU70" s="65">
        <f t="shared" ref="CU70:CU101" si="24">CT70/CS70</f>
        <v>1.6101806913893686E-2</v>
      </c>
      <c r="CV70" s="66">
        <f t="shared" ref="CV70:CV101" si="25">CX70/1.19</f>
        <v>93889.075630252104</v>
      </c>
      <c r="CW70" s="66">
        <f t="shared" ref="CW70:CW101" si="26">CV70*19%</f>
        <v>17838.9243697479</v>
      </c>
      <c r="CX70" s="128">
        <f t="shared" ref="CX70:CX101" si="27">ROUNDUP(IF(CU70&lt;15%,CS70,CR70),0)</f>
        <v>111728</v>
      </c>
      <c r="CY70" s="109">
        <f t="shared" si="23"/>
        <v>2793200</v>
      </c>
      <c r="CZ70" s="110" t="s">
        <v>903</v>
      </c>
    </row>
    <row r="71" spans="1:104" ht="340" x14ac:dyDescent="0.2">
      <c r="A71" s="129">
        <v>67</v>
      </c>
      <c r="B71" s="148" t="s">
        <v>311</v>
      </c>
      <c r="C71" s="110" t="s">
        <v>1303</v>
      </c>
      <c r="D71" s="63" t="s">
        <v>312</v>
      </c>
      <c r="E71" s="63">
        <v>50</v>
      </c>
      <c r="F71" s="27"/>
      <c r="G71" s="27"/>
      <c r="H71" s="64">
        <v>35000</v>
      </c>
      <c r="I71" s="64">
        <f t="shared" ref="I71" si="28">(H71*5.1%)+H71</f>
        <v>36785</v>
      </c>
      <c r="J71" s="132">
        <v>25000</v>
      </c>
      <c r="K71" s="134">
        <f t="shared" ref="K71" si="29">((J71*5.1%)+J71)</f>
        <v>26275</v>
      </c>
      <c r="L71" s="27"/>
      <c r="M71" s="27"/>
      <c r="N71" s="27"/>
      <c r="O71" s="27"/>
      <c r="P71" s="27"/>
      <c r="Q71" s="27"/>
      <c r="R71" s="27"/>
      <c r="S71" s="27"/>
      <c r="T71" s="27"/>
      <c r="U71" s="27"/>
      <c r="V71" s="27"/>
      <c r="W71" s="27"/>
      <c r="X71" s="27"/>
      <c r="Y71" s="27"/>
      <c r="Z71" s="27"/>
      <c r="AA71" s="27"/>
      <c r="AB71" s="27"/>
      <c r="AC71" s="27"/>
      <c r="AD71" s="27"/>
      <c r="AE71" s="27"/>
      <c r="AF71" s="27"/>
      <c r="AG71" s="27"/>
      <c r="AH71" s="27"/>
      <c r="AI71" s="27"/>
      <c r="AJ71" s="27"/>
      <c r="AK71" s="27"/>
      <c r="AL71" s="27"/>
      <c r="AM71" s="27"/>
      <c r="AN71" s="27"/>
      <c r="AO71" s="27"/>
      <c r="AP71" s="27"/>
      <c r="AQ71" s="27"/>
      <c r="AR71" s="27"/>
      <c r="AS71" s="27"/>
      <c r="AT71" s="27"/>
      <c r="AU71" s="27"/>
      <c r="AV71" s="27"/>
      <c r="AW71" s="27"/>
      <c r="AX71" s="27"/>
      <c r="AY71" s="27"/>
      <c r="AZ71" s="27"/>
      <c r="BA71" s="27"/>
      <c r="BB71" s="27"/>
      <c r="BC71" s="27"/>
      <c r="BD71" s="27"/>
      <c r="BE71" s="27"/>
      <c r="BF71" s="27"/>
      <c r="BG71" s="27"/>
      <c r="BH71" s="27"/>
      <c r="BI71" s="27"/>
      <c r="BJ71" s="27"/>
      <c r="BK71" s="27"/>
      <c r="BL71" s="27"/>
      <c r="BM71" s="27"/>
      <c r="BN71" s="27"/>
      <c r="BO71" s="27"/>
      <c r="BP71" s="27"/>
      <c r="BQ71" s="27"/>
      <c r="BR71" s="27"/>
      <c r="BS71" s="27"/>
      <c r="BT71" s="27"/>
      <c r="BU71" s="27"/>
      <c r="BV71" s="27"/>
      <c r="BW71" s="27"/>
      <c r="BX71" s="27"/>
      <c r="BY71" s="27"/>
      <c r="BZ71" s="27"/>
      <c r="CA71" s="27"/>
      <c r="CB71" s="27"/>
      <c r="CC71" s="27"/>
      <c r="CD71" s="27"/>
      <c r="CE71" s="27"/>
      <c r="CF71" s="54"/>
      <c r="CG71" s="54"/>
      <c r="CH71" s="54"/>
      <c r="CI71" s="54"/>
      <c r="CJ71" s="54"/>
      <c r="CK71" s="54"/>
      <c r="CL71" s="54"/>
      <c r="CM71" s="54"/>
      <c r="CN71" s="54"/>
      <c r="CO71" s="54"/>
      <c r="CP71" s="54"/>
      <c r="CQ71" s="54"/>
      <c r="CR71" s="107">
        <f t="shared" si="9"/>
        <v>31530</v>
      </c>
      <c r="CS71" s="107">
        <f t="shared" si="10"/>
        <v>31530</v>
      </c>
      <c r="CT71" s="108">
        <f t="shared" si="11"/>
        <v>7431.6922702706142</v>
      </c>
      <c r="CU71" s="65">
        <f t="shared" si="24"/>
        <v>0.23570226039551584</v>
      </c>
      <c r="CV71" s="66">
        <f t="shared" si="25"/>
        <v>26495.798319327732</v>
      </c>
      <c r="CW71" s="66">
        <f t="shared" si="26"/>
        <v>5034.2016806722695</v>
      </c>
      <c r="CX71" s="128">
        <f t="shared" si="27"/>
        <v>31530</v>
      </c>
      <c r="CY71" s="109">
        <f t="shared" si="23"/>
        <v>1576500</v>
      </c>
      <c r="CZ71" s="110" t="s">
        <v>902</v>
      </c>
    </row>
    <row r="72" spans="1:104" ht="51" x14ac:dyDescent="0.2">
      <c r="A72" s="129">
        <v>68</v>
      </c>
      <c r="B72" s="149" t="s">
        <v>313</v>
      </c>
      <c r="C72" s="110" t="s">
        <v>314</v>
      </c>
      <c r="D72" s="63" t="s">
        <v>237</v>
      </c>
      <c r="E72" s="105">
        <v>45</v>
      </c>
      <c r="F72" s="54"/>
      <c r="G72" s="54"/>
      <c r="H72" s="54"/>
      <c r="I72" s="54"/>
      <c r="J72" s="54"/>
      <c r="K72" s="54"/>
      <c r="L72" s="54"/>
      <c r="M72" s="54"/>
      <c r="N72" s="54"/>
      <c r="O72" s="54"/>
      <c r="P72" s="54"/>
      <c r="Q72" s="54"/>
      <c r="R72" s="54"/>
      <c r="S72" s="54"/>
      <c r="T72" s="54"/>
      <c r="U72" s="54"/>
      <c r="V72" s="54"/>
      <c r="W72" s="54"/>
      <c r="X72" s="54"/>
      <c r="Y72" s="54"/>
      <c r="Z72" s="54"/>
      <c r="AA72" s="54"/>
      <c r="AB72" s="54"/>
      <c r="AC72" s="54"/>
      <c r="AD72" s="54"/>
      <c r="AE72" s="54"/>
      <c r="AF72" s="54"/>
      <c r="AG72" s="54"/>
      <c r="AH72" s="54"/>
      <c r="AI72" s="54"/>
      <c r="AJ72" s="54"/>
      <c r="AK72" s="54"/>
      <c r="AL72" s="54"/>
      <c r="AM72" s="54"/>
      <c r="AN72" s="54"/>
      <c r="AO72" s="54"/>
      <c r="AP72" s="54"/>
      <c r="AQ72" s="54"/>
      <c r="AR72" s="54"/>
      <c r="AS72" s="54"/>
      <c r="AT72" s="54"/>
      <c r="AU72" s="54"/>
      <c r="AV72" s="54"/>
      <c r="AW72" s="54"/>
      <c r="AX72" s="54"/>
      <c r="AY72" s="54"/>
      <c r="AZ72" s="54"/>
      <c r="BA72" s="54"/>
      <c r="BB72" s="54">
        <v>7650</v>
      </c>
      <c r="BC72" s="54">
        <f>BB72*19%</f>
        <v>1453.5</v>
      </c>
      <c r="BD72" s="54">
        <f>BB72*1.36</f>
        <v>10404</v>
      </c>
      <c r="BE72" s="54"/>
      <c r="BF72" s="54"/>
      <c r="BG72" s="54"/>
      <c r="BH72" s="54"/>
      <c r="BI72" s="54"/>
      <c r="BJ72" s="54"/>
      <c r="BK72" s="54"/>
      <c r="BL72" s="54"/>
      <c r="BM72" s="54"/>
      <c r="BN72" s="54"/>
      <c r="BO72" s="54"/>
      <c r="BP72" s="54"/>
      <c r="BQ72" s="54"/>
      <c r="BR72" s="54"/>
      <c r="BS72" s="54"/>
      <c r="BT72" s="54"/>
      <c r="BU72" s="54"/>
      <c r="BV72" s="54"/>
      <c r="BW72" s="54"/>
      <c r="BX72" s="54"/>
      <c r="BY72" s="54"/>
      <c r="BZ72" s="54"/>
      <c r="CA72" s="54"/>
      <c r="CB72" s="54"/>
      <c r="CC72" s="54"/>
      <c r="CD72" s="54"/>
      <c r="CE72" s="54"/>
      <c r="CF72" s="54"/>
      <c r="CG72" s="45">
        <v>16660</v>
      </c>
      <c r="CH72" s="45">
        <v>15470</v>
      </c>
      <c r="CI72" s="45"/>
      <c r="CJ72" s="45"/>
      <c r="CK72" s="45"/>
      <c r="CL72" s="45"/>
      <c r="CM72" s="45"/>
      <c r="CN72" s="45"/>
      <c r="CO72" s="45"/>
      <c r="CP72" s="45"/>
      <c r="CQ72" s="45"/>
      <c r="CR72" s="107">
        <f t="shared" si="9"/>
        <v>15470</v>
      </c>
      <c r="CS72" s="107">
        <f t="shared" si="10"/>
        <v>14178</v>
      </c>
      <c r="CT72" s="108">
        <f t="shared" si="11"/>
        <v>3322.0975301757771</v>
      </c>
      <c r="CU72" s="65">
        <f t="shared" si="24"/>
        <v>0.23431355128902365</v>
      </c>
      <c r="CV72" s="66">
        <f t="shared" si="25"/>
        <v>13000</v>
      </c>
      <c r="CW72" s="66">
        <f t="shared" si="26"/>
        <v>2470</v>
      </c>
      <c r="CX72" s="128">
        <f t="shared" si="27"/>
        <v>15470</v>
      </c>
      <c r="CY72" s="109">
        <f t="shared" si="23"/>
        <v>696150</v>
      </c>
      <c r="CZ72" s="110" t="s">
        <v>902</v>
      </c>
    </row>
    <row r="73" spans="1:104" ht="323" x14ac:dyDescent="0.2">
      <c r="A73" s="129">
        <v>69</v>
      </c>
      <c r="B73" s="149" t="s">
        <v>315</v>
      </c>
      <c r="C73" s="110" t="s">
        <v>1302</v>
      </c>
      <c r="D73" s="63" t="s">
        <v>232</v>
      </c>
      <c r="E73" s="105">
        <v>20</v>
      </c>
      <c r="F73" s="27"/>
      <c r="G73" s="27"/>
      <c r="H73" s="27"/>
      <c r="I73" s="27"/>
      <c r="J73" s="27"/>
      <c r="K73" s="27"/>
      <c r="L73" s="27"/>
      <c r="M73" s="27"/>
      <c r="N73" s="27"/>
      <c r="O73" s="27"/>
      <c r="P73" s="27"/>
      <c r="Q73" s="27"/>
      <c r="R73" s="27"/>
      <c r="S73" s="27"/>
      <c r="T73" s="50"/>
      <c r="U73" s="27"/>
      <c r="V73" s="51">
        <v>22015</v>
      </c>
      <c r="W73" s="71">
        <f>((V73*5.1%)+V73)</f>
        <v>23137.764999999999</v>
      </c>
      <c r="X73" s="50">
        <v>17255</v>
      </c>
      <c r="Y73" s="71">
        <f>((X73*5.1%)+X73)</f>
        <v>18135.005000000001</v>
      </c>
      <c r="Z73" s="50">
        <v>19635</v>
      </c>
      <c r="AA73" s="71">
        <f>((Z73*5.1%)+Z73)</f>
        <v>20636.384999999998</v>
      </c>
      <c r="AB73" s="27"/>
      <c r="AC73" s="27"/>
      <c r="AD73" s="27"/>
      <c r="AE73" s="27"/>
      <c r="AF73" s="27"/>
      <c r="AG73" s="27"/>
      <c r="AH73" s="27"/>
      <c r="AI73" s="27"/>
      <c r="AJ73" s="27"/>
      <c r="AK73" s="27"/>
      <c r="AL73" s="27"/>
      <c r="AM73" s="27"/>
      <c r="AN73" s="27"/>
      <c r="AO73" s="27"/>
      <c r="AP73" s="27"/>
      <c r="AQ73" s="27"/>
      <c r="AR73" s="27"/>
      <c r="AS73" s="27"/>
      <c r="AT73" s="27"/>
      <c r="AU73" s="27"/>
      <c r="AV73" s="27"/>
      <c r="AW73" s="27"/>
      <c r="AX73" s="27"/>
      <c r="AY73" s="27"/>
      <c r="AZ73" s="27"/>
      <c r="BA73" s="27"/>
      <c r="BB73" s="27"/>
      <c r="BC73" s="27"/>
      <c r="BD73" s="27"/>
      <c r="BE73" s="27"/>
      <c r="BF73" s="27"/>
      <c r="BG73" s="27"/>
      <c r="BH73" s="27"/>
      <c r="BI73" s="27"/>
      <c r="BJ73" s="27"/>
      <c r="BK73" s="27"/>
      <c r="BL73" s="27"/>
      <c r="BM73" s="27"/>
      <c r="BN73" s="27"/>
      <c r="BO73" s="27"/>
      <c r="BP73" s="27"/>
      <c r="BQ73" s="27"/>
      <c r="BR73" s="27"/>
      <c r="BS73" s="27"/>
      <c r="BT73" s="27"/>
      <c r="BU73" s="27"/>
      <c r="BV73" s="27"/>
      <c r="BW73" s="27"/>
      <c r="BX73" s="27"/>
      <c r="BY73" s="27"/>
      <c r="BZ73" s="27"/>
      <c r="CA73" s="27"/>
      <c r="CB73" s="27"/>
      <c r="CC73" s="27"/>
      <c r="CD73" s="27"/>
      <c r="CE73" s="27"/>
      <c r="CF73" s="54"/>
      <c r="CG73" s="54"/>
      <c r="CH73" s="54"/>
      <c r="CI73" s="54"/>
      <c r="CJ73" s="54"/>
      <c r="CK73" s="54"/>
      <c r="CL73" s="54"/>
      <c r="CM73" s="54"/>
      <c r="CN73" s="54"/>
      <c r="CO73" s="54"/>
      <c r="CP73" s="54"/>
      <c r="CQ73" s="54"/>
      <c r="CR73" s="107">
        <f t="shared" si="9"/>
        <v>20636.384999999998</v>
      </c>
      <c r="CS73" s="107">
        <f t="shared" si="10"/>
        <v>20636.384999999998</v>
      </c>
      <c r="CT73" s="108">
        <f t="shared" si="11"/>
        <v>2501.3799999999992</v>
      </c>
      <c r="CU73" s="65">
        <f t="shared" si="24"/>
        <v>0.12121212121212119</v>
      </c>
      <c r="CV73" s="66">
        <f t="shared" si="25"/>
        <v>17342.016806722691</v>
      </c>
      <c r="CW73" s="66">
        <f t="shared" si="26"/>
        <v>3294.9831932773113</v>
      </c>
      <c r="CX73" s="128">
        <f t="shared" si="27"/>
        <v>20637</v>
      </c>
      <c r="CY73" s="109">
        <f t="shared" si="23"/>
        <v>412740</v>
      </c>
      <c r="CZ73" s="110" t="s">
        <v>903</v>
      </c>
    </row>
    <row r="74" spans="1:104" ht="388" x14ac:dyDescent="0.2">
      <c r="A74" s="129">
        <v>70</v>
      </c>
      <c r="B74" s="149" t="s">
        <v>316</v>
      </c>
      <c r="C74" s="110" t="s">
        <v>1301</v>
      </c>
      <c r="D74" s="63" t="s">
        <v>317</v>
      </c>
      <c r="E74" s="105">
        <v>16</v>
      </c>
      <c r="F74" s="27"/>
      <c r="G74" s="27"/>
      <c r="H74" s="27"/>
      <c r="I74" s="27"/>
      <c r="J74" s="27"/>
      <c r="K74" s="27"/>
      <c r="L74" s="27"/>
      <c r="M74" s="27"/>
      <c r="N74" s="45">
        <v>87815.126050420178</v>
      </c>
      <c r="O74" s="45">
        <f>N74*19%</f>
        <v>16684.873949579833</v>
      </c>
      <c r="P74" s="45">
        <f>N74*1.36</f>
        <v>119428.57142857145</v>
      </c>
      <c r="Q74" s="27"/>
      <c r="R74" s="27"/>
      <c r="S74" s="27"/>
      <c r="T74" s="27"/>
      <c r="U74" s="27"/>
      <c r="V74" s="51">
        <v>89000</v>
      </c>
      <c r="W74" s="71">
        <f>((V74*5.1%)+V74)</f>
        <v>93539</v>
      </c>
      <c r="X74" s="50">
        <v>88000</v>
      </c>
      <c r="Y74" s="71">
        <f>((X74*5.1%)+X74)</f>
        <v>92488</v>
      </c>
      <c r="Z74" s="50">
        <v>89500</v>
      </c>
      <c r="AA74" s="71">
        <f>((Z74*5.1%)+Z74)</f>
        <v>94064.5</v>
      </c>
      <c r="AB74" s="27"/>
      <c r="AC74" s="27"/>
      <c r="AD74" s="27"/>
      <c r="AE74" s="27"/>
      <c r="AF74" s="27"/>
      <c r="AG74" s="27"/>
      <c r="AH74" s="27"/>
      <c r="AI74" s="27"/>
      <c r="AJ74" s="27"/>
      <c r="AK74" s="27"/>
      <c r="AL74" s="27"/>
      <c r="AM74" s="27"/>
      <c r="AN74" s="27"/>
      <c r="AO74" s="27"/>
      <c r="AP74" s="45">
        <v>87815.126050420178</v>
      </c>
      <c r="AQ74" s="45">
        <f>AP74*19%</f>
        <v>16684.873949579833</v>
      </c>
      <c r="AR74" s="45">
        <f>AP74*1.36</f>
        <v>119428.57142857145</v>
      </c>
      <c r="AS74" s="27"/>
      <c r="AT74" s="27"/>
      <c r="AU74" s="27"/>
      <c r="AV74" s="27"/>
      <c r="AW74" s="27"/>
      <c r="AX74" s="27"/>
      <c r="AY74" s="27"/>
      <c r="AZ74" s="27"/>
      <c r="BA74" s="27"/>
      <c r="BB74" s="27"/>
      <c r="BC74" s="27"/>
      <c r="BD74" s="27"/>
      <c r="BE74" s="27"/>
      <c r="BF74" s="27"/>
      <c r="BG74" s="27"/>
      <c r="BH74" s="27"/>
      <c r="BI74" s="27"/>
      <c r="BJ74" s="27"/>
      <c r="BK74" s="27"/>
      <c r="BL74" s="27"/>
      <c r="BM74" s="27"/>
      <c r="BN74" s="27"/>
      <c r="BO74" s="27"/>
      <c r="BP74" s="27"/>
      <c r="BQ74" s="27"/>
      <c r="BR74" s="27"/>
      <c r="BS74" s="27"/>
      <c r="BT74" s="27"/>
      <c r="BU74" s="27"/>
      <c r="BV74" s="27"/>
      <c r="BW74" s="27"/>
      <c r="BX74" s="27"/>
      <c r="BY74" s="27"/>
      <c r="BZ74" s="27"/>
      <c r="CA74" s="27"/>
      <c r="CB74" s="27"/>
      <c r="CC74" s="27"/>
      <c r="CD74" s="27"/>
      <c r="CE74" s="27"/>
      <c r="CF74" s="54"/>
      <c r="CG74" s="54"/>
      <c r="CH74" s="54"/>
      <c r="CI74" s="54"/>
      <c r="CJ74" s="54"/>
      <c r="CK74" s="54"/>
      <c r="CL74" s="54"/>
      <c r="CM74" s="54"/>
      <c r="CN74" s="54"/>
      <c r="CO74" s="54"/>
      <c r="CP74" s="54"/>
      <c r="CQ74" s="54"/>
      <c r="CR74" s="107">
        <f t="shared" si="9"/>
        <v>94064.5</v>
      </c>
      <c r="CS74" s="107">
        <f t="shared" si="10"/>
        <v>103789.7285714286</v>
      </c>
      <c r="CT74" s="108">
        <f t="shared" si="11"/>
        <v>14287.52416913689</v>
      </c>
      <c r="CU74" s="65">
        <f t="shared" si="24"/>
        <v>0.13765836336400231</v>
      </c>
      <c r="CV74" s="66">
        <f t="shared" si="25"/>
        <v>87218.487394957992</v>
      </c>
      <c r="CW74" s="66">
        <f t="shared" si="26"/>
        <v>16571.512605042019</v>
      </c>
      <c r="CX74" s="128">
        <f t="shared" si="27"/>
        <v>103790</v>
      </c>
      <c r="CY74" s="109">
        <f t="shared" si="23"/>
        <v>1660640</v>
      </c>
      <c r="CZ74" s="110" t="s">
        <v>903</v>
      </c>
    </row>
    <row r="75" spans="1:104" ht="340" x14ac:dyDescent="0.2">
      <c r="A75" s="129">
        <v>71</v>
      </c>
      <c r="B75" s="149" t="s">
        <v>302</v>
      </c>
      <c r="C75" s="110" t="s">
        <v>1119</v>
      </c>
      <c r="D75" s="63" t="s">
        <v>232</v>
      </c>
      <c r="E75" s="105">
        <v>30</v>
      </c>
      <c r="F75" s="27"/>
      <c r="G75" s="27"/>
      <c r="H75" s="27"/>
      <c r="I75" s="27"/>
      <c r="J75" s="27"/>
      <c r="K75" s="27"/>
      <c r="L75" s="27"/>
      <c r="M75" s="27"/>
      <c r="N75" s="27"/>
      <c r="O75" s="27"/>
      <c r="P75" s="27"/>
      <c r="Q75" s="27"/>
      <c r="R75" s="27"/>
      <c r="S75" s="27"/>
      <c r="T75" s="27"/>
      <c r="U75" s="27"/>
      <c r="V75" s="27"/>
      <c r="W75" s="27"/>
      <c r="X75" s="27"/>
      <c r="Y75" s="27"/>
      <c r="Z75" s="27"/>
      <c r="AA75" s="27"/>
      <c r="AB75" s="27"/>
      <c r="AC75" s="27"/>
      <c r="AD75" s="27"/>
      <c r="AE75" s="27"/>
      <c r="AF75" s="27"/>
      <c r="AG75" s="27"/>
      <c r="AH75" s="27"/>
      <c r="AI75" s="27"/>
      <c r="AJ75" s="27"/>
      <c r="AK75" s="27"/>
      <c r="AL75" s="27"/>
      <c r="AM75" s="27"/>
      <c r="AN75" s="27"/>
      <c r="AO75" s="27"/>
      <c r="AP75" s="27"/>
      <c r="AQ75" s="27"/>
      <c r="AR75" s="27"/>
      <c r="AS75" s="27"/>
      <c r="AT75" s="27"/>
      <c r="AU75" s="27"/>
      <c r="AV75" s="27"/>
      <c r="AW75" s="27"/>
      <c r="AX75" s="27"/>
      <c r="AY75" s="27"/>
      <c r="AZ75" s="27"/>
      <c r="BA75" s="27"/>
      <c r="BB75" s="27"/>
      <c r="BC75" s="27"/>
      <c r="BD75" s="27"/>
      <c r="BE75" s="27"/>
      <c r="BF75" s="27"/>
      <c r="BG75" s="27"/>
      <c r="BH75" s="69">
        <v>69869.747899159673</v>
      </c>
      <c r="BI75" s="69">
        <f>BH75*19%</f>
        <v>13275.252100840338</v>
      </c>
      <c r="BJ75" s="69">
        <f>(BH75*1.17)+BI75</f>
        <v>95022.857142857159</v>
      </c>
      <c r="BK75" s="69">
        <v>74402.100840336134</v>
      </c>
      <c r="BL75" s="69">
        <f>BK75*19%</f>
        <v>14136.399159663866</v>
      </c>
      <c r="BM75" s="69">
        <f>(BK75*1.17)+BL75</f>
        <v>101186.85714285713</v>
      </c>
      <c r="BN75" s="69">
        <v>68033.613445378156</v>
      </c>
      <c r="BO75" s="69">
        <f>BN75*19%</f>
        <v>12926.386554621849</v>
      </c>
      <c r="BP75" s="69">
        <f>(BN75*1.17)+BO75</f>
        <v>92525.714285714275</v>
      </c>
      <c r="BQ75" s="27"/>
      <c r="BR75" s="27"/>
      <c r="BS75" s="27"/>
      <c r="BT75" s="27"/>
      <c r="BU75" s="27"/>
      <c r="BV75" s="27"/>
      <c r="BW75" s="27"/>
      <c r="BX75" s="27"/>
      <c r="BY75" s="27"/>
      <c r="BZ75" s="27"/>
      <c r="CA75" s="27"/>
      <c r="CB75" s="27"/>
      <c r="CC75" s="27"/>
      <c r="CD75" s="27"/>
      <c r="CE75" s="27"/>
      <c r="CF75" s="54"/>
      <c r="CG75" s="54"/>
      <c r="CH75" s="54"/>
      <c r="CI75" s="54"/>
      <c r="CJ75" s="54"/>
      <c r="CK75" s="54"/>
      <c r="CL75" s="54"/>
      <c r="CM75" s="54"/>
      <c r="CN75" s="54"/>
      <c r="CO75" s="54"/>
      <c r="CP75" s="54"/>
      <c r="CQ75" s="54"/>
      <c r="CR75" s="107">
        <f t="shared" si="9"/>
        <v>95022.857142857159</v>
      </c>
      <c r="CS75" s="107">
        <f t="shared" si="10"/>
        <v>96245.142857142855</v>
      </c>
      <c r="CT75" s="108">
        <f t="shared" si="11"/>
        <v>4458.0641172452133</v>
      </c>
      <c r="CU75" s="65">
        <f t="shared" si="24"/>
        <v>4.6319886748595093E-2</v>
      </c>
      <c r="CV75" s="66">
        <f t="shared" si="25"/>
        <v>80878.991596638662</v>
      </c>
      <c r="CW75" s="66">
        <f t="shared" si="26"/>
        <v>15367.008403361346</v>
      </c>
      <c r="CX75" s="128">
        <f t="shared" si="27"/>
        <v>96246</v>
      </c>
      <c r="CY75" s="109">
        <f t="shared" si="23"/>
        <v>2887380</v>
      </c>
      <c r="CZ75" s="110" t="s">
        <v>903</v>
      </c>
    </row>
    <row r="76" spans="1:104" ht="54.75" customHeight="1" x14ac:dyDescent="0.2">
      <c r="A76" s="129">
        <v>72</v>
      </c>
      <c r="B76" s="149" t="s">
        <v>318</v>
      </c>
      <c r="C76" s="110" t="s">
        <v>1300</v>
      </c>
      <c r="D76" s="63" t="s">
        <v>232</v>
      </c>
      <c r="E76" s="105">
        <v>20</v>
      </c>
      <c r="F76" s="27"/>
      <c r="G76" s="27"/>
      <c r="H76" s="27"/>
      <c r="I76" s="27"/>
      <c r="J76" s="27"/>
      <c r="K76" s="27"/>
      <c r="L76" s="27"/>
      <c r="M76" s="27"/>
      <c r="N76" s="69">
        <f>P76/1.19</f>
        <v>48222.689075630253</v>
      </c>
      <c r="O76" s="69">
        <f>N76*19%</f>
        <v>9162.3109243697472</v>
      </c>
      <c r="P76" s="69">
        <v>57385</v>
      </c>
      <c r="Q76" s="27"/>
      <c r="R76" s="27"/>
      <c r="S76" s="27"/>
      <c r="T76" s="27"/>
      <c r="U76" s="27"/>
      <c r="V76" s="27"/>
      <c r="W76" s="27"/>
      <c r="X76" s="27"/>
      <c r="Y76" s="27"/>
      <c r="Z76" s="27"/>
      <c r="AA76" s="27"/>
      <c r="AB76" s="27"/>
      <c r="AC76" s="27"/>
      <c r="AD76" s="27"/>
      <c r="AE76" s="27"/>
      <c r="AF76" s="27"/>
      <c r="AG76" s="27"/>
      <c r="AH76" s="27"/>
      <c r="AI76" s="27"/>
      <c r="AJ76" s="27"/>
      <c r="AK76" s="27"/>
      <c r="AL76" s="27"/>
      <c r="AM76" s="27"/>
      <c r="AN76" s="27"/>
      <c r="AO76" s="27"/>
      <c r="AP76" s="27"/>
      <c r="AQ76" s="27"/>
      <c r="AR76" s="27"/>
      <c r="AS76" s="27"/>
      <c r="AT76" s="27"/>
      <c r="AU76" s="27"/>
      <c r="AV76" s="27"/>
      <c r="AW76" s="27"/>
      <c r="AX76" s="27"/>
      <c r="AY76" s="27"/>
      <c r="AZ76" s="27"/>
      <c r="BA76" s="27"/>
      <c r="BB76" s="27"/>
      <c r="BC76" s="27"/>
      <c r="BD76" s="27"/>
      <c r="BE76" s="27"/>
      <c r="BF76" s="27"/>
      <c r="BG76" s="27"/>
      <c r="BH76" s="27"/>
      <c r="BI76" s="27"/>
      <c r="BJ76" s="27"/>
      <c r="BK76" s="27"/>
      <c r="BL76" s="27"/>
      <c r="BM76" s="27"/>
      <c r="BN76" s="27"/>
      <c r="BO76" s="27"/>
      <c r="BP76" s="27"/>
      <c r="BQ76" s="69">
        <v>36722.689075630253</v>
      </c>
      <c r="BR76" s="69">
        <f>BQ76*19%</f>
        <v>6977.3109243697481</v>
      </c>
      <c r="BS76" s="69">
        <f>(BQ76*1.17)+BR76</f>
        <v>49942.857142857138</v>
      </c>
      <c r="BT76" s="27"/>
      <c r="BU76" s="27"/>
      <c r="BV76" s="27"/>
      <c r="BW76" s="27"/>
      <c r="BX76" s="27"/>
      <c r="BY76" s="27"/>
      <c r="BZ76" s="27"/>
      <c r="CA76" s="27"/>
      <c r="CB76" s="27"/>
      <c r="CC76" s="27"/>
      <c r="CD76" s="27"/>
      <c r="CE76" s="27"/>
      <c r="CF76" s="54"/>
      <c r="CG76" s="54"/>
      <c r="CH76" s="54"/>
      <c r="CI76" s="54"/>
      <c r="CJ76" s="54"/>
      <c r="CK76" s="54"/>
      <c r="CL76" s="54"/>
      <c r="CM76" s="54"/>
      <c r="CN76" s="54"/>
      <c r="CO76" s="54"/>
      <c r="CP76" s="54"/>
      <c r="CQ76" s="54"/>
      <c r="CR76" s="107">
        <f t="shared" si="9"/>
        <v>53663.928571428565</v>
      </c>
      <c r="CS76" s="107">
        <f t="shared" si="10"/>
        <v>53663.928571428565</v>
      </c>
      <c r="CT76" s="108">
        <f t="shared" si="11"/>
        <v>5262.3896808447453</v>
      </c>
      <c r="CU76" s="65">
        <f t="shared" si="24"/>
        <v>9.80619537356517E-2</v>
      </c>
      <c r="CV76" s="66">
        <f>CX76/1.5</f>
        <v>35776</v>
      </c>
      <c r="CW76" s="66">
        <f>CV76*5%</f>
        <v>1788.8000000000002</v>
      </c>
      <c r="CX76" s="128">
        <f t="shared" si="27"/>
        <v>53664</v>
      </c>
      <c r="CY76" s="109">
        <f t="shared" si="23"/>
        <v>1073280</v>
      </c>
      <c r="CZ76" s="110" t="s">
        <v>903</v>
      </c>
    </row>
    <row r="77" spans="1:104" ht="136" x14ac:dyDescent="0.2">
      <c r="A77" s="129">
        <v>73</v>
      </c>
      <c r="B77" s="150" t="s">
        <v>319</v>
      </c>
      <c r="C77" s="110" t="s">
        <v>320</v>
      </c>
      <c r="D77" s="63" t="s">
        <v>1299</v>
      </c>
      <c r="E77" s="105">
        <v>40</v>
      </c>
      <c r="F77" s="27"/>
      <c r="G77" s="27"/>
      <c r="H77" s="27"/>
      <c r="I77" s="27"/>
      <c r="J77" s="27"/>
      <c r="K77" s="27"/>
      <c r="L77" s="27"/>
      <c r="M77" s="27"/>
      <c r="N77" s="27"/>
      <c r="O77" s="27"/>
      <c r="P77" s="27"/>
      <c r="Q77" s="27"/>
      <c r="R77" s="27"/>
      <c r="S77" s="27"/>
      <c r="T77" s="27"/>
      <c r="U77" s="27"/>
      <c r="V77" s="27"/>
      <c r="W77" s="27"/>
      <c r="X77" s="27"/>
      <c r="Y77" s="27"/>
      <c r="Z77" s="27"/>
      <c r="AA77" s="27"/>
      <c r="AB77" s="27"/>
      <c r="AC77" s="27"/>
      <c r="AD77" s="27"/>
      <c r="AE77" s="27"/>
      <c r="AF77" s="27"/>
      <c r="AG77" s="27"/>
      <c r="AH77" s="27"/>
      <c r="AI77" s="27"/>
      <c r="AJ77" s="27"/>
      <c r="AK77" s="27"/>
      <c r="AL77" s="27"/>
      <c r="AM77" s="27"/>
      <c r="AN77" s="27"/>
      <c r="AO77" s="27"/>
      <c r="AP77" s="27"/>
      <c r="AQ77" s="27"/>
      <c r="AR77" s="27"/>
      <c r="AS77" s="27"/>
      <c r="AT77" s="27"/>
      <c r="AU77" s="27"/>
      <c r="AV77" s="27"/>
      <c r="AW77" s="27"/>
      <c r="AX77" s="27"/>
      <c r="AY77" s="27"/>
      <c r="AZ77" s="27"/>
      <c r="BA77" s="27"/>
      <c r="BB77" s="27"/>
      <c r="BC77" s="27"/>
      <c r="BD77" s="27"/>
      <c r="BE77" s="27"/>
      <c r="BF77" s="27"/>
      <c r="BG77" s="27"/>
      <c r="BH77" s="27"/>
      <c r="BI77" s="27"/>
      <c r="BJ77" s="27"/>
      <c r="BK77" s="27"/>
      <c r="BL77" s="27"/>
      <c r="BM77" s="27"/>
      <c r="BN77" s="27"/>
      <c r="BO77" s="27"/>
      <c r="BP77" s="27"/>
      <c r="BQ77" s="27"/>
      <c r="BR77" s="27"/>
      <c r="BS77" s="27"/>
      <c r="BT77" s="27"/>
      <c r="BU77" s="27"/>
      <c r="BV77" s="27"/>
      <c r="BW77" s="27"/>
      <c r="BX77" s="27"/>
      <c r="BY77" s="27"/>
      <c r="BZ77" s="27"/>
      <c r="CA77" s="27"/>
      <c r="CB77" s="27"/>
      <c r="CC77" s="27"/>
      <c r="CD77" s="27"/>
      <c r="CE77" s="45"/>
      <c r="CF77" s="54"/>
      <c r="CG77" s="45">
        <v>120368.5</v>
      </c>
      <c r="CH77" s="45">
        <v>117800</v>
      </c>
      <c r="CI77" s="45"/>
      <c r="CJ77" s="45"/>
      <c r="CK77" s="45"/>
      <c r="CL77" s="45"/>
      <c r="CM77" s="45"/>
      <c r="CN77" s="45"/>
      <c r="CO77" s="45"/>
      <c r="CP77" s="45"/>
      <c r="CQ77" s="45"/>
      <c r="CR77" s="107">
        <f t="shared" si="9"/>
        <v>119084.25</v>
      </c>
      <c r="CS77" s="107">
        <f t="shared" si="10"/>
        <v>119084.25</v>
      </c>
      <c r="CT77" s="108">
        <f t="shared" si="11"/>
        <v>1816.2037674776473</v>
      </c>
      <c r="CU77" s="65">
        <f t="shared" si="24"/>
        <v>1.5251418785252015E-2</v>
      </c>
      <c r="CV77" s="66">
        <f t="shared" si="25"/>
        <v>100071.42857142858</v>
      </c>
      <c r="CW77" s="66">
        <f t="shared" si="26"/>
        <v>19013.571428571431</v>
      </c>
      <c r="CX77" s="128">
        <f t="shared" si="27"/>
        <v>119085</v>
      </c>
      <c r="CY77" s="109">
        <f t="shared" si="23"/>
        <v>4763400</v>
      </c>
      <c r="CZ77" s="110" t="s">
        <v>903</v>
      </c>
    </row>
    <row r="78" spans="1:104" ht="404" x14ac:dyDescent="0.2">
      <c r="A78" s="129">
        <v>74</v>
      </c>
      <c r="B78" s="150" t="s">
        <v>1120</v>
      </c>
      <c r="C78" s="110" t="s">
        <v>1298</v>
      </c>
      <c r="D78" s="105" t="s">
        <v>239</v>
      </c>
      <c r="E78" s="105">
        <v>26</v>
      </c>
      <c r="F78" s="27"/>
      <c r="G78" s="27"/>
      <c r="H78" s="27"/>
      <c r="I78" s="27"/>
      <c r="J78" s="27"/>
      <c r="K78" s="27"/>
      <c r="L78" s="27"/>
      <c r="M78" s="27"/>
      <c r="N78" s="27"/>
      <c r="O78" s="27"/>
      <c r="P78" s="27"/>
      <c r="Q78" s="27"/>
      <c r="R78" s="27"/>
      <c r="S78" s="27"/>
      <c r="T78" s="27"/>
      <c r="U78" s="27"/>
      <c r="V78" s="27"/>
      <c r="W78" s="27"/>
      <c r="X78" s="27"/>
      <c r="Y78" s="27"/>
      <c r="Z78" s="27"/>
      <c r="AA78" s="27"/>
      <c r="AB78" s="27"/>
      <c r="AC78" s="27"/>
      <c r="AD78" s="27"/>
      <c r="AE78" s="27"/>
      <c r="AF78" s="27"/>
      <c r="AG78" s="27"/>
      <c r="AH78" s="27"/>
      <c r="AI78" s="27"/>
      <c r="AJ78" s="27"/>
      <c r="AK78" s="27"/>
      <c r="AL78" s="27"/>
      <c r="AM78" s="27"/>
      <c r="AN78" s="27"/>
      <c r="AO78" s="27"/>
      <c r="AP78" s="27"/>
      <c r="AQ78" s="27"/>
      <c r="AR78" s="27"/>
      <c r="AS78" s="27"/>
      <c r="AT78" s="27"/>
      <c r="AU78" s="27"/>
      <c r="AV78" s="27"/>
      <c r="AW78" s="27"/>
      <c r="AX78" s="27"/>
      <c r="AY78" s="27"/>
      <c r="AZ78" s="27"/>
      <c r="BA78" s="27"/>
      <c r="BB78" s="27"/>
      <c r="BC78" s="27"/>
      <c r="BD78" s="27"/>
      <c r="BE78" s="27"/>
      <c r="BF78" s="27"/>
      <c r="BG78" s="27"/>
      <c r="BH78" s="27"/>
      <c r="BI78" s="27"/>
      <c r="BJ78" s="27"/>
      <c r="BK78" s="27"/>
      <c r="BL78" s="27"/>
      <c r="BM78" s="27"/>
      <c r="BN78" s="27"/>
      <c r="BO78" s="27"/>
      <c r="BP78" s="27"/>
      <c r="BQ78" s="27"/>
      <c r="BR78" s="27"/>
      <c r="BS78" s="27"/>
      <c r="BT78" s="27"/>
      <c r="BU78" s="27"/>
      <c r="BV78" s="27"/>
      <c r="BW78" s="27"/>
      <c r="BX78" s="27"/>
      <c r="BY78" s="27"/>
      <c r="BZ78" s="27"/>
      <c r="CA78" s="27"/>
      <c r="CB78" s="27"/>
      <c r="CC78" s="27"/>
      <c r="CD78" s="27"/>
      <c r="CE78" s="45"/>
      <c r="CF78" s="54"/>
      <c r="CG78" s="45">
        <v>333200</v>
      </c>
      <c r="CH78" s="45">
        <v>350000</v>
      </c>
      <c r="CI78" s="45"/>
      <c r="CJ78" s="45"/>
      <c r="CK78" s="45"/>
      <c r="CL78" s="45"/>
      <c r="CM78" s="45"/>
      <c r="CN78" s="45"/>
      <c r="CO78" s="45"/>
      <c r="CP78" s="45"/>
      <c r="CQ78" s="45"/>
      <c r="CR78" s="107">
        <f t="shared" si="9"/>
        <v>341600</v>
      </c>
      <c r="CS78" s="107">
        <f t="shared" si="10"/>
        <v>341600</v>
      </c>
      <c r="CT78" s="108">
        <f t="shared" si="11"/>
        <v>11879.393923933998</v>
      </c>
      <c r="CU78" s="65">
        <f t="shared" si="24"/>
        <v>3.4775743337043322E-2</v>
      </c>
      <c r="CV78" s="66">
        <f t="shared" si="25"/>
        <v>287058.82352941181</v>
      </c>
      <c r="CW78" s="66">
        <f t="shared" si="26"/>
        <v>54541.176470588245</v>
      </c>
      <c r="CX78" s="128">
        <f t="shared" si="27"/>
        <v>341600</v>
      </c>
      <c r="CY78" s="109">
        <f t="shared" si="23"/>
        <v>8881600</v>
      </c>
      <c r="CZ78" s="110" t="s">
        <v>903</v>
      </c>
    </row>
    <row r="79" spans="1:104" ht="187" x14ac:dyDescent="0.2">
      <c r="A79" s="129">
        <v>75</v>
      </c>
      <c r="B79" s="150" t="s">
        <v>321</v>
      </c>
      <c r="C79" s="110" t="s">
        <v>1094</v>
      </c>
      <c r="D79" s="105" t="s">
        <v>232</v>
      </c>
      <c r="E79" s="105">
        <v>59</v>
      </c>
      <c r="F79" s="54"/>
      <c r="G79" s="54"/>
      <c r="H79" s="54"/>
      <c r="I79" s="54"/>
      <c r="J79" s="54"/>
      <c r="K79" s="54"/>
      <c r="L79" s="54"/>
      <c r="M79" s="54"/>
      <c r="N79" s="54"/>
      <c r="O79" s="54"/>
      <c r="P79" s="54"/>
      <c r="Q79" s="54"/>
      <c r="R79" s="54"/>
      <c r="S79" s="54"/>
      <c r="T79" s="54"/>
      <c r="U79" s="54"/>
      <c r="V79" s="54"/>
      <c r="W79" s="54"/>
      <c r="X79" s="54"/>
      <c r="Y79" s="54"/>
      <c r="Z79" s="54"/>
      <c r="AA79" s="54"/>
      <c r="AB79" s="54"/>
      <c r="AC79" s="54"/>
      <c r="AD79" s="54"/>
      <c r="AE79" s="54"/>
      <c r="AF79" s="54"/>
      <c r="AG79" s="54"/>
      <c r="AH79" s="54"/>
      <c r="AI79" s="54"/>
      <c r="AJ79" s="54"/>
      <c r="AK79" s="54"/>
      <c r="AL79" s="54"/>
      <c r="AM79" s="54"/>
      <c r="AN79" s="54"/>
      <c r="AO79" s="54"/>
      <c r="AP79" s="54"/>
      <c r="AQ79" s="54"/>
      <c r="AR79" s="54"/>
      <c r="AS79" s="54"/>
      <c r="AT79" s="54"/>
      <c r="AU79" s="54"/>
      <c r="AV79" s="54"/>
      <c r="AW79" s="54"/>
      <c r="AX79" s="54"/>
      <c r="AY79" s="54"/>
      <c r="AZ79" s="54"/>
      <c r="BA79" s="54"/>
      <c r="BB79" s="54"/>
      <c r="BC79" s="54"/>
      <c r="BD79" s="54"/>
      <c r="BE79" s="54"/>
      <c r="BF79" s="54"/>
      <c r="BG79" s="54"/>
      <c r="BH79" s="54"/>
      <c r="BI79" s="54"/>
      <c r="BJ79" s="54"/>
      <c r="BK79" s="54"/>
      <c r="BL79" s="54"/>
      <c r="BM79" s="54"/>
      <c r="BN79" s="54"/>
      <c r="BO79" s="54"/>
      <c r="BP79" s="54"/>
      <c r="BQ79" s="54"/>
      <c r="BR79" s="54"/>
      <c r="BS79" s="54"/>
      <c r="BT79" s="54"/>
      <c r="BU79" s="54"/>
      <c r="BV79" s="54"/>
      <c r="BW79" s="54"/>
      <c r="BX79" s="54"/>
      <c r="BY79" s="54"/>
      <c r="BZ79" s="54"/>
      <c r="CA79" s="54"/>
      <c r="CB79" s="54"/>
      <c r="CC79" s="54"/>
      <c r="CD79" s="54"/>
      <c r="CE79" s="54">
        <v>337365</v>
      </c>
      <c r="CF79" s="54"/>
      <c r="CG79" s="45">
        <v>403588.5</v>
      </c>
      <c r="CH79" s="45">
        <v>396000</v>
      </c>
      <c r="CI79" s="45"/>
      <c r="CJ79" s="45"/>
      <c r="CK79" s="45"/>
      <c r="CL79" s="45"/>
      <c r="CM79" s="45"/>
      <c r="CN79" s="45"/>
      <c r="CO79" s="45"/>
      <c r="CP79" s="45"/>
      <c r="CQ79" s="45"/>
      <c r="CR79" s="107">
        <f t="shared" si="9"/>
        <v>396000</v>
      </c>
      <c r="CS79" s="107">
        <f t="shared" si="10"/>
        <v>378984.5</v>
      </c>
      <c r="CT79" s="108">
        <f t="shared" si="11"/>
        <v>36242.701585974522</v>
      </c>
      <c r="CU79" s="65">
        <f t="shared" si="24"/>
        <v>9.5631091999737516E-2</v>
      </c>
      <c r="CV79" s="66">
        <f t="shared" si="25"/>
        <v>318474.78991596639</v>
      </c>
      <c r="CW79" s="66">
        <f t="shared" si="26"/>
        <v>60510.210084033613</v>
      </c>
      <c r="CX79" s="128">
        <f t="shared" si="27"/>
        <v>378985</v>
      </c>
      <c r="CY79" s="109">
        <f t="shared" si="23"/>
        <v>22360115</v>
      </c>
      <c r="CZ79" s="110" t="s">
        <v>903</v>
      </c>
    </row>
    <row r="80" spans="1:104" ht="68" x14ac:dyDescent="0.2">
      <c r="A80" s="129">
        <v>76</v>
      </c>
      <c r="B80" s="151" t="s">
        <v>322</v>
      </c>
      <c r="C80" s="110" t="s">
        <v>1121</v>
      </c>
      <c r="D80" s="122" t="s">
        <v>232</v>
      </c>
      <c r="E80" s="105">
        <v>25</v>
      </c>
      <c r="F80" s="27"/>
      <c r="G80" s="27"/>
      <c r="H80" s="27"/>
      <c r="I80" s="27"/>
      <c r="J80" s="27"/>
      <c r="K80" s="27"/>
      <c r="L80" s="27"/>
      <c r="M80" s="27"/>
      <c r="N80" s="27"/>
      <c r="O80" s="27"/>
      <c r="P80" s="27"/>
      <c r="Q80" s="27"/>
      <c r="R80" s="27"/>
      <c r="S80" s="27"/>
      <c r="T80" s="27"/>
      <c r="U80" s="27"/>
      <c r="V80" s="27"/>
      <c r="W80" s="27"/>
      <c r="X80" s="27"/>
      <c r="Y80" s="27"/>
      <c r="Z80" s="27"/>
      <c r="AA80" s="27"/>
      <c r="AB80" s="27"/>
      <c r="AC80" s="27"/>
      <c r="AD80" s="27"/>
      <c r="AE80" s="27"/>
      <c r="AF80" s="27"/>
      <c r="AG80" s="27"/>
      <c r="AH80" s="27"/>
      <c r="AI80" s="27"/>
      <c r="AJ80" s="27"/>
      <c r="AK80" s="27"/>
      <c r="AL80" s="27"/>
      <c r="AM80" s="27"/>
      <c r="AN80" s="27"/>
      <c r="AO80" s="27"/>
      <c r="AP80" s="27"/>
      <c r="AQ80" s="27"/>
      <c r="AR80" s="27"/>
      <c r="AS80" s="27"/>
      <c r="AT80" s="27"/>
      <c r="AU80" s="27"/>
      <c r="AV80" s="27"/>
      <c r="AW80" s="27"/>
      <c r="AX80" s="27"/>
      <c r="AY80" s="27"/>
      <c r="AZ80" s="27"/>
      <c r="BA80" s="27"/>
      <c r="BB80" s="27"/>
      <c r="BC80" s="27"/>
      <c r="BD80" s="27"/>
      <c r="BE80" s="27"/>
      <c r="BF80" s="27"/>
      <c r="BG80" s="27"/>
      <c r="BH80" s="27"/>
      <c r="BI80" s="27"/>
      <c r="BJ80" s="27"/>
      <c r="BK80" s="27"/>
      <c r="BL80" s="27"/>
      <c r="BM80" s="27"/>
      <c r="BN80" s="27"/>
      <c r="BO80" s="27"/>
      <c r="BP80" s="27"/>
      <c r="BQ80" s="27"/>
      <c r="BR80" s="27"/>
      <c r="BS80" s="27"/>
      <c r="BT80" s="27"/>
      <c r="BU80" s="27"/>
      <c r="BV80" s="27"/>
      <c r="BW80" s="27"/>
      <c r="BX80" s="27"/>
      <c r="BY80" s="27"/>
      <c r="BZ80" s="27"/>
      <c r="CA80" s="27"/>
      <c r="CB80" s="27"/>
      <c r="CC80" s="27"/>
      <c r="CD80" s="27"/>
      <c r="CE80" s="45"/>
      <c r="CF80" s="54"/>
      <c r="CG80" s="45">
        <v>962948</v>
      </c>
      <c r="CH80" s="45">
        <v>950000</v>
      </c>
      <c r="CI80" s="45"/>
      <c r="CJ80" s="45"/>
      <c r="CK80" s="45"/>
      <c r="CL80" s="45"/>
      <c r="CM80" s="45"/>
      <c r="CN80" s="45"/>
      <c r="CO80" s="45"/>
      <c r="CP80" s="45"/>
      <c r="CQ80" s="45"/>
      <c r="CR80" s="107">
        <f t="shared" si="9"/>
        <v>956474</v>
      </c>
      <c r="CS80" s="107">
        <f t="shared" si="10"/>
        <v>956474</v>
      </c>
      <c r="CT80" s="108">
        <f t="shared" si="11"/>
        <v>9155.6186028034172</v>
      </c>
      <c r="CU80" s="65">
        <f t="shared" si="24"/>
        <v>9.5722608275848765E-3</v>
      </c>
      <c r="CV80" s="66">
        <f t="shared" si="25"/>
        <v>803759.66386554623</v>
      </c>
      <c r="CW80" s="66">
        <f t="shared" si="26"/>
        <v>152714.3361344538</v>
      </c>
      <c r="CX80" s="128">
        <f t="shared" si="27"/>
        <v>956474</v>
      </c>
      <c r="CY80" s="109">
        <f t="shared" si="23"/>
        <v>23911850</v>
      </c>
      <c r="CZ80" s="110" t="s">
        <v>903</v>
      </c>
    </row>
    <row r="81" spans="1:104" ht="187" x14ac:dyDescent="0.2">
      <c r="A81" s="129">
        <v>77</v>
      </c>
      <c r="B81" s="151" t="s">
        <v>323</v>
      </c>
      <c r="C81" s="110" t="s">
        <v>881</v>
      </c>
      <c r="D81" s="105" t="s">
        <v>232</v>
      </c>
      <c r="E81" s="105">
        <v>200</v>
      </c>
      <c r="F81" s="27"/>
      <c r="G81" s="27"/>
      <c r="H81" s="27"/>
      <c r="I81" s="27"/>
      <c r="J81" s="27"/>
      <c r="K81" s="27"/>
      <c r="L81" s="27"/>
      <c r="M81" s="27"/>
      <c r="N81" s="69">
        <v>13025.210084033613</v>
      </c>
      <c r="O81" s="69">
        <f>N81*19%</f>
        <v>2474.7899159663866</v>
      </c>
      <c r="P81" s="69">
        <f>N81*1.36</f>
        <v>17714.285714285714</v>
      </c>
      <c r="Q81" s="27"/>
      <c r="R81" s="27"/>
      <c r="S81" s="27"/>
      <c r="T81" s="27"/>
      <c r="U81" s="27"/>
      <c r="V81" s="27"/>
      <c r="W81" s="27"/>
      <c r="X81" s="27"/>
      <c r="Y81" s="27"/>
      <c r="Z81" s="27"/>
      <c r="AA81" s="27"/>
      <c r="AB81" s="27"/>
      <c r="AC81" s="27"/>
      <c r="AD81" s="27"/>
      <c r="AE81" s="27"/>
      <c r="AF81" s="27"/>
      <c r="AG81" s="27"/>
      <c r="AH81" s="27"/>
      <c r="AI81" s="27"/>
      <c r="AJ81" s="69">
        <v>11848.73949579832</v>
      </c>
      <c r="AK81" s="69">
        <v>2251.2605042016808</v>
      </c>
      <c r="AL81" s="69">
        <v>16114.285714285716</v>
      </c>
      <c r="AN81" s="27"/>
      <c r="AO81" s="27"/>
      <c r="AP81" s="27"/>
      <c r="AQ81" s="27"/>
      <c r="AR81" s="27"/>
      <c r="AS81" s="27"/>
      <c r="AT81" s="27"/>
      <c r="AU81" s="27"/>
      <c r="AV81" s="27"/>
      <c r="AW81" s="27"/>
      <c r="AX81" s="27"/>
      <c r="AY81" s="27"/>
      <c r="AZ81" s="27"/>
      <c r="BA81" s="27"/>
      <c r="BB81" s="27"/>
      <c r="BC81" s="27"/>
      <c r="BD81" s="27"/>
      <c r="BE81" s="27"/>
      <c r="BF81" s="27"/>
      <c r="BG81" s="27"/>
      <c r="BH81" s="69">
        <v>10840.336134453783</v>
      </c>
      <c r="BI81" s="69">
        <f>BH81*19%</f>
        <v>2059.6638655462189</v>
      </c>
      <c r="BJ81" s="69">
        <f>BH81*1.36</f>
        <v>14742.857142857145</v>
      </c>
      <c r="BK81" s="27"/>
      <c r="BL81" s="27"/>
      <c r="BM81" s="27"/>
      <c r="BN81" s="27"/>
      <c r="BO81" s="27"/>
      <c r="BP81" s="27"/>
      <c r="BQ81" s="27"/>
      <c r="BR81" s="27"/>
      <c r="BS81" s="27"/>
      <c r="BT81" s="72"/>
      <c r="BU81" s="73"/>
      <c r="BV81" s="72"/>
      <c r="BW81" s="73"/>
      <c r="BX81" s="72"/>
      <c r="BY81" s="73"/>
      <c r="BZ81" s="27"/>
      <c r="CA81" s="27"/>
      <c r="CB81" s="27"/>
      <c r="CC81" s="27"/>
      <c r="CD81" s="27"/>
      <c r="CE81" s="27"/>
      <c r="CF81" s="54"/>
      <c r="CG81" s="54"/>
      <c r="CH81" s="54"/>
      <c r="CI81" s="54"/>
      <c r="CJ81" s="54"/>
      <c r="CK81" s="54"/>
      <c r="CL81" s="54"/>
      <c r="CM81" s="54"/>
      <c r="CN81" s="54"/>
      <c r="CO81" s="54"/>
      <c r="CP81" s="54"/>
      <c r="CQ81" s="54"/>
      <c r="CR81" s="107">
        <f t="shared" si="9"/>
        <v>16114.285714285716</v>
      </c>
      <c r="CS81" s="107">
        <f t="shared" si="10"/>
        <v>16190.476190476191</v>
      </c>
      <c r="CT81" s="108">
        <f t="shared" si="11"/>
        <v>1487.17876540519</v>
      </c>
      <c r="CU81" s="65">
        <f t="shared" si="24"/>
        <v>9.185515903973232E-2</v>
      </c>
      <c r="CV81" s="66">
        <f t="shared" si="25"/>
        <v>13605.882352941177</v>
      </c>
      <c r="CW81" s="66">
        <f t="shared" si="26"/>
        <v>2585.1176470588234</v>
      </c>
      <c r="CX81" s="128">
        <f t="shared" si="27"/>
        <v>16191</v>
      </c>
      <c r="CY81" s="109">
        <f t="shared" si="23"/>
        <v>3238200</v>
      </c>
      <c r="CZ81" s="110" t="s">
        <v>903</v>
      </c>
    </row>
    <row r="82" spans="1:104" ht="409.6" x14ac:dyDescent="0.2">
      <c r="A82" s="129">
        <v>78</v>
      </c>
      <c r="B82" s="151" t="s">
        <v>324</v>
      </c>
      <c r="C82" s="110" t="s">
        <v>1297</v>
      </c>
      <c r="D82" s="105" t="s">
        <v>249</v>
      </c>
      <c r="E82" s="105">
        <v>70</v>
      </c>
      <c r="F82" s="27"/>
      <c r="G82" s="27"/>
      <c r="H82" s="27"/>
      <c r="I82" s="27"/>
      <c r="J82" s="27"/>
      <c r="K82" s="27"/>
      <c r="L82" s="27"/>
      <c r="M82" s="27"/>
      <c r="N82" s="27"/>
      <c r="O82" s="27"/>
      <c r="P82" s="27"/>
      <c r="Q82" s="27"/>
      <c r="R82" s="27"/>
      <c r="S82" s="27"/>
      <c r="T82" s="27"/>
      <c r="U82" s="27"/>
      <c r="V82" s="27"/>
      <c r="W82" s="27"/>
      <c r="X82" s="27"/>
      <c r="Y82" s="27"/>
      <c r="Z82" s="27"/>
      <c r="AA82" s="27"/>
      <c r="AB82" s="27"/>
      <c r="AC82" s="27"/>
      <c r="AD82" s="27"/>
      <c r="AE82" s="27"/>
      <c r="AF82" s="27"/>
      <c r="AG82" s="27"/>
      <c r="AH82" s="27"/>
      <c r="AI82" s="27"/>
      <c r="AJ82" s="69">
        <v>88235.294117647107</v>
      </c>
      <c r="AK82" s="69">
        <f>AJ82*19%</f>
        <v>16764.705882352951</v>
      </c>
      <c r="AL82" s="69">
        <f>AJ82*1.36</f>
        <v>120000.00000000007</v>
      </c>
      <c r="AM82" s="27"/>
      <c r="AN82" s="27"/>
      <c r="AO82" s="27"/>
      <c r="AP82" s="69">
        <v>109159.66386554623</v>
      </c>
      <c r="AQ82" s="69">
        <f>AP82*19%</f>
        <v>20740.336134453784</v>
      </c>
      <c r="AR82" s="69">
        <f>AP82*1.36</f>
        <v>148457.14285714287</v>
      </c>
      <c r="AS82" s="27"/>
      <c r="AT82" s="27"/>
      <c r="AU82" s="27"/>
      <c r="AV82" s="27"/>
      <c r="AW82" s="27"/>
      <c r="AX82" s="27"/>
      <c r="AY82" s="27"/>
      <c r="AZ82" s="27"/>
      <c r="BA82" s="27"/>
      <c r="BB82" s="27"/>
      <c r="BC82" s="27"/>
      <c r="BD82" s="27"/>
      <c r="BE82" s="27"/>
      <c r="BF82" s="27"/>
      <c r="BG82" s="27"/>
      <c r="BH82" s="69">
        <v>101008.403361345</v>
      </c>
      <c r="BI82" s="69">
        <f>BH82*19%</f>
        <v>19191.596638655552</v>
      </c>
      <c r="BJ82" s="69">
        <f>BH82*1.36</f>
        <v>137371.42857142922</v>
      </c>
      <c r="BK82" s="27"/>
      <c r="BL82" s="27"/>
      <c r="BM82" s="27"/>
      <c r="BN82" s="27"/>
      <c r="BO82" s="27"/>
      <c r="BP82" s="27"/>
      <c r="BQ82" s="27"/>
      <c r="BR82" s="27"/>
      <c r="BS82" s="27"/>
      <c r="BT82" s="27"/>
      <c r="BU82" s="27"/>
      <c r="BV82" s="27"/>
      <c r="BW82" s="27"/>
      <c r="BX82" s="27"/>
      <c r="BY82" s="27"/>
      <c r="BZ82" s="74">
        <v>113050</v>
      </c>
      <c r="CA82" s="73">
        <f>(BZ82*5.1%)+BZ82</f>
        <v>118815.55</v>
      </c>
      <c r="CB82" s="74"/>
      <c r="CC82" s="73"/>
      <c r="CD82" s="27"/>
      <c r="CE82" s="27"/>
      <c r="CF82" s="54"/>
      <c r="CG82" s="54"/>
      <c r="CH82" s="54"/>
      <c r="CI82" s="54"/>
      <c r="CJ82" s="54"/>
      <c r="CK82" s="54"/>
      <c r="CL82" s="54"/>
      <c r="CM82" s="54"/>
      <c r="CN82" s="54"/>
      <c r="CO82" s="54"/>
      <c r="CP82" s="54"/>
      <c r="CQ82" s="54"/>
      <c r="CR82" s="107">
        <f t="shared" si="9"/>
        <v>128685.71428571464</v>
      </c>
      <c r="CS82" s="107">
        <f t="shared" si="10"/>
        <v>131161.03035714306</v>
      </c>
      <c r="CT82" s="108">
        <f t="shared" si="11"/>
        <v>14314.37549545131</v>
      </c>
      <c r="CU82" s="65">
        <f t="shared" si="24"/>
        <v>0.10913588782029376</v>
      </c>
      <c r="CV82" s="66">
        <f t="shared" si="25"/>
        <v>110220.1680672269</v>
      </c>
      <c r="CW82" s="66">
        <f t="shared" si="26"/>
        <v>20941.831932773111</v>
      </c>
      <c r="CX82" s="128">
        <f t="shared" si="27"/>
        <v>131162</v>
      </c>
      <c r="CY82" s="109">
        <f t="shared" si="23"/>
        <v>9181340</v>
      </c>
      <c r="CZ82" s="110" t="s">
        <v>903</v>
      </c>
    </row>
    <row r="83" spans="1:104" ht="51" x14ac:dyDescent="0.2">
      <c r="A83" s="129">
        <v>79</v>
      </c>
      <c r="B83" s="151" t="s">
        <v>293</v>
      </c>
      <c r="C83" s="110" t="s">
        <v>325</v>
      </c>
      <c r="D83" s="105" t="s">
        <v>249</v>
      </c>
      <c r="E83" s="105">
        <v>45</v>
      </c>
      <c r="F83" s="27"/>
      <c r="G83" s="27"/>
      <c r="H83" s="27"/>
      <c r="I83" s="27"/>
      <c r="J83" s="27"/>
      <c r="K83" s="27"/>
      <c r="L83" s="27"/>
      <c r="M83" s="27"/>
      <c r="N83" s="69">
        <v>6505.6050420168067</v>
      </c>
      <c r="O83" s="69">
        <f>N83*19%</f>
        <v>1236.0649579831934</v>
      </c>
      <c r="P83" s="69">
        <f>N83*1.36</f>
        <v>8847.6228571428583</v>
      </c>
      <c r="Q83" s="27"/>
      <c r="R83" s="27"/>
      <c r="S83" s="27"/>
      <c r="T83" s="27"/>
      <c r="U83" s="27"/>
      <c r="V83" s="27"/>
      <c r="W83" s="27"/>
      <c r="X83" s="27"/>
      <c r="Y83" s="27"/>
      <c r="Z83" s="27"/>
      <c r="AA83" s="27"/>
      <c r="AB83" s="27"/>
      <c r="AC83" s="27"/>
      <c r="AD83" s="13"/>
      <c r="AE83" s="71"/>
      <c r="AF83" s="27"/>
      <c r="AG83" s="27"/>
      <c r="AH83" s="27"/>
      <c r="AI83" s="27"/>
      <c r="AJ83" s="27"/>
      <c r="AK83" s="27"/>
      <c r="AL83" s="27"/>
      <c r="AM83" s="27"/>
      <c r="AN83" s="27"/>
      <c r="AO83" s="27"/>
      <c r="AP83" s="27"/>
      <c r="AQ83" s="27"/>
      <c r="AR83" s="27"/>
      <c r="AS83" s="27"/>
      <c r="AT83" s="27"/>
      <c r="AU83" s="27"/>
      <c r="AV83" s="27"/>
      <c r="AW83" s="27"/>
      <c r="AX83" s="27"/>
      <c r="AY83" s="69">
        <v>4873.9495798319331</v>
      </c>
      <c r="AZ83" s="69">
        <f>AY83*19%</f>
        <v>926.05042016806726</v>
      </c>
      <c r="BA83" s="69">
        <f>AY83*1.36</f>
        <v>6628.5714285714294</v>
      </c>
      <c r="BB83" s="27"/>
      <c r="BC83" s="27"/>
      <c r="BD83" s="27"/>
      <c r="BE83" s="27"/>
      <c r="BF83" s="27"/>
      <c r="BG83" s="27"/>
      <c r="BH83" s="27"/>
      <c r="BI83" s="27"/>
      <c r="BJ83" s="27"/>
      <c r="BK83" s="27"/>
      <c r="BL83" s="27"/>
      <c r="BM83" s="27"/>
      <c r="BN83" s="27"/>
      <c r="BO83" s="27"/>
      <c r="BP83" s="27"/>
      <c r="BQ83" s="27"/>
      <c r="BR83" s="27"/>
      <c r="BS83" s="27"/>
      <c r="BT83" s="13"/>
      <c r="BU83" s="71"/>
      <c r="BV83" s="13">
        <v>7300</v>
      </c>
      <c r="BW83" s="71">
        <f>((BV83*5.1%)+BV83)</f>
        <v>7672.3</v>
      </c>
      <c r="BX83" s="27"/>
      <c r="BY83" s="27"/>
      <c r="BZ83" s="27"/>
      <c r="CA83" s="27"/>
      <c r="CB83" s="27"/>
      <c r="CC83" s="27"/>
      <c r="CD83" s="27"/>
      <c r="CE83" s="27"/>
      <c r="CF83" s="54"/>
      <c r="CG83" s="54"/>
      <c r="CH83" s="54"/>
      <c r="CI83" s="54"/>
      <c r="CJ83" s="54"/>
      <c r="CK83" s="54"/>
      <c r="CL83" s="54"/>
      <c r="CM83" s="54"/>
      <c r="CN83" s="54"/>
      <c r="CO83" s="54"/>
      <c r="CP83" s="54"/>
      <c r="CQ83" s="54"/>
      <c r="CR83" s="107">
        <f t="shared" si="9"/>
        <v>7672.3</v>
      </c>
      <c r="CS83" s="107">
        <f t="shared" si="10"/>
        <v>7716.1647619047626</v>
      </c>
      <c r="CT83" s="108">
        <f t="shared" si="11"/>
        <v>1110.1758413260141</v>
      </c>
      <c r="CU83" s="65">
        <f t="shared" si="24"/>
        <v>0.14387663762793515</v>
      </c>
      <c r="CV83" s="66">
        <f t="shared" si="25"/>
        <v>6484.8739495798318</v>
      </c>
      <c r="CW83" s="66">
        <f t="shared" si="26"/>
        <v>1232.126050420168</v>
      </c>
      <c r="CX83" s="128">
        <f t="shared" si="27"/>
        <v>7717</v>
      </c>
      <c r="CY83" s="109">
        <f t="shared" si="23"/>
        <v>347265</v>
      </c>
      <c r="CZ83" s="110" t="s">
        <v>903</v>
      </c>
    </row>
    <row r="84" spans="1:104" ht="409.6" x14ac:dyDescent="0.2">
      <c r="A84" s="129">
        <v>80</v>
      </c>
      <c r="B84" s="151" t="s">
        <v>293</v>
      </c>
      <c r="C84" s="110" t="s">
        <v>1296</v>
      </c>
      <c r="D84" s="105" t="s">
        <v>249</v>
      </c>
      <c r="E84" s="105">
        <v>45</v>
      </c>
      <c r="F84" s="27"/>
      <c r="G84" s="27"/>
      <c r="H84" s="27"/>
      <c r="I84" s="27"/>
      <c r="J84" s="27"/>
      <c r="K84" s="27"/>
      <c r="L84" s="27"/>
      <c r="M84" s="27"/>
      <c r="N84" s="27"/>
      <c r="O84" s="27"/>
      <c r="P84" s="27"/>
      <c r="Q84" s="27"/>
      <c r="R84" s="27"/>
      <c r="S84" s="27"/>
      <c r="T84" s="27"/>
      <c r="U84" s="27"/>
      <c r="V84" s="27"/>
      <c r="W84" s="27"/>
      <c r="X84" s="27"/>
      <c r="Y84" s="27"/>
      <c r="Z84" s="27"/>
      <c r="AA84" s="27"/>
      <c r="AB84" s="27"/>
      <c r="AC84" s="27"/>
      <c r="AD84" s="27"/>
      <c r="AE84" s="27"/>
      <c r="AF84" s="27"/>
      <c r="AG84" s="27"/>
      <c r="AH84" s="27"/>
      <c r="AI84" s="27"/>
      <c r="AJ84" s="27"/>
      <c r="AK84" s="27"/>
      <c r="AL84" s="27"/>
      <c r="AM84" s="27"/>
      <c r="AN84" s="27"/>
      <c r="AO84" s="27"/>
      <c r="AP84" s="27"/>
      <c r="AQ84" s="27"/>
      <c r="AR84" s="27"/>
      <c r="AS84" s="27"/>
      <c r="AT84" s="27"/>
      <c r="AU84" s="27"/>
      <c r="AV84" s="27"/>
      <c r="AW84" s="27"/>
      <c r="AX84" s="27"/>
      <c r="AY84" s="27"/>
      <c r="AZ84" s="27"/>
      <c r="BA84" s="27"/>
      <c r="BB84" s="27"/>
      <c r="BC84" s="27"/>
      <c r="BD84" s="27"/>
      <c r="BE84" s="27"/>
      <c r="BF84" s="27"/>
      <c r="BG84" s="27"/>
      <c r="BH84" s="27"/>
      <c r="BI84" s="27"/>
      <c r="BJ84" s="27"/>
      <c r="BK84" s="27"/>
      <c r="BL84" s="27"/>
      <c r="BM84" s="27"/>
      <c r="BN84" s="27"/>
      <c r="BO84" s="27"/>
      <c r="BP84" s="27"/>
      <c r="BQ84" s="27"/>
      <c r="BR84" s="27"/>
      <c r="BS84" s="27"/>
      <c r="BT84" s="27"/>
      <c r="BU84" s="27"/>
      <c r="BV84" s="13">
        <v>48750</v>
      </c>
      <c r="BW84" s="71">
        <f>((BV84*5.1%)+BV84)</f>
        <v>51236.25</v>
      </c>
      <c r="BX84" s="13">
        <v>35105</v>
      </c>
      <c r="BY84" s="71">
        <f t="shared" ref="BY84:BY89" si="30">((BX84*5.1%)+BX84)</f>
        <v>36895.355000000003</v>
      </c>
      <c r="BZ84" s="27"/>
      <c r="CA84" s="27"/>
      <c r="CB84" s="27"/>
      <c r="CC84" s="27"/>
      <c r="CD84" s="27"/>
      <c r="CE84" s="27"/>
      <c r="CF84" s="54"/>
      <c r="CG84" s="54"/>
      <c r="CH84" s="54"/>
      <c r="CI84" s="54"/>
      <c r="CJ84" s="54"/>
      <c r="CK84" s="54"/>
      <c r="CL84" s="54"/>
      <c r="CM84" s="54"/>
      <c r="CN84" s="54"/>
      <c r="CO84" s="54"/>
      <c r="CP84" s="54"/>
      <c r="CQ84" s="54"/>
      <c r="CR84" s="107">
        <f t="shared" si="9"/>
        <v>44065.802500000005</v>
      </c>
      <c r="CS84" s="107">
        <f t="shared" si="10"/>
        <v>44065.802500000005</v>
      </c>
      <c r="CT84" s="108">
        <f t="shared" si="11"/>
        <v>10140.544102784203</v>
      </c>
      <c r="CU84" s="65">
        <f t="shared" si="24"/>
        <v>0.23012276022396735</v>
      </c>
      <c r="CV84" s="66">
        <f t="shared" si="25"/>
        <v>37030.252100840335</v>
      </c>
      <c r="CW84" s="66">
        <f t="shared" si="26"/>
        <v>7035.7478991596636</v>
      </c>
      <c r="CX84" s="128">
        <f t="shared" si="27"/>
        <v>44066</v>
      </c>
      <c r="CY84" s="109">
        <f t="shared" si="23"/>
        <v>1982970</v>
      </c>
      <c r="CZ84" s="110" t="s">
        <v>902</v>
      </c>
    </row>
    <row r="85" spans="1:104" ht="119" x14ac:dyDescent="0.2">
      <c r="A85" s="129">
        <v>81</v>
      </c>
      <c r="B85" s="151" t="s">
        <v>326</v>
      </c>
      <c r="C85" s="110" t="s">
        <v>327</v>
      </c>
      <c r="D85" s="105" t="s">
        <v>249</v>
      </c>
      <c r="E85" s="105">
        <v>30</v>
      </c>
      <c r="F85" s="27"/>
      <c r="G85" s="27"/>
      <c r="H85" s="27"/>
      <c r="I85" s="27"/>
      <c r="J85" s="27"/>
      <c r="K85" s="27"/>
      <c r="L85" s="27"/>
      <c r="M85" s="27"/>
      <c r="N85" s="27"/>
      <c r="O85" s="27"/>
      <c r="P85" s="27"/>
      <c r="Q85" s="27"/>
      <c r="R85" s="27"/>
      <c r="S85" s="27"/>
      <c r="T85" s="27"/>
      <c r="U85" s="27"/>
      <c r="V85" s="27"/>
      <c r="W85" s="27"/>
      <c r="X85" s="27"/>
      <c r="Y85" s="27"/>
      <c r="Z85" s="27"/>
      <c r="AA85" s="27"/>
      <c r="AB85" s="27"/>
      <c r="AC85" s="27"/>
      <c r="AD85" s="13">
        <f>90600+(90600*19%)</f>
        <v>107814</v>
      </c>
      <c r="AE85" s="71">
        <f>((AD85*5.1%)+AD85)</f>
        <v>113312.514</v>
      </c>
      <c r="AF85" s="27"/>
      <c r="AG85" s="27"/>
      <c r="AH85" s="27"/>
      <c r="AI85" s="27"/>
      <c r="AJ85" s="27"/>
      <c r="AK85" s="27"/>
      <c r="AL85" s="27"/>
      <c r="AM85" s="27"/>
      <c r="AN85" s="27"/>
      <c r="AO85" s="27"/>
      <c r="AP85" s="27"/>
      <c r="AQ85" s="27"/>
      <c r="AR85" s="27"/>
      <c r="AS85" s="27"/>
      <c r="AT85" s="27"/>
      <c r="AU85" s="27"/>
      <c r="AV85" s="27"/>
      <c r="AW85" s="27"/>
      <c r="AX85" s="27"/>
      <c r="AY85" s="27"/>
      <c r="AZ85" s="27"/>
      <c r="BA85" s="27"/>
      <c r="BB85" s="27"/>
      <c r="BC85" s="27"/>
      <c r="BD85" s="27"/>
      <c r="BE85" s="27"/>
      <c r="BF85" s="27"/>
      <c r="BG85" s="27"/>
      <c r="BH85" s="27"/>
      <c r="BI85" s="27"/>
      <c r="BJ85" s="27"/>
      <c r="BK85" s="27"/>
      <c r="BL85" s="27"/>
      <c r="BM85" s="27"/>
      <c r="BN85" s="27"/>
      <c r="BO85" s="27"/>
      <c r="BP85" s="27"/>
      <c r="BQ85" s="27"/>
      <c r="BR85" s="27"/>
      <c r="BS85" s="27"/>
      <c r="BT85" s="13">
        <f>79803+(79803*19%)</f>
        <v>94965.57</v>
      </c>
      <c r="BU85" s="71">
        <f>((BT85*5.1%)+BT85)</f>
        <v>99808.814070000008</v>
      </c>
      <c r="BV85" s="13">
        <v>92500</v>
      </c>
      <c r="BW85" s="71">
        <f>((BV85*5.1%)+BV85)</f>
        <v>97217.5</v>
      </c>
      <c r="BX85" s="13">
        <v>76160</v>
      </c>
      <c r="BY85" s="71">
        <f t="shared" si="30"/>
        <v>80044.160000000003</v>
      </c>
      <c r="BZ85" s="27"/>
      <c r="CA85" s="27"/>
      <c r="CB85" s="27"/>
      <c r="CC85" s="27"/>
      <c r="CD85" s="27"/>
      <c r="CE85" s="27"/>
      <c r="CF85" s="54"/>
      <c r="CG85" s="54"/>
      <c r="CH85" s="54"/>
      <c r="CI85" s="54"/>
      <c r="CJ85" s="54"/>
      <c r="CK85" s="54"/>
      <c r="CL85" s="54"/>
      <c r="CM85" s="54"/>
      <c r="CN85" s="54"/>
      <c r="CO85" s="54"/>
      <c r="CP85" s="54"/>
      <c r="CQ85" s="54"/>
      <c r="CR85" s="107">
        <f t="shared" si="9"/>
        <v>98513.157035000011</v>
      </c>
      <c r="CS85" s="107">
        <f t="shared" si="10"/>
        <v>97595.747017499991</v>
      </c>
      <c r="CT85" s="108">
        <f t="shared" si="11"/>
        <v>13664.012439009191</v>
      </c>
      <c r="CU85" s="65">
        <f t="shared" si="24"/>
        <v>0.14000622830991891</v>
      </c>
      <c r="CV85" s="66">
        <f t="shared" si="25"/>
        <v>82013.445378151271</v>
      </c>
      <c r="CW85" s="66">
        <f t="shared" si="26"/>
        <v>15582.554621848742</v>
      </c>
      <c r="CX85" s="128">
        <f t="shared" si="27"/>
        <v>97596</v>
      </c>
      <c r="CY85" s="109">
        <f t="shared" si="23"/>
        <v>2927880</v>
      </c>
      <c r="CZ85" s="110" t="s">
        <v>903</v>
      </c>
    </row>
    <row r="86" spans="1:104" ht="102" x14ac:dyDescent="0.2">
      <c r="A86" s="129">
        <v>82</v>
      </c>
      <c r="B86" s="151" t="s">
        <v>328</v>
      </c>
      <c r="C86" s="110" t="s">
        <v>329</v>
      </c>
      <c r="D86" s="105" t="s">
        <v>249</v>
      </c>
      <c r="E86" s="105">
        <v>50</v>
      </c>
      <c r="F86" s="27"/>
      <c r="G86" s="27"/>
      <c r="H86" s="27"/>
      <c r="I86" s="27"/>
      <c r="J86" s="27"/>
      <c r="K86" s="27"/>
      <c r="L86" s="27"/>
      <c r="M86" s="27"/>
      <c r="N86" s="45">
        <f>14900/1.19</f>
        <v>12521.008403361346</v>
      </c>
      <c r="O86" s="45">
        <f>N86*19%</f>
        <v>2378.9915966386557</v>
      </c>
      <c r="P86" s="45">
        <f>N86*1.36</f>
        <v>17028.571428571431</v>
      </c>
      <c r="Q86" s="27"/>
      <c r="R86" s="27"/>
      <c r="S86" s="27"/>
      <c r="T86" s="27"/>
      <c r="U86" s="27"/>
      <c r="V86" s="27"/>
      <c r="W86" s="27"/>
      <c r="X86" s="27"/>
      <c r="Y86" s="27"/>
      <c r="Z86" s="27"/>
      <c r="AA86" s="27"/>
      <c r="AB86" s="27"/>
      <c r="AC86" s="27"/>
      <c r="AD86" s="13"/>
      <c r="AE86" s="71"/>
      <c r="AF86" s="27"/>
      <c r="AG86" s="27"/>
      <c r="AH86" s="27"/>
      <c r="AI86" s="27"/>
      <c r="AJ86" s="27"/>
      <c r="AK86" s="27"/>
      <c r="AL86" s="27"/>
      <c r="AM86" s="27"/>
      <c r="AN86" s="27"/>
      <c r="AO86" s="27"/>
      <c r="AP86" s="45">
        <f>14900/1.19</f>
        <v>12521.008403361346</v>
      </c>
      <c r="AQ86" s="45">
        <f>AP86*19%</f>
        <v>2378.9915966386557</v>
      </c>
      <c r="AR86" s="45">
        <f>AP86*1.36</f>
        <v>17028.571428571431</v>
      </c>
      <c r="AS86" s="27"/>
      <c r="AT86" s="27"/>
      <c r="AU86" s="27"/>
      <c r="AV86" s="27"/>
      <c r="AW86" s="27"/>
      <c r="AX86" s="27"/>
      <c r="AY86" s="27"/>
      <c r="AZ86" s="27"/>
      <c r="BA86" s="27"/>
      <c r="BB86" s="27"/>
      <c r="BC86" s="27"/>
      <c r="BD86" s="27"/>
      <c r="BE86" s="27"/>
      <c r="BF86" s="27"/>
      <c r="BG86" s="27"/>
      <c r="BH86" s="27"/>
      <c r="BI86" s="27"/>
      <c r="BJ86" s="27"/>
      <c r="BK86" s="27"/>
      <c r="BL86" s="27"/>
      <c r="BM86" s="27"/>
      <c r="BN86" s="27"/>
      <c r="BO86" s="27"/>
      <c r="BP86" s="27"/>
      <c r="BQ86" s="27"/>
      <c r="BR86" s="27"/>
      <c r="BS86" s="27"/>
      <c r="BT86" s="13"/>
      <c r="BU86" s="71"/>
      <c r="BV86" s="27"/>
      <c r="BW86" s="27"/>
      <c r="BX86" s="13"/>
      <c r="BY86" s="71"/>
      <c r="BZ86" s="27"/>
      <c r="CA86" s="27"/>
      <c r="CB86" s="27"/>
      <c r="CC86" s="27"/>
      <c r="CD86" s="27"/>
      <c r="CE86" s="27"/>
      <c r="CF86" s="54"/>
      <c r="CG86" s="54"/>
      <c r="CH86" s="54"/>
      <c r="CI86" s="54"/>
      <c r="CJ86" s="54"/>
      <c r="CK86" s="54"/>
      <c r="CL86" s="54"/>
      <c r="CM86" s="54"/>
      <c r="CN86" s="54"/>
      <c r="CO86" s="54"/>
      <c r="CP86" s="54"/>
      <c r="CQ86" s="54"/>
      <c r="CR86" s="107">
        <f t="shared" si="9"/>
        <v>17028.571428571431</v>
      </c>
      <c r="CS86" s="107">
        <f t="shared" si="10"/>
        <v>17028.571428571431</v>
      </c>
      <c r="CT86" s="108">
        <f t="shared" si="11"/>
        <v>0</v>
      </c>
      <c r="CU86" s="65">
        <f t="shared" si="24"/>
        <v>0</v>
      </c>
      <c r="CV86" s="66">
        <f t="shared" si="25"/>
        <v>14310.084033613446</v>
      </c>
      <c r="CW86" s="66">
        <f t="shared" si="26"/>
        <v>2718.9159663865548</v>
      </c>
      <c r="CX86" s="128">
        <f t="shared" si="27"/>
        <v>17029</v>
      </c>
      <c r="CY86" s="109">
        <f t="shared" si="23"/>
        <v>851450</v>
      </c>
      <c r="CZ86" s="110" t="s">
        <v>903</v>
      </c>
    </row>
    <row r="87" spans="1:104" ht="136" x14ac:dyDescent="0.2">
      <c r="A87" s="129">
        <v>83</v>
      </c>
      <c r="B87" s="151" t="s">
        <v>330</v>
      </c>
      <c r="C87" s="110" t="s">
        <v>1316</v>
      </c>
      <c r="D87" s="105" t="s">
        <v>232</v>
      </c>
      <c r="E87" s="105">
        <v>300</v>
      </c>
      <c r="F87" s="27"/>
      <c r="G87" s="27"/>
      <c r="H87" s="27"/>
      <c r="I87" s="27"/>
      <c r="J87" s="27"/>
      <c r="K87" s="27"/>
      <c r="L87" s="27"/>
      <c r="M87" s="27"/>
      <c r="N87" s="27"/>
      <c r="O87" s="27"/>
      <c r="P87" s="27"/>
      <c r="Q87" s="27"/>
      <c r="R87" s="27"/>
      <c r="S87" s="27"/>
      <c r="T87" s="27"/>
      <c r="U87" s="27"/>
      <c r="V87" s="27"/>
      <c r="W87" s="27"/>
      <c r="X87" s="27"/>
      <c r="Y87" s="27"/>
      <c r="Z87" s="27"/>
      <c r="AA87" s="27"/>
      <c r="AB87" s="27"/>
      <c r="AC87" s="27"/>
      <c r="AD87" s="27"/>
      <c r="AE87" s="27"/>
      <c r="AF87" s="27"/>
      <c r="AG87" s="27"/>
      <c r="AH87" s="27"/>
      <c r="AI87" s="27"/>
      <c r="AJ87" s="27"/>
      <c r="AK87" s="27"/>
      <c r="AL87" s="27"/>
      <c r="AM87" s="27"/>
      <c r="AN87" s="27"/>
      <c r="AO87" s="27"/>
      <c r="AP87" s="27"/>
      <c r="AQ87" s="27"/>
      <c r="AR87" s="27"/>
      <c r="AS87" s="27"/>
      <c r="AT87" s="27"/>
      <c r="AU87" s="27"/>
      <c r="AV87" s="27"/>
      <c r="AW87" s="27"/>
      <c r="AX87" s="27"/>
      <c r="AY87" s="27"/>
      <c r="AZ87" s="27"/>
      <c r="BA87" s="27"/>
      <c r="BB87" s="27"/>
      <c r="BC87" s="27"/>
      <c r="BD87" s="27"/>
      <c r="BE87" s="27"/>
      <c r="BF87" s="27"/>
      <c r="BG87" s="27"/>
      <c r="BH87" s="27"/>
      <c r="BI87" s="27"/>
      <c r="BJ87" s="27"/>
      <c r="BK87" s="27"/>
      <c r="BL87" s="27"/>
      <c r="BM87" s="27"/>
      <c r="BN87" s="27"/>
      <c r="BO87" s="27"/>
      <c r="BP87" s="27"/>
      <c r="BQ87" s="27"/>
      <c r="BR87" s="27"/>
      <c r="BS87" s="27"/>
      <c r="BT87" s="13">
        <f>27000+(27000*19%)</f>
        <v>32130</v>
      </c>
      <c r="BU87" s="71">
        <f>((BT87*5.1%)+BT87)</f>
        <v>33768.629999999997</v>
      </c>
      <c r="BV87" s="13">
        <v>40200</v>
      </c>
      <c r="BW87" s="71">
        <f>((BV87*5.1%)+BV87)</f>
        <v>42250.2</v>
      </c>
      <c r="BX87" s="13">
        <v>26775</v>
      </c>
      <c r="BY87" s="71">
        <f t="shared" si="30"/>
        <v>28140.525000000001</v>
      </c>
      <c r="BZ87" s="27"/>
      <c r="CA87" s="27"/>
      <c r="CB87" s="27"/>
      <c r="CC87" s="27"/>
      <c r="CD87" s="27"/>
      <c r="CE87" s="27"/>
      <c r="CF87" s="54"/>
      <c r="CG87" s="54"/>
      <c r="CH87" s="54"/>
      <c r="CI87" s="54"/>
      <c r="CJ87" s="54"/>
      <c r="CK87" s="54"/>
      <c r="CL87" s="54"/>
      <c r="CM87" s="54"/>
      <c r="CN87" s="54"/>
      <c r="CO87" s="54"/>
      <c r="CP87" s="54"/>
      <c r="CQ87" s="54"/>
      <c r="CR87" s="107">
        <f t="shared" ref="CR87:CR101" si="31">MEDIAN(G87,I87,K87,M87,P87,S87,U87,W87,Y87,AA87,AC87,AE87,AG87,AI87,AL87,AO87,AR87,AU87,AX87,BA87,BD87,BG87,BJ87,BM87,BP87,BS87,BU87,BW87,BY87,CA87,CC87,CD87,CE87,CF87,CG87,CH87,CK87,CN87,CQ87)</f>
        <v>33768.629999999997</v>
      </c>
      <c r="CS87" s="107">
        <f t="shared" ref="CS87:CS101" si="32">AVERAGE(G87,I87,K87,M87,P87,S87,U87,W87,Y87,AA87,AC87,AE87,AG87,AI87,AL87,AO87,AR87,AU87,AX87,BA87,BD87,BG87,BJ87,BM87,BP87,BS87,BU87,BW87,BY87,CA87,CC87,CD87,CE87,CF87,CG87,CH87,CK87,CN87,CQ87)</f>
        <v>34719.784999999996</v>
      </c>
      <c r="CT87" s="108">
        <f t="shared" ref="CT87:CT101" si="33">STDEV(G87,I87,K87,M87,P87,S87,U87,W87,Y87,AA87,AC87,AE87,AG87,AI87,AL87,AO87,AR87,AU87,AX87,BA87,BD87,BG87,BJ87,BM87,BP87,BS87,BU87,BW87,BY87,CA87,CC87,CD87,CE87,CF87,CG87,CH87,CK87,CN87,CQ87)</f>
        <v>7102.7638301526913</v>
      </c>
      <c r="CU87" s="65">
        <f t="shared" si="24"/>
        <v>0.20457395776364087</v>
      </c>
      <c r="CV87" s="66">
        <f t="shared" si="25"/>
        <v>28377.310924369751</v>
      </c>
      <c r="CW87" s="66">
        <f t="shared" si="26"/>
        <v>5391.6890756302528</v>
      </c>
      <c r="CX87" s="128">
        <f t="shared" si="27"/>
        <v>33769</v>
      </c>
      <c r="CY87" s="109">
        <f t="shared" si="23"/>
        <v>10130700</v>
      </c>
      <c r="CZ87" s="110" t="s">
        <v>902</v>
      </c>
    </row>
    <row r="88" spans="1:104" ht="119" x14ac:dyDescent="0.2">
      <c r="A88" s="129">
        <v>84</v>
      </c>
      <c r="B88" s="151" t="s">
        <v>331</v>
      </c>
      <c r="C88" s="110" t="s">
        <v>332</v>
      </c>
      <c r="D88" s="105" t="s">
        <v>232</v>
      </c>
      <c r="E88" s="105">
        <v>25</v>
      </c>
      <c r="F88" s="27"/>
      <c r="G88" s="27"/>
      <c r="H88" s="27"/>
      <c r="I88" s="27"/>
      <c r="J88" s="27"/>
      <c r="K88" s="27"/>
      <c r="L88" s="27"/>
      <c r="M88" s="27"/>
      <c r="N88" s="27"/>
      <c r="O88" s="27"/>
      <c r="P88" s="27"/>
      <c r="Q88" s="27"/>
      <c r="R88" s="27"/>
      <c r="S88" s="27"/>
      <c r="T88" s="27"/>
      <c r="U88" s="27"/>
      <c r="V88" s="27"/>
      <c r="W88" s="27"/>
      <c r="X88" s="27"/>
      <c r="Y88" s="27"/>
      <c r="Z88" s="27"/>
      <c r="AA88" s="27"/>
      <c r="AB88" s="27"/>
      <c r="AC88" s="27"/>
      <c r="AD88" s="27"/>
      <c r="AE88" s="27"/>
      <c r="AF88" s="27"/>
      <c r="AG88" s="27"/>
      <c r="AH88" s="27"/>
      <c r="AI88" s="27"/>
      <c r="AJ88" s="27"/>
      <c r="AK88" s="27"/>
      <c r="AL88" s="27"/>
      <c r="AM88" s="27"/>
      <c r="AN88" s="27"/>
      <c r="AO88" s="27"/>
      <c r="AP88" s="27"/>
      <c r="AQ88" s="27"/>
      <c r="AR88" s="27"/>
      <c r="AS88" s="27"/>
      <c r="AT88" s="27"/>
      <c r="AU88" s="27"/>
      <c r="AV88" s="27"/>
      <c r="AW88" s="27"/>
      <c r="AX88" s="27"/>
      <c r="AY88" s="27"/>
      <c r="AZ88" s="27"/>
      <c r="BA88" s="27"/>
      <c r="BB88" s="27"/>
      <c r="BC88" s="27"/>
      <c r="BD88" s="27"/>
      <c r="BE88" s="27"/>
      <c r="BF88" s="27"/>
      <c r="BG88" s="27"/>
      <c r="BH88" s="27"/>
      <c r="BI88" s="27"/>
      <c r="BJ88" s="27"/>
      <c r="BK88" s="27"/>
      <c r="BL88" s="27"/>
      <c r="BM88" s="27"/>
      <c r="BN88" s="27"/>
      <c r="BO88" s="27"/>
      <c r="BP88" s="27"/>
      <c r="BQ88" s="27"/>
      <c r="BR88" s="27"/>
      <c r="BS88" s="27"/>
      <c r="BT88" s="27"/>
      <c r="BU88" s="27"/>
      <c r="BV88" s="13">
        <v>246381</v>
      </c>
      <c r="BW88" s="71">
        <f>((BV88*5.1%)+BV88)</f>
        <v>258946.43100000001</v>
      </c>
      <c r="BX88" s="13">
        <v>165000</v>
      </c>
      <c r="BY88" s="71">
        <f t="shared" si="30"/>
        <v>173415</v>
      </c>
      <c r="BZ88" s="27"/>
      <c r="CA88" s="27"/>
      <c r="CB88" s="13">
        <v>170000</v>
      </c>
      <c r="CC88" s="71">
        <f>((CB88*5.1%)+CB88)</f>
        <v>178670</v>
      </c>
      <c r="CD88" s="27"/>
      <c r="CE88" s="27"/>
      <c r="CF88" s="54"/>
      <c r="CG88" s="54"/>
      <c r="CH88" s="54"/>
      <c r="CI88" s="54"/>
      <c r="CJ88" s="54"/>
      <c r="CK88" s="54"/>
      <c r="CL88" s="54"/>
      <c r="CM88" s="54"/>
      <c r="CN88" s="54"/>
      <c r="CO88" s="54"/>
      <c r="CP88" s="54"/>
      <c r="CQ88" s="54"/>
      <c r="CR88" s="107">
        <f t="shared" si="31"/>
        <v>178670</v>
      </c>
      <c r="CS88" s="107">
        <f t="shared" si="32"/>
        <v>203677.14366666667</v>
      </c>
      <c r="CT88" s="108">
        <f t="shared" si="33"/>
        <v>47936.670180571818</v>
      </c>
      <c r="CU88" s="65">
        <f t="shared" si="24"/>
        <v>0.2353561588580792</v>
      </c>
      <c r="CV88" s="66">
        <f t="shared" si="25"/>
        <v>150142.85714285716</v>
      </c>
      <c r="CW88" s="66">
        <f t="shared" si="26"/>
        <v>28527.142857142862</v>
      </c>
      <c r="CX88" s="128">
        <f t="shared" si="27"/>
        <v>178670</v>
      </c>
      <c r="CY88" s="109">
        <f t="shared" si="23"/>
        <v>4466750</v>
      </c>
      <c r="CZ88" s="110" t="s">
        <v>902</v>
      </c>
    </row>
    <row r="89" spans="1:104" ht="102" x14ac:dyDescent="0.2">
      <c r="A89" s="129">
        <v>85</v>
      </c>
      <c r="B89" s="151" t="s">
        <v>333</v>
      </c>
      <c r="C89" s="110" t="s">
        <v>334</v>
      </c>
      <c r="D89" s="105" t="s">
        <v>232</v>
      </c>
      <c r="E89" s="105">
        <v>150</v>
      </c>
      <c r="F89" s="27"/>
      <c r="G89" s="27"/>
      <c r="H89" s="27"/>
      <c r="I89" s="27"/>
      <c r="J89" s="27"/>
      <c r="K89" s="27"/>
      <c r="L89" s="27"/>
      <c r="M89" s="27"/>
      <c r="N89" s="27"/>
      <c r="O89" s="27"/>
      <c r="P89" s="27"/>
      <c r="Q89" s="27"/>
      <c r="R89" s="27"/>
      <c r="S89" s="27"/>
      <c r="T89" s="27"/>
      <c r="U89" s="27"/>
      <c r="V89" s="27"/>
      <c r="W89" s="27"/>
      <c r="X89" s="27"/>
      <c r="Y89" s="27"/>
      <c r="Z89" s="27"/>
      <c r="AA89" s="27"/>
      <c r="AB89" s="27"/>
      <c r="AC89" s="27"/>
      <c r="AD89" s="13">
        <f>22000+(22000*19%)</f>
        <v>26180</v>
      </c>
      <c r="AE89" s="71">
        <f>((AD89*5.1%)+AD89)</f>
        <v>27515.18</v>
      </c>
      <c r="AF89" s="27"/>
      <c r="AG89" s="27"/>
      <c r="AH89" s="27"/>
      <c r="AI89" s="27"/>
      <c r="AJ89" s="27"/>
      <c r="AK89" s="27"/>
      <c r="AL89" s="27"/>
      <c r="AM89" s="27"/>
      <c r="AN89" s="27"/>
      <c r="AO89" s="27"/>
      <c r="AP89" s="27"/>
      <c r="AQ89" s="27"/>
      <c r="AR89" s="27"/>
      <c r="AS89" s="27"/>
      <c r="AT89" s="27"/>
      <c r="AU89" s="27"/>
      <c r="AV89" s="27"/>
      <c r="AW89" s="27"/>
      <c r="AX89" s="27"/>
      <c r="AY89" s="27"/>
      <c r="AZ89" s="27"/>
      <c r="BA89" s="27"/>
      <c r="BB89" s="27"/>
      <c r="BC89" s="27"/>
      <c r="BD89" s="27"/>
      <c r="BE89" s="27"/>
      <c r="BF89" s="27"/>
      <c r="BG89" s="27"/>
      <c r="BH89" s="27"/>
      <c r="BI89" s="27"/>
      <c r="BJ89" s="27"/>
      <c r="BK89" s="27"/>
      <c r="BL89" s="27"/>
      <c r="BM89" s="27"/>
      <c r="BN89" s="27"/>
      <c r="BO89" s="27"/>
      <c r="BP89" s="27"/>
      <c r="BQ89" s="27"/>
      <c r="BR89" s="27"/>
      <c r="BS89" s="27"/>
      <c r="BT89" s="13">
        <f>21288+(21288*19%)</f>
        <v>25332.720000000001</v>
      </c>
      <c r="BU89" s="71">
        <f>((BT89*5.1%)+BT89)</f>
        <v>26624.688720000002</v>
      </c>
      <c r="BV89" s="13">
        <v>38600</v>
      </c>
      <c r="BW89" s="71">
        <f>((BV89*5.1%)+BV89)</f>
        <v>40568.6</v>
      </c>
      <c r="BX89" s="13">
        <v>38675</v>
      </c>
      <c r="BY89" s="71">
        <f t="shared" si="30"/>
        <v>40647.425000000003</v>
      </c>
      <c r="BZ89" s="27"/>
      <c r="CA89" s="27"/>
      <c r="CB89" s="27"/>
      <c r="CC89" s="27"/>
      <c r="CD89" s="27"/>
      <c r="CE89" s="27"/>
      <c r="CF89" s="54"/>
      <c r="CG89" s="54"/>
      <c r="CH89" s="54"/>
      <c r="CI89" s="54"/>
      <c r="CJ89" s="54"/>
      <c r="CK89" s="54"/>
      <c r="CL89" s="54"/>
      <c r="CM89" s="54"/>
      <c r="CN89" s="54"/>
      <c r="CO89" s="54"/>
      <c r="CP89" s="54"/>
      <c r="CQ89" s="54"/>
      <c r="CR89" s="107">
        <f t="shared" si="31"/>
        <v>34041.89</v>
      </c>
      <c r="CS89" s="107">
        <f t="shared" si="32"/>
        <v>33838.973429999998</v>
      </c>
      <c r="CT89" s="108">
        <f t="shared" si="33"/>
        <v>7824.7290426982754</v>
      </c>
      <c r="CU89" s="65">
        <f t="shared" si="24"/>
        <v>0.23123423229385703</v>
      </c>
      <c r="CV89" s="66">
        <f t="shared" si="25"/>
        <v>28606.722689075632</v>
      </c>
      <c r="CW89" s="66">
        <f t="shared" si="26"/>
        <v>5435.2773109243699</v>
      </c>
      <c r="CX89" s="128">
        <f t="shared" si="27"/>
        <v>34042</v>
      </c>
      <c r="CY89" s="109">
        <f t="shared" si="23"/>
        <v>5106300</v>
      </c>
      <c r="CZ89" s="110" t="s">
        <v>902</v>
      </c>
    </row>
    <row r="90" spans="1:104" ht="170" x14ac:dyDescent="0.2">
      <c r="A90" s="129">
        <v>86</v>
      </c>
      <c r="B90" s="151" t="s">
        <v>1123</v>
      </c>
      <c r="C90" s="110" t="s">
        <v>1122</v>
      </c>
      <c r="D90" s="105" t="s">
        <v>223</v>
      </c>
      <c r="E90" s="105">
        <v>60</v>
      </c>
      <c r="F90" s="27"/>
      <c r="G90" s="27"/>
      <c r="H90" s="27"/>
      <c r="I90" s="27"/>
      <c r="J90" s="27"/>
      <c r="K90" s="27"/>
      <c r="L90" s="27"/>
      <c r="M90" s="27"/>
      <c r="N90" s="27"/>
      <c r="O90" s="27"/>
      <c r="P90" s="27"/>
      <c r="Q90" s="27"/>
      <c r="R90" s="27"/>
      <c r="S90" s="27"/>
      <c r="T90" s="27"/>
      <c r="U90" s="27"/>
      <c r="V90" s="27"/>
      <c r="W90" s="27"/>
      <c r="X90" s="27"/>
      <c r="Y90" s="27"/>
      <c r="Z90" s="27"/>
      <c r="AA90" s="27"/>
      <c r="AB90" s="27"/>
      <c r="AC90" s="27"/>
      <c r="AD90" s="27"/>
      <c r="AE90" s="27"/>
      <c r="AF90" s="27"/>
      <c r="AG90" s="27"/>
      <c r="AH90" s="27"/>
      <c r="AI90" s="27"/>
      <c r="AJ90" s="27"/>
      <c r="AK90" s="27"/>
      <c r="AL90" s="27"/>
      <c r="AM90" s="27"/>
      <c r="AN90" s="27"/>
      <c r="AO90" s="27"/>
      <c r="AP90" s="27"/>
      <c r="AQ90" s="27"/>
      <c r="AR90" s="27"/>
      <c r="AS90" s="27"/>
      <c r="AT90" s="27"/>
      <c r="AU90" s="27"/>
      <c r="AV90" s="27"/>
      <c r="AW90" s="27"/>
      <c r="AX90" s="27"/>
      <c r="AY90" s="27"/>
      <c r="AZ90" s="27"/>
      <c r="BA90" s="27"/>
      <c r="BB90" s="27"/>
      <c r="BC90" s="27"/>
      <c r="BD90" s="27"/>
      <c r="BE90" s="27"/>
      <c r="BF90" s="27"/>
      <c r="BG90" s="27"/>
      <c r="BH90" s="27"/>
      <c r="BI90" s="27"/>
      <c r="BJ90" s="27"/>
      <c r="BK90" s="27"/>
      <c r="BL90" s="27"/>
      <c r="BM90" s="27"/>
      <c r="BN90" s="27"/>
      <c r="BO90" s="27"/>
      <c r="BP90" s="27"/>
      <c r="BQ90" s="27"/>
      <c r="BR90" s="27"/>
      <c r="BS90" s="27"/>
      <c r="BT90" s="27"/>
      <c r="BU90" s="27"/>
      <c r="BV90" s="27"/>
      <c r="BW90" s="27"/>
      <c r="BX90" s="27"/>
      <c r="BY90" s="27"/>
      <c r="BZ90" s="27"/>
      <c r="CA90" s="27"/>
      <c r="CB90" s="27"/>
      <c r="CC90" s="27"/>
      <c r="CD90" s="27"/>
      <c r="CE90" s="45">
        <v>98415</v>
      </c>
      <c r="CF90" s="54"/>
      <c r="CG90" s="45">
        <v>167099.79999999999</v>
      </c>
      <c r="CH90" s="45">
        <v>158000</v>
      </c>
      <c r="CI90" s="45"/>
      <c r="CJ90" s="45"/>
      <c r="CK90" s="45"/>
      <c r="CL90" s="45"/>
      <c r="CM90" s="45"/>
      <c r="CN90" s="45"/>
      <c r="CO90" s="45"/>
      <c r="CP90" s="45"/>
      <c r="CQ90" s="45"/>
      <c r="CR90" s="107">
        <f t="shared" si="31"/>
        <v>158000</v>
      </c>
      <c r="CS90" s="107">
        <f t="shared" si="32"/>
        <v>141171.6</v>
      </c>
      <c r="CT90" s="108">
        <f t="shared" si="33"/>
        <v>37306.791910857202</v>
      </c>
      <c r="CU90" s="65">
        <f t="shared" si="24"/>
        <v>0.26426555986372047</v>
      </c>
      <c r="CV90" s="66">
        <f t="shared" si="25"/>
        <v>132773.10924369749</v>
      </c>
      <c r="CW90" s="66">
        <f t="shared" si="26"/>
        <v>25226.890756302524</v>
      </c>
      <c r="CX90" s="128">
        <f t="shared" si="27"/>
        <v>158000</v>
      </c>
      <c r="CY90" s="109">
        <f t="shared" si="23"/>
        <v>9480000</v>
      </c>
      <c r="CZ90" s="110" t="s">
        <v>902</v>
      </c>
    </row>
    <row r="91" spans="1:104" ht="147" customHeight="1" x14ac:dyDescent="0.2">
      <c r="A91" s="129">
        <v>87</v>
      </c>
      <c r="B91" s="151" t="s">
        <v>335</v>
      </c>
      <c r="C91" s="110" t="s">
        <v>882</v>
      </c>
      <c r="D91" s="105" t="s">
        <v>223</v>
      </c>
      <c r="E91" s="105">
        <v>15</v>
      </c>
      <c r="F91" s="27"/>
      <c r="G91" s="27"/>
      <c r="H91" s="27"/>
      <c r="I91" s="27"/>
      <c r="J91" s="27"/>
      <c r="K91" s="27"/>
      <c r="L91" s="27"/>
      <c r="M91" s="27"/>
      <c r="N91" s="27"/>
      <c r="O91" s="27"/>
      <c r="P91" s="27"/>
      <c r="Q91" s="27"/>
      <c r="R91" s="27"/>
      <c r="S91" s="27"/>
      <c r="T91" s="27"/>
      <c r="U91" s="27"/>
      <c r="V91" s="27"/>
      <c r="W91" s="27"/>
      <c r="X91" s="27"/>
      <c r="Y91" s="27"/>
      <c r="Z91" s="27"/>
      <c r="AA91" s="27"/>
      <c r="AB91" s="27"/>
      <c r="AC91" s="27"/>
      <c r="AD91" s="27"/>
      <c r="AE91" s="27"/>
      <c r="AF91" s="27"/>
      <c r="AG91" s="27"/>
      <c r="AH91" s="27"/>
      <c r="AI91" s="27"/>
      <c r="AJ91" s="69">
        <v>61596.638655462186</v>
      </c>
      <c r="AK91" s="69">
        <f>AJ91*19%</f>
        <v>11703.361344537816</v>
      </c>
      <c r="AL91" s="69">
        <f>AJ91*1.36</f>
        <v>83771.42857142858</v>
      </c>
      <c r="AM91" s="27"/>
      <c r="AN91" s="27"/>
      <c r="AO91" s="27"/>
      <c r="AP91" s="69">
        <v>58823.529411764706</v>
      </c>
      <c r="AQ91" s="69">
        <f>AP91*19%</f>
        <v>11176.470588235294</v>
      </c>
      <c r="AR91" s="69">
        <f>AP91*1.36</f>
        <v>80000</v>
      </c>
      <c r="AS91" s="27"/>
      <c r="AT91" s="27"/>
      <c r="AU91" s="27"/>
      <c r="AV91" s="27"/>
      <c r="AW91" s="27"/>
      <c r="AX91" s="27"/>
      <c r="AY91" s="27"/>
      <c r="AZ91" s="27"/>
      <c r="BA91" s="27"/>
      <c r="BB91" s="27"/>
      <c r="BC91" s="27"/>
      <c r="BD91" s="27"/>
      <c r="BE91" s="27"/>
      <c r="BF91" s="27"/>
      <c r="BG91" s="27"/>
      <c r="BH91" s="69">
        <v>73865.546218487405</v>
      </c>
      <c r="BI91" s="69">
        <f>BH91*19%</f>
        <v>14034.453781512608</v>
      </c>
      <c r="BJ91" s="69">
        <f>BH91*1.36</f>
        <v>100457.14285714288</v>
      </c>
      <c r="BK91" s="27"/>
      <c r="BL91" s="27"/>
      <c r="BM91" s="27"/>
      <c r="BN91" s="27"/>
      <c r="BO91" s="27"/>
      <c r="BP91" s="27"/>
      <c r="BQ91" s="27"/>
      <c r="BR91" s="27"/>
      <c r="BS91" s="27"/>
      <c r="BT91" s="27"/>
      <c r="BU91" s="27"/>
      <c r="BV91" s="27"/>
      <c r="BW91" s="27"/>
      <c r="BX91" s="27"/>
      <c r="BY91" s="27"/>
      <c r="BZ91" s="27"/>
      <c r="CA91" s="27"/>
      <c r="CB91" s="74"/>
      <c r="CC91" s="71"/>
      <c r="CD91" s="71"/>
      <c r="CE91" s="71"/>
      <c r="CF91" s="54"/>
      <c r="CG91" s="54"/>
      <c r="CH91" s="54"/>
      <c r="CI91" s="54"/>
      <c r="CJ91" s="54"/>
      <c r="CK91" s="54"/>
      <c r="CL91" s="54"/>
      <c r="CM91" s="54"/>
      <c r="CN91" s="54"/>
      <c r="CO91" s="54"/>
      <c r="CP91" s="54"/>
      <c r="CQ91" s="54"/>
      <c r="CR91" s="107">
        <f t="shared" si="31"/>
        <v>83771.42857142858</v>
      </c>
      <c r="CS91" s="107">
        <f t="shared" si="32"/>
        <v>88076.190476190488</v>
      </c>
      <c r="CT91" s="108">
        <f t="shared" si="33"/>
        <v>10886.776601083709</v>
      </c>
      <c r="CU91" s="65">
        <f t="shared" si="24"/>
        <v>0.12360635198029729</v>
      </c>
      <c r="CV91" s="66">
        <f t="shared" si="25"/>
        <v>74014.285714285725</v>
      </c>
      <c r="CW91" s="66">
        <f t="shared" si="26"/>
        <v>14062.714285714288</v>
      </c>
      <c r="CX91" s="128">
        <f t="shared" si="27"/>
        <v>88077</v>
      </c>
      <c r="CY91" s="109">
        <f t="shared" si="23"/>
        <v>1321155</v>
      </c>
      <c r="CZ91" s="110" t="s">
        <v>903</v>
      </c>
    </row>
    <row r="92" spans="1:104" ht="119" x14ac:dyDescent="0.2">
      <c r="A92" s="129">
        <v>88</v>
      </c>
      <c r="B92" s="151" t="s">
        <v>336</v>
      </c>
      <c r="C92" s="110" t="s">
        <v>1095</v>
      </c>
      <c r="D92" s="105" t="s">
        <v>232</v>
      </c>
      <c r="E92" s="105">
        <v>150</v>
      </c>
      <c r="F92" s="27"/>
      <c r="G92" s="27"/>
      <c r="H92" s="27"/>
      <c r="I92" s="27"/>
      <c r="J92" s="27"/>
      <c r="K92" s="27"/>
      <c r="L92" s="27"/>
      <c r="M92" s="27"/>
      <c r="N92" s="27"/>
      <c r="O92" s="27"/>
      <c r="P92" s="27"/>
      <c r="Q92" s="27"/>
      <c r="R92" s="27"/>
      <c r="S92" s="27"/>
      <c r="T92" s="27"/>
      <c r="U92" s="27"/>
      <c r="V92" s="27"/>
      <c r="W92" s="27"/>
      <c r="X92" s="27"/>
      <c r="Y92" s="27"/>
      <c r="Z92" s="27"/>
      <c r="AA92" s="27"/>
      <c r="AB92" s="27"/>
      <c r="AC92" s="27"/>
      <c r="AD92" s="27"/>
      <c r="AE92" s="27"/>
      <c r="AF92" s="27"/>
      <c r="AG92" s="27"/>
      <c r="AH92" s="27"/>
      <c r="AI92" s="27"/>
      <c r="AJ92" s="27"/>
      <c r="AK92" s="27"/>
      <c r="AL92" s="27"/>
      <c r="AM92" s="27"/>
      <c r="AN92" s="27"/>
      <c r="AO92" s="27"/>
      <c r="AP92" s="27"/>
      <c r="AQ92" s="27"/>
      <c r="AR92" s="27"/>
      <c r="AS92" s="27"/>
      <c r="AT92" s="27"/>
      <c r="AU92" s="27"/>
      <c r="AV92" s="27"/>
      <c r="AW92" s="27"/>
      <c r="AX92" s="27"/>
      <c r="AY92" s="27"/>
      <c r="AZ92" s="27"/>
      <c r="BA92" s="27"/>
      <c r="BB92" s="27"/>
      <c r="BC92" s="27"/>
      <c r="BD92" s="27"/>
      <c r="BE92" s="27"/>
      <c r="BF92" s="27"/>
      <c r="BG92" s="27"/>
      <c r="BH92" s="27"/>
      <c r="BI92" s="27"/>
      <c r="BJ92" s="27"/>
      <c r="BK92" s="27"/>
      <c r="BL92" s="27"/>
      <c r="BM92" s="27"/>
      <c r="BN92" s="27"/>
      <c r="BO92" s="27"/>
      <c r="BP92" s="27"/>
      <c r="BQ92" s="27"/>
      <c r="BR92" s="27"/>
      <c r="BS92" s="27"/>
      <c r="BT92" s="27"/>
      <c r="BU92" s="27"/>
      <c r="BV92" s="27"/>
      <c r="BW92" s="27"/>
      <c r="BX92" s="27"/>
      <c r="BY92" s="27"/>
      <c r="BZ92" s="27"/>
      <c r="CA92" s="27"/>
      <c r="CB92" s="27"/>
      <c r="CC92" s="27"/>
      <c r="CD92" s="27"/>
      <c r="CE92" s="45">
        <v>263115</v>
      </c>
      <c r="CF92" s="54"/>
      <c r="CG92" s="45">
        <v>205334.5</v>
      </c>
      <c r="CH92" s="45">
        <v>193000</v>
      </c>
      <c r="CI92" s="45"/>
      <c r="CJ92" s="45"/>
      <c r="CK92" s="45"/>
      <c r="CL92" s="45"/>
      <c r="CM92" s="45"/>
      <c r="CN92" s="45"/>
      <c r="CO92" s="45"/>
      <c r="CP92" s="45"/>
      <c r="CQ92" s="45"/>
      <c r="CR92" s="107">
        <f t="shared" si="31"/>
        <v>205334.5</v>
      </c>
      <c r="CS92" s="107">
        <f t="shared" si="32"/>
        <v>220483.16666666666</v>
      </c>
      <c r="CT92" s="108">
        <f t="shared" si="33"/>
        <v>37431.803090197624</v>
      </c>
      <c r="CU92" s="65">
        <f t="shared" si="24"/>
        <v>0.16977170482492296</v>
      </c>
      <c r="CV92" s="66">
        <f t="shared" si="25"/>
        <v>172550.42016806724</v>
      </c>
      <c r="CW92" s="66">
        <f t="shared" si="26"/>
        <v>32784.579831932773</v>
      </c>
      <c r="CX92" s="128">
        <f t="shared" si="27"/>
        <v>205335</v>
      </c>
      <c r="CY92" s="109">
        <f t="shared" si="23"/>
        <v>30800250</v>
      </c>
      <c r="CZ92" s="110" t="s">
        <v>902</v>
      </c>
    </row>
    <row r="93" spans="1:104" ht="187" x14ac:dyDescent="0.2">
      <c r="A93" s="129">
        <v>89</v>
      </c>
      <c r="B93" s="151" t="s">
        <v>337</v>
      </c>
      <c r="C93" s="110" t="s">
        <v>1096</v>
      </c>
      <c r="D93" s="105" t="s">
        <v>232</v>
      </c>
      <c r="E93" s="105">
        <v>30</v>
      </c>
      <c r="F93" s="27"/>
      <c r="G93" s="27"/>
      <c r="H93" s="27"/>
      <c r="I93" s="27"/>
      <c r="J93" s="27"/>
      <c r="K93" s="27"/>
      <c r="L93" s="27"/>
      <c r="M93" s="27"/>
      <c r="N93" s="69">
        <v>252016.8067226891</v>
      </c>
      <c r="O93" s="69">
        <f>N93*19%</f>
        <v>47883.193277310929</v>
      </c>
      <c r="P93" s="69">
        <f>N93*1.36</f>
        <v>342742.85714285722</v>
      </c>
      <c r="Q93" s="27"/>
      <c r="R93" s="27"/>
      <c r="S93" s="27"/>
      <c r="T93" s="27"/>
      <c r="U93" s="27"/>
      <c r="V93" s="27"/>
      <c r="W93" s="27"/>
      <c r="X93" s="27"/>
      <c r="Y93" s="27"/>
      <c r="Z93" s="27"/>
      <c r="AA93" s="27"/>
      <c r="AB93" s="27"/>
      <c r="AC93" s="27"/>
      <c r="AD93" s="27"/>
      <c r="AE93" s="27"/>
      <c r="AF93" s="27"/>
      <c r="AG93" s="27"/>
      <c r="AH93" s="27"/>
      <c r="AI93" s="27"/>
      <c r="AJ93" s="69">
        <v>252016.8067226891</v>
      </c>
      <c r="AK93" s="69">
        <f>AJ93*19%</f>
        <v>47883.193277310929</v>
      </c>
      <c r="AL93" s="69">
        <f>AJ93*1.36</f>
        <v>342742.85714285722</v>
      </c>
      <c r="AM93" s="27"/>
      <c r="AN93" s="27"/>
      <c r="AO93" s="27"/>
      <c r="AP93" s="27"/>
      <c r="AQ93" s="27"/>
      <c r="AR93" s="27"/>
      <c r="AS93" s="27"/>
      <c r="AT93" s="27"/>
      <c r="AU93" s="27"/>
      <c r="AV93" s="27"/>
      <c r="AW93" s="27"/>
      <c r="AX93" s="27"/>
      <c r="AY93" s="27"/>
      <c r="AZ93" s="27"/>
      <c r="BA93" s="27"/>
      <c r="BB93" s="27"/>
      <c r="BC93" s="27"/>
      <c r="BD93" s="27"/>
      <c r="BE93" s="27"/>
      <c r="BF93" s="27"/>
      <c r="BG93" s="27"/>
      <c r="BH93" s="27"/>
      <c r="BI93" s="27"/>
      <c r="BJ93" s="27"/>
      <c r="BK93" s="27"/>
      <c r="BL93" s="27"/>
      <c r="BM93" s="27"/>
      <c r="BN93" s="27"/>
      <c r="BO93" s="27"/>
      <c r="BP93" s="27"/>
      <c r="BQ93" s="27"/>
      <c r="BR93" s="27"/>
      <c r="BS93" s="27"/>
      <c r="BT93" s="27"/>
      <c r="BU93" s="27"/>
      <c r="BV93" s="27"/>
      <c r="BW93" s="27"/>
      <c r="BX93" s="27"/>
      <c r="BY93" s="27"/>
      <c r="BZ93" s="27"/>
      <c r="CA93" s="27"/>
      <c r="CB93" s="27"/>
      <c r="CC93" s="27"/>
      <c r="CD93" s="27"/>
      <c r="CE93" s="45">
        <v>296865</v>
      </c>
      <c r="CF93" s="54"/>
      <c r="CG93" s="45"/>
      <c r="CH93" s="45"/>
      <c r="CI93" s="45"/>
      <c r="CJ93" s="45"/>
      <c r="CK93" s="45"/>
      <c r="CL93" s="45"/>
      <c r="CM93" s="45"/>
      <c r="CN93" s="45"/>
      <c r="CO93" s="45"/>
      <c r="CP93" s="45"/>
      <c r="CQ93" s="45"/>
      <c r="CR93" s="107">
        <f t="shared" si="31"/>
        <v>342742.85714285722</v>
      </c>
      <c r="CS93" s="107">
        <f t="shared" si="32"/>
        <v>327450.23809523816</v>
      </c>
      <c r="CT93" s="108">
        <f t="shared" si="33"/>
        <v>26487.593171271808</v>
      </c>
      <c r="CU93" s="65">
        <f t="shared" si="24"/>
        <v>8.0890437965013634E-2</v>
      </c>
      <c r="CV93" s="66">
        <f t="shared" si="25"/>
        <v>275168.90756302525</v>
      </c>
      <c r="CW93" s="66">
        <f t="shared" si="26"/>
        <v>52282.092436974795</v>
      </c>
      <c r="CX93" s="128">
        <f t="shared" si="27"/>
        <v>327451</v>
      </c>
      <c r="CY93" s="109">
        <f t="shared" si="23"/>
        <v>9823530</v>
      </c>
      <c r="CZ93" s="110" t="s">
        <v>903</v>
      </c>
    </row>
    <row r="94" spans="1:104" ht="51" x14ac:dyDescent="0.2">
      <c r="A94" s="129">
        <v>90</v>
      </c>
      <c r="B94" s="151" t="s">
        <v>338</v>
      </c>
      <c r="C94" s="110" t="s">
        <v>339</v>
      </c>
      <c r="D94" s="105" t="s">
        <v>232</v>
      </c>
      <c r="E94" s="105">
        <v>50</v>
      </c>
      <c r="F94" s="27"/>
      <c r="G94" s="27"/>
      <c r="H94" s="27"/>
      <c r="I94" s="27"/>
      <c r="J94" s="27"/>
      <c r="K94" s="27"/>
      <c r="L94" s="27"/>
      <c r="M94" s="27"/>
      <c r="N94" s="27"/>
      <c r="O94" s="27"/>
      <c r="P94" s="27"/>
      <c r="Q94" s="27"/>
      <c r="R94" s="27"/>
      <c r="S94" s="27"/>
      <c r="T94" s="27"/>
      <c r="U94" s="27"/>
      <c r="V94" s="27"/>
      <c r="W94" s="27"/>
      <c r="X94" s="27"/>
      <c r="Y94" s="27"/>
      <c r="Z94" s="27"/>
      <c r="AA94" s="27"/>
      <c r="AB94" s="27"/>
      <c r="AC94" s="27"/>
      <c r="AD94" s="27"/>
      <c r="AE94" s="27"/>
      <c r="AF94" s="27"/>
      <c r="AG94" s="27"/>
      <c r="AH94" s="27"/>
      <c r="AI94" s="27"/>
      <c r="AJ94" s="27"/>
      <c r="AK94" s="27"/>
      <c r="AL94" s="27"/>
      <c r="AM94" s="27"/>
      <c r="AN94" s="27"/>
      <c r="AO94" s="27"/>
      <c r="AP94" s="27"/>
      <c r="AQ94" s="27"/>
      <c r="AR94" s="27"/>
      <c r="AS94" s="27"/>
      <c r="AT94" s="27"/>
      <c r="AU94" s="27"/>
      <c r="AV94" s="27"/>
      <c r="AW94" s="27"/>
      <c r="AX94" s="27"/>
      <c r="AY94" s="27"/>
      <c r="AZ94" s="27"/>
      <c r="BA94" s="27"/>
      <c r="BB94" s="27"/>
      <c r="BC94" s="27"/>
      <c r="BD94" s="27"/>
      <c r="BE94" s="27"/>
      <c r="BF94" s="27"/>
      <c r="BG94" s="27"/>
      <c r="BH94" s="27"/>
      <c r="BI94" s="27"/>
      <c r="BJ94" s="27"/>
      <c r="BK94" s="27"/>
      <c r="BL94" s="27"/>
      <c r="BM94" s="27"/>
      <c r="BN94" s="27"/>
      <c r="BO94" s="27"/>
      <c r="BP94" s="27"/>
      <c r="BQ94" s="27"/>
      <c r="BR94" s="27"/>
      <c r="BS94" s="27"/>
      <c r="BT94" s="27"/>
      <c r="BU94" s="27"/>
      <c r="BV94" s="27"/>
      <c r="BW94" s="27"/>
      <c r="BX94" s="27"/>
      <c r="BY94" s="27"/>
      <c r="BZ94" s="27"/>
      <c r="CA94" s="27"/>
      <c r="CB94" s="27"/>
      <c r="CC94" s="27"/>
      <c r="CD94" s="27"/>
      <c r="CE94" s="45">
        <v>99360</v>
      </c>
      <c r="CF94" s="54"/>
      <c r="CG94" s="45">
        <v>120368.5</v>
      </c>
      <c r="CH94" s="45">
        <v>130000</v>
      </c>
      <c r="CI94" s="45"/>
      <c r="CJ94" s="45"/>
      <c r="CK94" s="45"/>
      <c r="CL94" s="45"/>
      <c r="CM94" s="45"/>
      <c r="CN94" s="45"/>
      <c r="CO94" s="45"/>
      <c r="CP94" s="45"/>
      <c r="CQ94" s="45"/>
      <c r="CR94" s="107">
        <f t="shared" si="31"/>
        <v>120368.5</v>
      </c>
      <c r="CS94" s="107">
        <f t="shared" si="32"/>
        <v>116576.16666666667</v>
      </c>
      <c r="CT94" s="108">
        <f t="shared" si="33"/>
        <v>15668.080421140685</v>
      </c>
      <c r="CU94" s="65">
        <f t="shared" si="24"/>
        <v>0.13440208980229537</v>
      </c>
      <c r="CV94" s="66">
        <f t="shared" si="25"/>
        <v>97963.865546218498</v>
      </c>
      <c r="CW94" s="66">
        <f t="shared" si="26"/>
        <v>18613.134453781517</v>
      </c>
      <c r="CX94" s="128">
        <f t="shared" si="27"/>
        <v>116577</v>
      </c>
      <c r="CY94" s="109">
        <f t="shared" si="23"/>
        <v>5828850</v>
      </c>
      <c r="CZ94" s="110" t="s">
        <v>903</v>
      </c>
    </row>
    <row r="95" spans="1:104" ht="51" x14ac:dyDescent="0.2">
      <c r="A95" s="129">
        <v>91</v>
      </c>
      <c r="B95" s="151" t="s">
        <v>338</v>
      </c>
      <c r="C95" s="110" t="s">
        <v>340</v>
      </c>
      <c r="D95" s="105" t="s">
        <v>232</v>
      </c>
      <c r="E95" s="105">
        <v>50</v>
      </c>
      <c r="F95" s="27"/>
      <c r="G95" s="27"/>
      <c r="H95" s="27"/>
      <c r="I95" s="27"/>
      <c r="J95" s="27"/>
      <c r="K95" s="27"/>
      <c r="L95" s="27"/>
      <c r="M95" s="27"/>
      <c r="N95" s="27"/>
      <c r="O95" s="27"/>
      <c r="P95" s="27"/>
      <c r="Q95" s="27"/>
      <c r="R95" s="27"/>
      <c r="S95" s="27"/>
      <c r="T95" s="27"/>
      <c r="U95" s="27"/>
      <c r="V95" s="27"/>
      <c r="W95" s="27"/>
      <c r="X95" s="27"/>
      <c r="Y95" s="27"/>
      <c r="Z95" s="27"/>
      <c r="AA95" s="27"/>
      <c r="AB95" s="27"/>
      <c r="AC95" s="27"/>
      <c r="AD95" s="27"/>
      <c r="AE95" s="27"/>
      <c r="AF95" s="27"/>
      <c r="AG95" s="27"/>
      <c r="AH95" s="27"/>
      <c r="AI95" s="27"/>
      <c r="AJ95" s="27"/>
      <c r="AK95" s="27"/>
      <c r="AL95" s="27"/>
      <c r="AM95" s="27"/>
      <c r="AN95" s="27"/>
      <c r="AO95" s="27"/>
      <c r="AP95" s="27"/>
      <c r="AQ95" s="27"/>
      <c r="AR95" s="27"/>
      <c r="AS95" s="27"/>
      <c r="AT95" s="27"/>
      <c r="AU95" s="27"/>
      <c r="AV95" s="27"/>
      <c r="AW95" s="27"/>
      <c r="AX95" s="27"/>
      <c r="AY95" s="27"/>
      <c r="AZ95" s="27"/>
      <c r="BA95" s="27"/>
      <c r="BB95" s="27"/>
      <c r="BC95" s="27"/>
      <c r="BD95" s="27"/>
      <c r="BE95" s="27"/>
      <c r="BF95" s="27"/>
      <c r="BG95" s="27"/>
      <c r="BH95" s="27"/>
      <c r="BI95" s="27"/>
      <c r="BJ95" s="27"/>
      <c r="BK95" s="27"/>
      <c r="BL95" s="27"/>
      <c r="BM95" s="27"/>
      <c r="BN95" s="27"/>
      <c r="BO95" s="27"/>
      <c r="BP95" s="27"/>
      <c r="BQ95" s="27"/>
      <c r="BR95" s="27"/>
      <c r="BS95" s="27"/>
      <c r="BT95" s="27"/>
      <c r="BU95" s="27"/>
      <c r="BV95" s="27"/>
      <c r="BW95" s="27"/>
      <c r="BX95" s="27"/>
      <c r="BY95" s="27"/>
      <c r="BZ95" s="27"/>
      <c r="CA95" s="27"/>
      <c r="CB95" s="27"/>
      <c r="CC95" s="27"/>
      <c r="CD95" s="27"/>
      <c r="CE95" s="45">
        <v>103815</v>
      </c>
      <c r="CF95" s="54"/>
      <c r="CG95" s="45">
        <v>73637.2</v>
      </c>
      <c r="CH95" s="45">
        <v>71000</v>
      </c>
      <c r="CI95" s="45"/>
      <c r="CJ95" s="45"/>
      <c r="CK95" s="45"/>
      <c r="CL95" s="45"/>
      <c r="CM95" s="45"/>
      <c r="CN95" s="45"/>
      <c r="CO95" s="45"/>
      <c r="CP95" s="45"/>
      <c r="CQ95" s="45"/>
      <c r="CR95" s="107">
        <f t="shared" si="31"/>
        <v>73637.2</v>
      </c>
      <c r="CS95" s="107">
        <f t="shared" si="32"/>
        <v>82817.400000000009</v>
      </c>
      <c r="CT95" s="108">
        <f t="shared" si="33"/>
        <v>18232.199820098474</v>
      </c>
      <c r="CU95" s="65">
        <f t="shared" si="24"/>
        <v>0.22014938672426895</v>
      </c>
      <c r="CV95" s="66">
        <f t="shared" si="25"/>
        <v>61880.672268907569</v>
      </c>
      <c r="CW95" s="66">
        <f t="shared" si="26"/>
        <v>11757.327731092439</v>
      </c>
      <c r="CX95" s="128">
        <f t="shared" si="27"/>
        <v>73638</v>
      </c>
      <c r="CY95" s="109">
        <f t="shared" si="23"/>
        <v>3681900</v>
      </c>
      <c r="CZ95" s="110" t="s">
        <v>902</v>
      </c>
    </row>
    <row r="96" spans="1:104" ht="51" x14ac:dyDescent="0.2">
      <c r="A96" s="129">
        <v>92</v>
      </c>
      <c r="B96" s="151" t="s">
        <v>338</v>
      </c>
      <c r="C96" s="110" t="s">
        <v>341</v>
      </c>
      <c r="D96" s="105" t="s">
        <v>232</v>
      </c>
      <c r="E96" s="105">
        <v>50</v>
      </c>
      <c r="F96" s="27"/>
      <c r="G96" s="27"/>
      <c r="H96" s="27"/>
      <c r="I96" s="27"/>
      <c r="J96" s="27"/>
      <c r="K96" s="27"/>
      <c r="L96" s="27"/>
      <c r="M96" s="27"/>
      <c r="N96" s="27"/>
      <c r="O96" s="27"/>
      <c r="P96" s="27"/>
      <c r="Q96" s="27"/>
      <c r="R96" s="27"/>
      <c r="S96" s="27"/>
      <c r="T96" s="27"/>
      <c r="U96" s="27"/>
      <c r="V96" s="27"/>
      <c r="W96" s="27"/>
      <c r="X96" s="27"/>
      <c r="Y96" s="27"/>
      <c r="Z96" s="27"/>
      <c r="AA96" s="27"/>
      <c r="AB96" s="27"/>
      <c r="AC96" s="27"/>
      <c r="AD96" s="27"/>
      <c r="AE96" s="27"/>
      <c r="AF96" s="27"/>
      <c r="AG96" s="27"/>
      <c r="AH96" s="27"/>
      <c r="AI96" s="27"/>
      <c r="AJ96" s="27"/>
      <c r="AK96" s="27"/>
      <c r="AL96" s="27"/>
      <c r="AM96" s="27"/>
      <c r="AN96" s="27"/>
      <c r="AO96" s="27"/>
      <c r="AP96" s="27"/>
      <c r="AQ96" s="27"/>
      <c r="AR96" s="27"/>
      <c r="AS96" s="27"/>
      <c r="AT96" s="27"/>
      <c r="AU96" s="27"/>
      <c r="AV96" s="27"/>
      <c r="AW96" s="27"/>
      <c r="AX96" s="27"/>
      <c r="AY96" s="27"/>
      <c r="AZ96" s="27"/>
      <c r="BA96" s="27"/>
      <c r="BB96" s="27"/>
      <c r="BC96" s="27"/>
      <c r="BD96" s="27"/>
      <c r="BE96" s="27"/>
      <c r="BF96" s="27"/>
      <c r="BG96" s="27"/>
      <c r="BH96" s="27"/>
      <c r="BI96" s="27"/>
      <c r="BJ96" s="27"/>
      <c r="BK96" s="27"/>
      <c r="BL96" s="27"/>
      <c r="BM96" s="27"/>
      <c r="BN96" s="27"/>
      <c r="BO96" s="27"/>
      <c r="BP96" s="27"/>
      <c r="BQ96" s="27"/>
      <c r="BR96" s="27"/>
      <c r="BS96" s="27"/>
      <c r="BT96" s="27"/>
      <c r="BU96" s="27"/>
      <c r="BV96" s="27"/>
      <c r="BW96" s="27"/>
      <c r="BX96" s="27"/>
      <c r="BY96" s="27"/>
      <c r="BZ96" s="27"/>
      <c r="CA96" s="27"/>
      <c r="CB96" s="27"/>
      <c r="CC96" s="27"/>
      <c r="CD96" s="27"/>
      <c r="CE96" s="45">
        <v>106515</v>
      </c>
      <c r="CF96" s="54"/>
      <c r="CG96" s="45">
        <v>96294.8</v>
      </c>
      <c r="CH96" s="45">
        <v>94000</v>
      </c>
      <c r="CI96" s="45"/>
      <c r="CJ96" s="45"/>
      <c r="CK96" s="45"/>
      <c r="CL96" s="45"/>
      <c r="CM96" s="45"/>
      <c r="CN96" s="45"/>
      <c r="CO96" s="45"/>
      <c r="CP96" s="45"/>
      <c r="CQ96" s="45"/>
      <c r="CR96" s="107">
        <f t="shared" si="31"/>
        <v>96294.8</v>
      </c>
      <c r="CS96" s="107">
        <f t="shared" si="32"/>
        <v>98936.599999999991</v>
      </c>
      <c r="CT96" s="108">
        <f t="shared" si="33"/>
        <v>6662.6298621490296</v>
      </c>
      <c r="CU96" s="65">
        <f t="shared" si="24"/>
        <v>6.7342417893368381E-2</v>
      </c>
      <c r="CV96" s="66">
        <f t="shared" si="25"/>
        <v>83140.336134453784</v>
      </c>
      <c r="CW96" s="66">
        <f t="shared" si="26"/>
        <v>15796.663865546219</v>
      </c>
      <c r="CX96" s="128">
        <f t="shared" si="27"/>
        <v>98937</v>
      </c>
      <c r="CY96" s="109">
        <f t="shared" si="23"/>
        <v>4946850</v>
      </c>
      <c r="CZ96" s="110" t="s">
        <v>903</v>
      </c>
    </row>
    <row r="97" spans="1:104" ht="51" x14ac:dyDescent="0.2">
      <c r="A97" s="129">
        <v>93</v>
      </c>
      <c r="B97" s="151" t="s">
        <v>828</v>
      </c>
      <c r="C97" s="110" t="s">
        <v>342</v>
      </c>
      <c r="D97" s="105" t="s">
        <v>232</v>
      </c>
      <c r="E97" s="105">
        <v>200</v>
      </c>
      <c r="F97" s="27"/>
      <c r="G97" s="27"/>
      <c r="H97" s="27"/>
      <c r="I97" s="27"/>
      <c r="J97" s="27"/>
      <c r="K97" s="27"/>
      <c r="L97" s="27"/>
      <c r="M97" s="27"/>
      <c r="N97" s="27"/>
      <c r="O97" s="27"/>
      <c r="P97" s="27"/>
      <c r="Q97" s="27"/>
      <c r="R97" s="27"/>
      <c r="S97" s="27"/>
      <c r="T97" s="27"/>
      <c r="U97" s="27"/>
      <c r="V97" s="27"/>
      <c r="W97" s="27"/>
      <c r="X97" s="27"/>
      <c r="Y97" s="27"/>
      <c r="Z97" s="27"/>
      <c r="AA97" s="27"/>
      <c r="AB97" s="27"/>
      <c r="AC97" s="27"/>
      <c r="AD97" s="27"/>
      <c r="AE97" s="27"/>
      <c r="AF97" s="27"/>
      <c r="AG97" s="27"/>
      <c r="AH97" s="27"/>
      <c r="AI97" s="27"/>
      <c r="AJ97" s="27"/>
      <c r="AK97" s="27"/>
      <c r="AL97" s="27"/>
      <c r="AM97" s="27"/>
      <c r="AN97" s="27"/>
      <c r="AO97" s="27"/>
      <c r="AP97" s="27"/>
      <c r="AQ97" s="27"/>
      <c r="AR97" s="27"/>
      <c r="AS97" s="27"/>
      <c r="AT97" s="27"/>
      <c r="AU97" s="27"/>
      <c r="AV97" s="27"/>
      <c r="AW97" s="27"/>
      <c r="AX97" s="27"/>
      <c r="AY97" s="27"/>
      <c r="AZ97" s="27"/>
      <c r="BA97" s="27"/>
      <c r="BB97" s="27"/>
      <c r="BC97" s="27"/>
      <c r="BD97" s="27"/>
      <c r="BE97" s="27"/>
      <c r="BF97" s="27"/>
      <c r="BG97" s="27"/>
      <c r="BH97" s="27"/>
      <c r="BI97" s="27"/>
      <c r="BJ97" s="27"/>
      <c r="BK97" s="27"/>
      <c r="BL97" s="27"/>
      <c r="BM97" s="27"/>
      <c r="BN97" s="27"/>
      <c r="BO97" s="27"/>
      <c r="BP97" s="27"/>
      <c r="BQ97" s="27"/>
      <c r="BR97" s="27"/>
      <c r="BS97" s="27"/>
      <c r="BT97" s="27"/>
      <c r="BU97" s="27"/>
      <c r="BV97" s="27"/>
      <c r="BW97" s="27"/>
      <c r="BX97" s="27"/>
      <c r="BY97" s="27"/>
      <c r="BZ97" s="27"/>
      <c r="CA97" s="27"/>
      <c r="CB97" s="27"/>
      <c r="CC97" s="27"/>
      <c r="CD97" s="27"/>
      <c r="CE97" s="45">
        <v>7965.0000000000009</v>
      </c>
      <c r="CF97" s="54"/>
      <c r="CG97" s="45">
        <v>13452.949999999999</v>
      </c>
      <c r="CH97" s="45">
        <v>12500</v>
      </c>
      <c r="CI97" s="45"/>
      <c r="CJ97" s="45"/>
      <c r="CK97" s="45"/>
      <c r="CL97" s="45"/>
      <c r="CM97" s="45"/>
      <c r="CN97" s="45"/>
      <c r="CO97" s="45"/>
      <c r="CP97" s="45"/>
      <c r="CQ97" s="45"/>
      <c r="CR97" s="107">
        <f t="shared" si="31"/>
        <v>12500</v>
      </c>
      <c r="CS97" s="107">
        <f t="shared" si="32"/>
        <v>11305.983333333332</v>
      </c>
      <c r="CT97" s="108">
        <f t="shared" si="33"/>
        <v>2932.3464411343584</v>
      </c>
      <c r="CU97" s="65">
        <f t="shared" si="24"/>
        <v>0.25936235307272626</v>
      </c>
      <c r="CV97" s="66">
        <f t="shared" si="25"/>
        <v>10504.20168067227</v>
      </c>
      <c r="CW97" s="66">
        <f t="shared" si="26"/>
        <v>1995.7983193277312</v>
      </c>
      <c r="CX97" s="128">
        <f t="shared" si="27"/>
        <v>12500</v>
      </c>
      <c r="CY97" s="109">
        <f t="shared" si="23"/>
        <v>2500000</v>
      </c>
      <c r="CZ97" s="110" t="s">
        <v>902</v>
      </c>
    </row>
    <row r="98" spans="1:104" ht="51" x14ac:dyDescent="0.2">
      <c r="A98" s="129">
        <v>94</v>
      </c>
      <c r="B98" s="151" t="s">
        <v>829</v>
      </c>
      <c r="C98" s="110" t="s">
        <v>1124</v>
      </c>
      <c r="D98" s="105" t="s">
        <v>232</v>
      </c>
      <c r="E98" s="105">
        <v>31</v>
      </c>
      <c r="F98" s="54"/>
      <c r="G98" s="54"/>
      <c r="H98" s="54"/>
      <c r="I98" s="54"/>
      <c r="J98" s="54"/>
      <c r="K98" s="54"/>
      <c r="L98" s="54"/>
      <c r="M98" s="54"/>
      <c r="N98" s="54"/>
      <c r="O98" s="54"/>
      <c r="P98" s="54"/>
      <c r="Q98" s="54"/>
      <c r="R98" s="54"/>
      <c r="S98" s="54"/>
      <c r="T98" s="54"/>
      <c r="U98" s="54"/>
      <c r="V98" s="54"/>
      <c r="W98" s="54"/>
      <c r="X98" s="54"/>
      <c r="Y98" s="54"/>
      <c r="Z98" s="54"/>
      <c r="AA98" s="54"/>
      <c r="AB98" s="54"/>
      <c r="AC98" s="54"/>
      <c r="AD98" s="54"/>
      <c r="AE98" s="54"/>
      <c r="AF98" s="54"/>
      <c r="AG98" s="54"/>
      <c r="AH98" s="54"/>
      <c r="AI98" s="54"/>
      <c r="AJ98" s="54"/>
      <c r="AK98" s="54"/>
      <c r="AL98" s="54"/>
      <c r="AM98" s="54"/>
      <c r="AN98" s="54"/>
      <c r="AO98" s="54"/>
      <c r="AP98" s="54"/>
      <c r="AQ98" s="54"/>
      <c r="AR98" s="54"/>
      <c r="AS98" s="54"/>
      <c r="AT98" s="54"/>
      <c r="AU98" s="54"/>
      <c r="AV98" s="54"/>
      <c r="AW98" s="54"/>
      <c r="AX98" s="54"/>
      <c r="AY98" s="54"/>
      <c r="AZ98" s="54"/>
      <c r="BA98" s="54"/>
      <c r="BB98" s="54"/>
      <c r="BC98" s="54"/>
      <c r="BD98" s="54"/>
      <c r="BE98" s="54"/>
      <c r="BF98" s="54"/>
      <c r="BG98" s="54"/>
      <c r="BH98" s="54"/>
      <c r="BI98" s="54"/>
      <c r="BJ98" s="54"/>
      <c r="BK98" s="54"/>
      <c r="BL98" s="54"/>
      <c r="BM98" s="54"/>
      <c r="BN98" s="54"/>
      <c r="BO98" s="54"/>
      <c r="BP98" s="54"/>
      <c r="BQ98" s="54"/>
      <c r="BR98" s="54"/>
      <c r="BS98" s="54"/>
      <c r="BT98" s="54"/>
      <c r="BU98" s="54"/>
      <c r="BV98" s="54"/>
      <c r="BW98" s="54"/>
      <c r="BX98" s="54"/>
      <c r="BY98" s="54"/>
      <c r="BZ98" s="54"/>
      <c r="CA98" s="54"/>
      <c r="CB98" s="54"/>
      <c r="CC98" s="54"/>
      <c r="CD98" s="54"/>
      <c r="CE98" s="54"/>
      <c r="CF98" s="54"/>
      <c r="CG98" s="45">
        <v>15470</v>
      </c>
      <c r="CH98" s="45">
        <v>15000</v>
      </c>
      <c r="CI98" s="45"/>
      <c r="CJ98" s="45"/>
      <c r="CK98" s="45"/>
      <c r="CL98" s="45"/>
      <c r="CM98" s="45"/>
      <c r="CN98" s="45"/>
      <c r="CO98" s="45"/>
      <c r="CP98" s="45"/>
      <c r="CQ98" s="45"/>
      <c r="CR98" s="107">
        <f t="shared" si="31"/>
        <v>15235</v>
      </c>
      <c r="CS98" s="107">
        <f t="shared" si="32"/>
        <v>15235</v>
      </c>
      <c r="CT98" s="108">
        <f t="shared" si="33"/>
        <v>332.34018715767735</v>
      </c>
      <c r="CU98" s="65">
        <f t="shared" si="24"/>
        <v>2.1814255802932548E-2</v>
      </c>
      <c r="CV98" s="66">
        <f t="shared" si="25"/>
        <v>12802.521008403362</v>
      </c>
      <c r="CW98" s="66">
        <f t="shared" si="26"/>
        <v>2432.4789915966389</v>
      </c>
      <c r="CX98" s="128">
        <f t="shared" si="27"/>
        <v>15235</v>
      </c>
      <c r="CY98" s="109">
        <f t="shared" si="23"/>
        <v>472285</v>
      </c>
      <c r="CZ98" s="110" t="s">
        <v>903</v>
      </c>
    </row>
    <row r="99" spans="1:104" ht="68" x14ac:dyDescent="0.2">
      <c r="A99" s="129">
        <v>95</v>
      </c>
      <c r="B99" s="151" t="s">
        <v>830</v>
      </c>
      <c r="C99" s="110" t="s">
        <v>1317</v>
      </c>
      <c r="D99" s="105" t="s">
        <v>232</v>
      </c>
      <c r="E99" s="105">
        <v>50</v>
      </c>
      <c r="F99" s="54"/>
      <c r="G99" s="54"/>
      <c r="H99" s="54"/>
      <c r="I99" s="54"/>
      <c r="J99" s="54"/>
      <c r="K99" s="54"/>
      <c r="L99" s="54"/>
      <c r="M99" s="54"/>
      <c r="N99" s="54"/>
      <c r="O99" s="54"/>
      <c r="P99" s="54"/>
      <c r="Q99" s="54"/>
      <c r="R99" s="54"/>
      <c r="S99" s="54"/>
      <c r="T99" s="54"/>
      <c r="U99" s="54"/>
      <c r="V99" s="54"/>
      <c r="W99" s="54"/>
      <c r="X99" s="54"/>
      <c r="Y99" s="54"/>
      <c r="Z99" s="54"/>
      <c r="AA99" s="54"/>
      <c r="AB99" s="54"/>
      <c r="AC99" s="54"/>
      <c r="AD99" s="54"/>
      <c r="AE99" s="54"/>
      <c r="AF99" s="54"/>
      <c r="AG99" s="54"/>
      <c r="AH99" s="54"/>
      <c r="AI99" s="54"/>
      <c r="AJ99" s="54"/>
      <c r="AK99" s="54"/>
      <c r="AL99" s="54"/>
      <c r="AM99" s="54"/>
      <c r="AN99" s="54"/>
      <c r="AO99" s="54"/>
      <c r="AP99" s="54"/>
      <c r="AQ99" s="54"/>
      <c r="AR99" s="54"/>
      <c r="AS99" s="54"/>
      <c r="AT99" s="54"/>
      <c r="AU99" s="54"/>
      <c r="AV99" s="54"/>
      <c r="AW99" s="54"/>
      <c r="AX99" s="54"/>
      <c r="AY99" s="54"/>
      <c r="AZ99" s="54"/>
      <c r="BA99" s="54"/>
      <c r="BB99" s="54"/>
      <c r="BC99" s="54"/>
      <c r="BD99" s="54"/>
      <c r="BE99" s="54"/>
      <c r="BF99" s="54"/>
      <c r="BG99" s="54"/>
      <c r="BH99" s="54"/>
      <c r="BI99" s="54"/>
      <c r="BJ99" s="54"/>
      <c r="BK99" s="54"/>
      <c r="BL99" s="54"/>
      <c r="BM99" s="54"/>
      <c r="BN99" s="54"/>
      <c r="BO99" s="54"/>
      <c r="BP99" s="54"/>
      <c r="BQ99" s="54"/>
      <c r="BR99" s="54"/>
      <c r="BS99" s="54"/>
      <c r="BT99" s="54"/>
      <c r="BU99" s="54"/>
      <c r="BV99" s="54"/>
      <c r="BW99" s="54"/>
      <c r="BX99" s="54"/>
      <c r="BY99" s="54"/>
      <c r="BZ99" s="54"/>
      <c r="CA99" s="54"/>
      <c r="CB99" s="54"/>
      <c r="CC99" s="54"/>
      <c r="CD99" s="54"/>
      <c r="CE99" s="54">
        <v>18765</v>
      </c>
      <c r="CF99" s="54"/>
      <c r="CG99" s="45">
        <v>25489.8</v>
      </c>
      <c r="CH99" s="45">
        <v>23400</v>
      </c>
      <c r="CI99" s="45"/>
      <c r="CJ99" s="45"/>
      <c r="CK99" s="45"/>
      <c r="CL99" s="45"/>
      <c r="CM99" s="45"/>
      <c r="CN99" s="45"/>
      <c r="CO99" s="45"/>
      <c r="CP99" s="45"/>
      <c r="CQ99" s="45"/>
      <c r="CR99" s="107">
        <f t="shared" si="31"/>
        <v>23400</v>
      </c>
      <c r="CS99" s="107">
        <f t="shared" si="32"/>
        <v>22551.600000000002</v>
      </c>
      <c r="CT99" s="108">
        <f t="shared" si="33"/>
        <v>3441.7394846211046</v>
      </c>
      <c r="CU99" s="65">
        <f t="shared" si="24"/>
        <v>0.15261619949897587</v>
      </c>
      <c r="CV99" s="66">
        <f t="shared" si="25"/>
        <v>19663.865546218487</v>
      </c>
      <c r="CW99" s="66">
        <f t="shared" si="26"/>
        <v>3736.1344537815125</v>
      </c>
      <c r="CX99" s="128">
        <f t="shared" si="27"/>
        <v>23400</v>
      </c>
      <c r="CY99" s="109">
        <f t="shared" si="23"/>
        <v>1170000</v>
      </c>
      <c r="CZ99" s="110" t="s">
        <v>903</v>
      </c>
    </row>
    <row r="100" spans="1:104" ht="153" x14ac:dyDescent="0.2">
      <c r="A100" s="129">
        <v>96</v>
      </c>
      <c r="B100" s="151" t="s">
        <v>831</v>
      </c>
      <c r="C100" s="110" t="s">
        <v>1318</v>
      </c>
      <c r="D100" s="105" t="s">
        <v>232</v>
      </c>
      <c r="E100" s="105">
        <v>51</v>
      </c>
      <c r="F100" s="27"/>
      <c r="G100" s="27"/>
      <c r="H100" s="27"/>
      <c r="I100" s="27"/>
      <c r="J100" s="27"/>
      <c r="K100" s="27"/>
      <c r="L100" s="27"/>
      <c r="M100" s="27"/>
      <c r="N100" s="27"/>
      <c r="O100" s="27"/>
      <c r="P100" s="27"/>
      <c r="Q100" s="27"/>
      <c r="R100" s="27"/>
      <c r="S100" s="27"/>
      <c r="T100" s="27"/>
      <c r="U100" s="27"/>
      <c r="V100" s="27"/>
      <c r="W100" s="27"/>
      <c r="X100" s="27"/>
      <c r="Y100" s="27"/>
      <c r="Z100" s="27"/>
      <c r="AA100" s="27"/>
      <c r="AB100" s="142">
        <v>24000</v>
      </c>
      <c r="AC100" s="71">
        <f>((AB100*5.1%)+AB100)</f>
        <v>25224</v>
      </c>
      <c r="AD100" s="142">
        <v>20000</v>
      </c>
      <c r="AE100" s="71">
        <f>((AD100*5.1%)+AD100)</f>
        <v>21020</v>
      </c>
      <c r="AF100" s="142">
        <v>18000</v>
      </c>
      <c r="AG100" s="71">
        <f>((AF100*5.1%)+AF100)</f>
        <v>18918</v>
      </c>
      <c r="AH100" s="152">
        <v>23600</v>
      </c>
      <c r="AI100" s="71">
        <f>((AH100*5.1%)+AH100)</f>
        <v>24803.599999999999</v>
      </c>
      <c r="AJ100" s="27"/>
      <c r="AK100" s="27"/>
      <c r="AL100" s="27"/>
      <c r="AM100" s="27"/>
      <c r="AN100" s="27"/>
      <c r="AO100" s="27"/>
      <c r="AP100" s="27"/>
      <c r="AQ100" s="27"/>
      <c r="AR100" s="27"/>
      <c r="AS100" s="27"/>
      <c r="AT100" s="27"/>
      <c r="AU100" s="27"/>
      <c r="AV100" s="27"/>
      <c r="AW100" s="27"/>
      <c r="AX100" s="27"/>
      <c r="AY100" s="27"/>
      <c r="AZ100" s="27"/>
      <c r="BA100" s="27"/>
      <c r="BB100" s="27"/>
      <c r="BC100" s="27"/>
      <c r="BD100" s="27"/>
      <c r="BE100" s="27"/>
      <c r="BF100" s="27"/>
      <c r="BG100" s="27"/>
      <c r="BH100" s="27"/>
      <c r="BI100" s="27"/>
      <c r="BJ100" s="27"/>
      <c r="BK100" s="27"/>
      <c r="BL100" s="27"/>
      <c r="BM100" s="27"/>
      <c r="BN100" s="27"/>
      <c r="BO100" s="27"/>
      <c r="BP100" s="27"/>
      <c r="BQ100" s="27"/>
      <c r="BR100" s="27"/>
      <c r="BS100" s="27"/>
      <c r="BT100" s="27"/>
      <c r="BU100" s="27"/>
      <c r="BV100" s="27"/>
      <c r="BW100" s="27"/>
      <c r="BX100" s="27"/>
      <c r="BY100" s="27"/>
      <c r="BZ100" s="27"/>
      <c r="CA100" s="27"/>
      <c r="CB100" s="27"/>
      <c r="CC100" s="27"/>
      <c r="CD100" s="27"/>
      <c r="CE100" s="27"/>
      <c r="CF100" s="54"/>
      <c r="CG100" s="54"/>
      <c r="CH100" s="54"/>
      <c r="CI100" s="54"/>
      <c r="CJ100" s="54"/>
      <c r="CK100" s="54"/>
      <c r="CL100" s="54"/>
      <c r="CM100" s="54"/>
      <c r="CN100" s="54"/>
      <c r="CO100" s="54"/>
      <c r="CP100" s="54"/>
      <c r="CQ100" s="54"/>
      <c r="CR100" s="107">
        <f t="shared" si="31"/>
        <v>22911.8</v>
      </c>
      <c r="CS100" s="107">
        <f t="shared" si="32"/>
        <v>22491.4</v>
      </c>
      <c r="CT100" s="108">
        <f t="shared" si="33"/>
        <v>3041.2484892447205</v>
      </c>
      <c r="CU100" s="65">
        <f t="shared" si="24"/>
        <v>0.13521828295458355</v>
      </c>
      <c r="CV100" s="66">
        <f t="shared" si="25"/>
        <v>18900.840336134454</v>
      </c>
      <c r="CW100" s="66">
        <f t="shared" si="26"/>
        <v>3591.159663865546</v>
      </c>
      <c r="CX100" s="128">
        <f t="shared" si="27"/>
        <v>22492</v>
      </c>
      <c r="CY100" s="109">
        <f t="shared" si="23"/>
        <v>1147092</v>
      </c>
      <c r="CZ100" s="110" t="s">
        <v>903</v>
      </c>
    </row>
    <row r="101" spans="1:104" s="9" customFormat="1" ht="153" x14ac:dyDescent="0.2">
      <c r="A101" s="129">
        <v>97</v>
      </c>
      <c r="B101" s="153" t="s">
        <v>832</v>
      </c>
      <c r="C101" s="110" t="s">
        <v>1319</v>
      </c>
      <c r="D101" s="105" t="s">
        <v>232</v>
      </c>
      <c r="E101" s="105">
        <v>51</v>
      </c>
      <c r="F101" s="54"/>
      <c r="G101" s="54"/>
      <c r="H101" s="54"/>
      <c r="I101" s="54"/>
      <c r="J101" s="54"/>
      <c r="K101" s="54"/>
      <c r="L101" s="54"/>
      <c r="M101" s="54"/>
      <c r="N101" s="54"/>
      <c r="O101" s="54"/>
      <c r="P101" s="54"/>
      <c r="Q101" s="54"/>
      <c r="R101" s="54"/>
      <c r="S101" s="54"/>
      <c r="T101" s="54"/>
      <c r="U101" s="54"/>
      <c r="V101" s="54"/>
      <c r="W101" s="54"/>
      <c r="X101" s="54"/>
      <c r="Y101" s="54"/>
      <c r="Z101" s="54"/>
      <c r="AA101" s="54"/>
      <c r="AB101" s="54"/>
      <c r="AC101" s="54"/>
      <c r="AD101" s="54"/>
      <c r="AE101" s="54"/>
      <c r="AF101" s="54"/>
      <c r="AG101" s="54"/>
      <c r="AH101" s="54"/>
      <c r="AI101" s="54"/>
      <c r="AJ101" s="54"/>
      <c r="AK101" s="54"/>
      <c r="AL101" s="54"/>
      <c r="AM101" s="54"/>
      <c r="AN101" s="54"/>
      <c r="AO101" s="54"/>
      <c r="AP101" s="54"/>
      <c r="AQ101" s="54"/>
      <c r="AR101" s="54"/>
      <c r="AS101" s="54"/>
      <c r="AT101" s="54"/>
      <c r="AU101" s="54"/>
      <c r="AV101" s="54"/>
      <c r="AW101" s="54"/>
      <c r="AX101" s="54"/>
      <c r="AY101" s="54"/>
      <c r="AZ101" s="54"/>
      <c r="BA101" s="54"/>
      <c r="BB101" s="54"/>
      <c r="BC101" s="54"/>
      <c r="BD101" s="54"/>
      <c r="BE101" s="54"/>
      <c r="BF101" s="54"/>
      <c r="BG101" s="54"/>
      <c r="BH101" s="54"/>
      <c r="BI101" s="54"/>
      <c r="BJ101" s="54"/>
      <c r="BK101" s="54"/>
      <c r="BL101" s="54"/>
      <c r="BM101" s="54"/>
      <c r="BN101" s="54"/>
      <c r="BO101" s="54"/>
      <c r="BP101" s="54"/>
      <c r="BQ101" s="54"/>
      <c r="BR101" s="54"/>
      <c r="BS101" s="54"/>
      <c r="BT101" s="54"/>
      <c r="BU101" s="54"/>
      <c r="BV101" s="54"/>
      <c r="BW101" s="54"/>
      <c r="BX101" s="54"/>
      <c r="BY101" s="54"/>
      <c r="BZ101" s="54"/>
      <c r="CA101" s="54"/>
      <c r="CB101" s="54"/>
      <c r="CC101" s="54"/>
      <c r="CD101" s="54"/>
      <c r="CE101" s="54"/>
      <c r="CF101" s="54"/>
      <c r="CG101" s="54">
        <v>53811.799999999996</v>
      </c>
      <c r="CH101" s="54">
        <v>49800</v>
      </c>
      <c r="CI101" s="54"/>
      <c r="CJ101" s="54"/>
      <c r="CK101" s="54"/>
      <c r="CL101" s="54"/>
      <c r="CM101" s="54"/>
      <c r="CN101" s="54"/>
      <c r="CO101" s="54"/>
      <c r="CP101" s="54"/>
      <c r="CQ101" s="54"/>
      <c r="CR101" s="107">
        <f t="shared" si="31"/>
        <v>51805.899999999994</v>
      </c>
      <c r="CS101" s="107">
        <f t="shared" si="32"/>
        <v>51805.899999999994</v>
      </c>
      <c r="CT101" s="108">
        <f t="shared" si="33"/>
        <v>2836.7709847641881</v>
      </c>
      <c r="CU101" s="65">
        <f t="shared" si="24"/>
        <v>5.4757681745982376E-2</v>
      </c>
      <c r="CV101" s="154">
        <f t="shared" si="25"/>
        <v>43534.45378151261</v>
      </c>
      <c r="CW101" s="154">
        <f t="shared" si="26"/>
        <v>8271.5462184873959</v>
      </c>
      <c r="CX101" s="128">
        <f t="shared" si="27"/>
        <v>51806</v>
      </c>
      <c r="CY101" s="109">
        <f t="shared" ref="CY101" si="34">CX101*E101</f>
        <v>2642106</v>
      </c>
      <c r="CZ101" s="110" t="s">
        <v>903</v>
      </c>
    </row>
    <row r="102" spans="1:104" x14ac:dyDescent="0.2">
      <c r="A102" s="231" t="s">
        <v>1047</v>
      </c>
      <c r="B102" s="232"/>
      <c r="C102" s="232"/>
      <c r="D102" s="233"/>
      <c r="E102" s="11"/>
      <c r="F102" s="27"/>
      <c r="G102" s="27"/>
      <c r="H102" s="27"/>
      <c r="I102" s="27"/>
      <c r="J102" s="27"/>
      <c r="K102" s="27"/>
      <c r="L102" s="27"/>
      <c r="M102" s="27"/>
      <c r="N102" s="27"/>
      <c r="O102" s="27"/>
      <c r="P102" s="27"/>
      <c r="Q102" s="27"/>
      <c r="R102" s="27"/>
      <c r="S102" s="27"/>
      <c r="T102" s="27"/>
      <c r="U102" s="27"/>
      <c r="V102" s="27"/>
      <c r="W102" s="27"/>
      <c r="X102" s="27"/>
      <c r="Y102" s="27"/>
      <c r="Z102" s="27"/>
      <c r="AA102" s="27"/>
      <c r="AB102" s="27"/>
      <c r="AC102" s="27"/>
      <c r="AD102" s="27"/>
      <c r="AE102" s="27"/>
      <c r="AF102" s="27"/>
      <c r="AG102" s="27"/>
      <c r="AH102" s="27"/>
      <c r="AI102" s="27"/>
      <c r="AJ102" s="27"/>
      <c r="AK102" s="27"/>
      <c r="AL102" s="27"/>
      <c r="AM102" s="27"/>
      <c r="AN102" s="27"/>
      <c r="AO102" s="27"/>
      <c r="AP102" s="27"/>
      <c r="AQ102" s="27"/>
      <c r="AR102" s="27"/>
      <c r="AS102" s="27"/>
      <c r="AT102" s="27"/>
      <c r="AU102" s="27"/>
      <c r="AV102" s="27"/>
      <c r="AW102" s="27"/>
      <c r="AX102" s="27"/>
      <c r="AY102" s="27"/>
      <c r="AZ102" s="27"/>
      <c r="BA102" s="27"/>
      <c r="BB102" s="27"/>
      <c r="BC102" s="27"/>
      <c r="BD102" s="27"/>
      <c r="BE102" s="27"/>
      <c r="BF102" s="27"/>
      <c r="BG102" s="27"/>
      <c r="BH102" s="27"/>
      <c r="BI102" s="27"/>
      <c r="BJ102" s="27"/>
      <c r="BK102" s="27"/>
      <c r="BL102" s="27"/>
      <c r="BM102" s="27"/>
      <c r="BN102" s="27"/>
      <c r="BO102" s="27"/>
      <c r="BP102" s="27"/>
      <c r="BQ102" s="27"/>
      <c r="BR102" s="27"/>
      <c r="BS102" s="27"/>
      <c r="BT102" s="27"/>
      <c r="BU102" s="27"/>
      <c r="BV102" s="27"/>
      <c r="BW102" s="27"/>
      <c r="BX102" s="27"/>
      <c r="BY102" s="27"/>
      <c r="BZ102" s="27"/>
      <c r="CA102" s="27"/>
      <c r="CB102" s="27"/>
      <c r="CC102" s="27"/>
      <c r="CD102" s="27"/>
      <c r="CE102" s="27"/>
      <c r="CF102" s="27"/>
      <c r="CG102" s="27"/>
      <c r="CH102" s="27"/>
      <c r="CI102" s="27"/>
      <c r="CJ102" s="27"/>
      <c r="CK102" s="27"/>
      <c r="CL102" s="27"/>
      <c r="CM102" s="27"/>
      <c r="CN102" s="27"/>
      <c r="CO102" s="27"/>
      <c r="CP102" s="27"/>
      <c r="CQ102" s="27"/>
      <c r="CR102" s="27"/>
      <c r="CS102" s="27"/>
      <c r="CT102" s="27"/>
      <c r="CU102" s="27"/>
      <c r="CV102" s="27"/>
      <c r="CW102" s="27"/>
      <c r="CX102" s="155">
        <f>SUM(CX5:CX101)</f>
        <v>12506793</v>
      </c>
      <c r="CY102" s="125">
        <f>SUM(CY5:CY101)</f>
        <v>537538513</v>
      </c>
      <c r="CZ102" s="27"/>
    </row>
    <row r="103" spans="1:104" x14ac:dyDescent="0.2">
      <c r="CY103" s="60"/>
    </row>
    <row r="104" spans="1:104" x14ac:dyDescent="0.2">
      <c r="CY104" s="75"/>
    </row>
    <row r="105" spans="1:104" x14ac:dyDescent="0.2">
      <c r="CY105" s="93"/>
    </row>
    <row r="106" spans="1:104" x14ac:dyDescent="0.2">
      <c r="CY106" s="94"/>
    </row>
  </sheetData>
  <autoFilter ref="A4:CZ104" xr:uid="{2EEEA571-8708-4188-A78F-2EF4E14011EA}"/>
  <mergeCells count="39">
    <mergeCell ref="CO3:CQ3"/>
    <mergeCell ref="CR3:CZ3"/>
    <mergeCell ref="A102:D102"/>
    <mergeCell ref="BV3:BW3"/>
    <mergeCell ref="BX3:BY3"/>
    <mergeCell ref="BZ3:CA3"/>
    <mergeCell ref="CB3:CC3"/>
    <mergeCell ref="CI3:CK3"/>
    <mergeCell ref="CL3:CN3"/>
    <mergeCell ref="BF3:BG3"/>
    <mergeCell ref="BH3:BJ3"/>
    <mergeCell ref="BK3:BM3"/>
    <mergeCell ref="BN3:BP3"/>
    <mergeCell ref="BQ3:BS3"/>
    <mergeCell ref="BT3:BU3"/>
    <mergeCell ref="AM3:AO3"/>
    <mergeCell ref="AP3:AR3"/>
    <mergeCell ref="AS3:AU3"/>
    <mergeCell ref="AV3:AX3"/>
    <mergeCell ref="AY3:BA3"/>
    <mergeCell ref="BB3:BD3"/>
    <mergeCell ref="AJ3:AL3"/>
    <mergeCell ref="L3:M3"/>
    <mergeCell ref="N3:P3"/>
    <mergeCell ref="Q3:S3"/>
    <mergeCell ref="T3:U3"/>
    <mergeCell ref="V3:W3"/>
    <mergeCell ref="X3:Y3"/>
    <mergeCell ref="Z3:AA3"/>
    <mergeCell ref="AB3:AC3"/>
    <mergeCell ref="AD3:AE3"/>
    <mergeCell ref="AF3:AG3"/>
    <mergeCell ref="AH3:AI3"/>
    <mergeCell ref="J3:K3"/>
    <mergeCell ref="A1:E1"/>
    <mergeCell ref="A2:E2"/>
    <mergeCell ref="A3:E3"/>
    <mergeCell ref="F3:G3"/>
    <mergeCell ref="H3:I3"/>
  </mergeCells>
  <dataValidations count="2">
    <dataValidation type="list" allowBlank="1" showErrorMessage="1" sqref="AB29 AD29 AF29 AH29 AF41 AD41 AB41 AB100 AF100 AD100 AH100" xr:uid="{DF1BAA07-B497-49D7-B91D-8AA4F2D2E4A4}">
      <formula1>#REF!</formula1>
    </dataValidation>
    <dataValidation type="list" allowBlank="1" showInputMessage="1" showErrorMessage="1" sqref="D78:D82" xr:uid="{ABE3FD12-E645-44ED-B48C-BF4508D3EEF6}">
      <formula1>#REF!</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951245-F56A-4A9C-9BCE-4C1FAD422C20}">
  <dimension ref="A1:CZ96"/>
  <sheetViews>
    <sheetView topLeftCell="A5" zoomScale="62" zoomScaleNormal="62" workbookViewId="0">
      <selection activeCell="E12" sqref="E12"/>
    </sheetView>
  </sheetViews>
  <sheetFormatPr baseColWidth="10" defaultColWidth="11.5" defaultRowHeight="16" x14ac:dyDescent="0.2"/>
  <cols>
    <col min="1" max="1" width="11.5" style="1"/>
    <col min="2" max="2" width="30.6640625" style="1" customWidth="1"/>
    <col min="3" max="3" width="63.5" style="2" customWidth="1"/>
    <col min="4" max="4" width="20.33203125" style="1" customWidth="1"/>
    <col min="5" max="5" width="14.5" style="1" customWidth="1"/>
    <col min="6" max="6" width="14" style="1" bestFit="1" customWidth="1"/>
    <col min="7" max="7" width="14.6640625" style="1" bestFit="1" customWidth="1"/>
    <col min="8" max="8" width="14" style="1" bestFit="1" customWidth="1"/>
    <col min="9" max="9" width="14.6640625" style="1" bestFit="1" customWidth="1"/>
    <col min="10" max="10" width="14" style="1" bestFit="1" customWidth="1"/>
    <col min="11" max="11" width="14.6640625" style="1" bestFit="1" customWidth="1"/>
    <col min="12" max="12" width="15.5" style="1" bestFit="1" customWidth="1"/>
    <col min="13" max="13" width="16.33203125" style="1" bestFit="1" customWidth="1"/>
    <col min="14" max="14" width="13.6640625" style="1" bestFit="1" customWidth="1"/>
    <col min="15" max="15" width="13.6640625" style="1" customWidth="1"/>
    <col min="16" max="16" width="14.33203125" style="1" bestFit="1" customWidth="1"/>
    <col min="17" max="17" width="11.5" style="1"/>
    <col min="18" max="18" width="14.6640625" style="1" bestFit="1" customWidth="1"/>
    <col min="19" max="19" width="13.6640625" style="1" bestFit="1" customWidth="1"/>
    <col min="20" max="20" width="13.6640625" style="1" customWidth="1"/>
    <col min="21" max="21" width="16.6640625" style="1" bestFit="1" customWidth="1"/>
    <col min="22" max="22" width="14.33203125" style="1" bestFit="1" customWidth="1"/>
    <col min="23" max="23" width="14.33203125" style="1" customWidth="1"/>
    <col min="24" max="24" width="17.33203125" style="1" bestFit="1" customWidth="1"/>
    <col min="25" max="25" width="11.5" style="1"/>
    <col min="26" max="26" width="14.6640625" style="1" bestFit="1" customWidth="1"/>
    <col min="27" max="27" width="14.33203125" style="1" bestFit="1" customWidth="1"/>
    <col min="28" max="28" width="14.33203125" style="1" customWidth="1"/>
    <col min="29" max="29" width="19.6640625" style="1" bestFit="1" customWidth="1"/>
    <col min="30" max="30" width="16.5" style="1" bestFit="1" customWidth="1"/>
    <col min="31" max="31" width="14.6640625" style="1" bestFit="1" customWidth="1"/>
    <col min="32" max="32" width="12.6640625" style="1" bestFit="1" customWidth="1"/>
    <col min="33" max="33" width="13.5" style="1" bestFit="1" customWidth="1"/>
    <col min="34" max="34" width="13.6640625" style="1" bestFit="1" customWidth="1"/>
    <col min="35" max="35" width="14.5" style="1" bestFit="1" customWidth="1"/>
    <col min="36" max="36" width="14.6640625" style="1" bestFit="1" customWidth="1"/>
    <col min="37" max="37" width="15.5" style="1" bestFit="1" customWidth="1"/>
    <col min="38" max="38" width="14.33203125" style="1" bestFit="1" customWidth="1"/>
    <col min="39" max="39" width="14.6640625" style="1" customWidth="1"/>
    <col min="40" max="40" width="14.33203125" style="1" bestFit="1" customWidth="1"/>
    <col min="41" max="41" width="14.6640625" style="1" bestFit="1" customWidth="1"/>
    <col min="42" max="42" width="14.33203125" style="1" bestFit="1" customWidth="1"/>
    <col min="43" max="43" width="14.5" style="1" bestFit="1" customWidth="1"/>
    <col min="44" max="44" width="15.5" style="1" bestFit="1" customWidth="1"/>
    <col min="45" max="45" width="16.33203125" style="1" bestFit="1" customWidth="1"/>
    <col min="46" max="46" width="15.5" style="1" bestFit="1" customWidth="1"/>
    <col min="47" max="47" width="16.33203125" style="1" bestFit="1" customWidth="1"/>
    <col min="48" max="48" width="15.5" style="1" bestFit="1" customWidth="1"/>
    <col min="49" max="49" width="16.33203125" style="1" bestFit="1" customWidth="1"/>
    <col min="50" max="50" width="14.6640625" style="1" bestFit="1" customWidth="1"/>
    <col min="51" max="51" width="15.5" style="1" bestFit="1" customWidth="1"/>
    <col min="52" max="52" width="12" style="1" bestFit="1" customWidth="1"/>
    <col min="53" max="53" width="11.5" style="1"/>
    <col min="54" max="54" width="12" style="1" bestFit="1" customWidth="1"/>
    <col min="55" max="57" width="11.5" style="1"/>
    <col min="58" max="58" width="16.5" style="1" bestFit="1" customWidth="1"/>
    <col min="59" max="78" width="22.6640625" style="1" customWidth="1"/>
    <col min="79" max="95" width="22.6640625" style="98" customWidth="1"/>
    <col min="96" max="97" width="15.5" style="1" bestFit="1" customWidth="1"/>
    <col min="98" max="98" width="14.5" style="1" bestFit="1" customWidth="1"/>
    <col min="99" max="99" width="11.5" style="1"/>
    <col min="100" max="100" width="15.6640625" style="1" bestFit="1" customWidth="1"/>
    <col min="101" max="101" width="14.6640625" style="1" bestFit="1" customWidth="1"/>
    <col min="102" max="102" width="23.5" style="1" bestFit="1" customWidth="1"/>
    <col min="103" max="103" width="29.33203125" style="1" bestFit="1" customWidth="1"/>
    <col min="104" max="104" width="34" style="1" customWidth="1"/>
    <col min="105" max="16384" width="11.5" style="1"/>
  </cols>
  <sheetData>
    <row r="1" spans="1:104" ht="15.5" customHeight="1" x14ac:dyDescent="0.2">
      <c r="A1" s="204" t="s">
        <v>0</v>
      </c>
      <c r="B1" s="205"/>
      <c r="C1" s="205"/>
      <c r="D1" s="205"/>
      <c r="E1" s="205"/>
    </row>
    <row r="2" spans="1:104" x14ac:dyDescent="0.2">
      <c r="A2" s="204" t="s">
        <v>1162</v>
      </c>
      <c r="B2" s="205"/>
      <c r="C2" s="205"/>
      <c r="D2" s="205"/>
      <c r="E2" s="205"/>
    </row>
    <row r="3" spans="1:104" s="2" customFormat="1" ht="34.25" customHeight="1" x14ac:dyDescent="0.2">
      <c r="A3" s="176" t="s">
        <v>1161</v>
      </c>
      <c r="B3" s="176"/>
      <c r="C3" s="176"/>
      <c r="D3" s="176"/>
      <c r="E3" s="176"/>
      <c r="F3" s="183" t="s">
        <v>916</v>
      </c>
      <c r="G3" s="184"/>
      <c r="H3" s="249" t="s">
        <v>917</v>
      </c>
      <c r="I3" s="250"/>
      <c r="J3" s="183" t="s">
        <v>918</v>
      </c>
      <c r="K3" s="184"/>
      <c r="L3" s="167" t="s">
        <v>960</v>
      </c>
      <c r="M3" s="167"/>
      <c r="N3" s="253" t="s">
        <v>929</v>
      </c>
      <c r="O3" s="254"/>
      <c r="P3" s="254"/>
      <c r="Q3" s="257" t="s">
        <v>961</v>
      </c>
      <c r="R3" s="258"/>
      <c r="S3" s="253" t="s">
        <v>962</v>
      </c>
      <c r="T3" s="254"/>
      <c r="U3" s="254"/>
      <c r="V3" s="167" t="s">
        <v>963</v>
      </c>
      <c r="W3" s="167"/>
      <c r="X3" s="167"/>
      <c r="Y3" s="245" t="s">
        <v>964</v>
      </c>
      <c r="Z3" s="246"/>
      <c r="AA3" s="263" t="s">
        <v>941</v>
      </c>
      <c r="AB3" s="264"/>
      <c r="AC3" s="264"/>
      <c r="AD3" s="245" t="s">
        <v>965</v>
      </c>
      <c r="AE3" s="246"/>
      <c r="AF3" s="267" t="s">
        <v>966</v>
      </c>
      <c r="AG3" s="267"/>
      <c r="AH3" s="269" t="s">
        <v>967</v>
      </c>
      <c r="AI3" s="269"/>
      <c r="AJ3" s="271" t="s">
        <v>968</v>
      </c>
      <c r="AK3" s="272"/>
      <c r="AL3" s="271" t="s">
        <v>969</v>
      </c>
      <c r="AM3" s="272"/>
      <c r="AN3" s="271" t="s">
        <v>970</v>
      </c>
      <c r="AO3" s="272"/>
      <c r="AP3" s="275" t="s">
        <v>971</v>
      </c>
      <c r="AQ3" s="275"/>
      <c r="AR3" s="277" t="s">
        <v>972</v>
      </c>
      <c r="AS3" s="277"/>
      <c r="AT3" s="261" t="s">
        <v>973</v>
      </c>
      <c r="AU3" s="261"/>
      <c r="AV3" s="280" t="s">
        <v>974</v>
      </c>
      <c r="AW3" s="280"/>
      <c r="AX3" s="277" t="s">
        <v>975</v>
      </c>
      <c r="AY3" s="277"/>
      <c r="AZ3" s="279" t="s">
        <v>919</v>
      </c>
      <c r="BA3" s="282"/>
      <c r="BB3" s="279" t="s">
        <v>921</v>
      </c>
      <c r="BC3" s="282"/>
      <c r="BD3" s="166" t="s">
        <v>922</v>
      </c>
      <c r="BE3" s="166"/>
      <c r="BF3" s="279" t="s">
        <v>992</v>
      </c>
      <c r="BG3" s="284" t="s">
        <v>997</v>
      </c>
      <c r="BH3" s="279" t="s">
        <v>998</v>
      </c>
      <c r="BI3" s="284" t="s">
        <v>999</v>
      </c>
      <c r="BJ3" s="286" t="s">
        <v>1001</v>
      </c>
      <c r="BK3" s="284" t="s">
        <v>1002</v>
      </c>
      <c r="BL3" s="279" t="s">
        <v>1003</v>
      </c>
      <c r="BM3" s="284" t="s">
        <v>1004</v>
      </c>
      <c r="BN3" s="279" t="s">
        <v>1005</v>
      </c>
      <c r="BO3" s="284" t="s">
        <v>1006</v>
      </c>
      <c r="BP3" s="284" t="s">
        <v>1018</v>
      </c>
      <c r="BQ3" s="288" t="s">
        <v>1019</v>
      </c>
      <c r="BR3" s="284" t="s">
        <v>1020</v>
      </c>
      <c r="BS3" s="288" t="s">
        <v>1021</v>
      </c>
      <c r="BT3" s="284" t="s">
        <v>1022</v>
      </c>
      <c r="BU3" s="284" t="s">
        <v>1023</v>
      </c>
      <c r="BV3" s="288" t="s">
        <v>1024</v>
      </c>
      <c r="BW3" s="284" t="s">
        <v>1028</v>
      </c>
      <c r="BX3" s="288" t="s">
        <v>1030</v>
      </c>
      <c r="BY3" s="284" t="s">
        <v>1027</v>
      </c>
      <c r="BZ3" s="298" t="s">
        <v>1282</v>
      </c>
      <c r="CA3" s="299"/>
      <c r="CB3" s="284"/>
      <c r="CC3" s="298" t="s">
        <v>1283</v>
      </c>
      <c r="CD3" s="299"/>
      <c r="CE3" s="284"/>
      <c r="CF3" s="298" t="s">
        <v>1284</v>
      </c>
      <c r="CG3" s="299"/>
      <c r="CH3" s="284"/>
      <c r="CI3" s="290" t="s">
        <v>1285</v>
      </c>
      <c r="CJ3" s="291"/>
      <c r="CK3" s="292"/>
      <c r="CL3" s="290" t="s">
        <v>1286</v>
      </c>
      <c r="CM3" s="291"/>
      <c r="CN3" s="291"/>
      <c r="CO3" s="291" t="s">
        <v>1287</v>
      </c>
      <c r="CP3" s="291"/>
      <c r="CQ3" s="292"/>
      <c r="CR3" s="296" t="s">
        <v>893</v>
      </c>
      <c r="CS3" s="297"/>
      <c r="CT3" s="297"/>
      <c r="CU3" s="297"/>
      <c r="CV3" s="297"/>
      <c r="CW3" s="297"/>
      <c r="CX3" s="297"/>
      <c r="CY3" s="297"/>
      <c r="CZ3" s="297"/>
    </row>
    <row r="4" spans="1:104" ht="54" customHeight="1" x14ac:dyDescent="0.2">
      <c r="A4" s="176"/>
      <c r="B4" s="176"/>
      <c r="C4" s="176"/>
      <c r="D4" s="176"/>
      <c r="E4" s="176"/>
      <c r="F4" s="185"/>
      <c r="G4" s="186"/>
      <c r="H4" s="251"/>
      <c r="I4" s="252"/>
      <c r="J4" s="185"/>
      <c r="K4" s="186"/>
      <c r="L4" s="167"/>
      <c r="M4" s="167"/>
      <c r="N4" s="255"/>
      <c r="O4" s="256"/>
      <c r="P4" s="256"/>
      <c r="Q4" s="259"/>
      <c r="R4" s="260"/>
      <c r="S4" s="255"/>
      <c r="T4" s="256"/>
      <c r="U4" s="256"/>
      <c r="V4" s="167"/>
      <c r="W4" s="167"/>
      <c r="X4" s="167"/>
      <c r="Y4" s="247"/>
      <c r="Z4" s="248"/>
      <c r="AA4" s="265"/>
      <c r="AB4" s="266"/>
      <c r="AC4" s="266"/>
      <c r="AD4" s="247"/>
      <c r="AE4" s="248"/>
      <c r="AF4" s="268"/>
      <c r="AG4" s="268"/>
      <c r="AH4" s="270"/>
      <c r="AI4" s="270"/>
      <c r="AJ4" s="273"/>
      <c r="AK4" s="274"/>
      <c r="AL4" s="273"/>
      <c r="AM4" s="274"/>
      <c r="AN4" s="273"/>
      <c r="AO4" s="274"/>
      <c r="AP4" s="276"/>
      <c r="AQ4" s="276"/>
      <c r="AR4" s="278"/>
      <c r="AS4" s="278"/>
      <c r="AT4" s="262"/>
      <c r="AU4" s="262"/>
      <c r="AV4" s="281"/>
      <c r="AW4" s="281"/>
      <c r="AX4" s="278"/>
      <c r="AY4" s="278"/>
      <c r="AZ4" s="279"/>
      <c r="BA4" s="282"/>
      <c r="BB4" s="279"/>
      <c r="BC4" s="282"/>
      <c r="BD4" s="283"/>
      <c r="BE4" s="283"/>
      <c r="BF4" s="189"/>
      <c r="BG4" s="285"/>
      <c r="BH4" s="189"/>
      <c r="BI4" s="285"/>
      <c r="BJ4" s="287"/>
      <c r="BK4" s="285"/>
      <c r="BL4" s="189"/>
      <c r="BM4" s="285"/>
      <c r="BN4" s="189"/>
      <c r="BO4" s="285"/>
      <c r="BP4" s="285"/>
      <c r="BQ4" s="289"/>
      <c r="BR4" s="285"/>
      <c r="BS4" s="289"/>
      <c r="BT4" s="285"/>
      <c r="BU4" s="285"/>
      <c r="BV4" s="289"/>
      <c r="BW4" s="285"/>
      <c r="BX4" s="289"/>
      <c r="BY4" s="285"/>
      <c r="BZ4" s="300"/>
      <c r="CA4" s="301"/>
      <c r="CB4" s="285"/>
      <c r="CC4" s="300"/>
      <c r="CD4" s="301"/>
      <c r="CE4" s="285"/>
      <c r="CF4" s="300"/>
      <c r="CG4" s="301"/>
      <c r="CH4" s="285"/>
      <c r="CI4" s="293"/>
      <c r="CJ4" s="294"/>
      <c r="CK4" s="295"/>
      <c r="CL4" s="293"/>
      <c r="CM4" s="294"/>
      <c r="CN4" s="294"/>
      <c r="CO4" s="294"/>
      <c r="CP4" s="294"/>
      <c r="CQ4" s="295"/>
      <c r="CR4" s="180"/>
      <c r="CS4" s="181"/>
      <c r="CT4" s="181"/>
      <c r="CU4" s="181"/>
      <c r="CV4" s="181"/>
      <c r="CW4" s="181"/>
      <c r="CX4" s="181"/>
      <c r="CY4" s="181"/>
      <c r="CZ4" s="181"/>
    </row>
    <row r="5" spans="1:104" ht="153" x14ac:dyDescent="0.2">
      <c r="A5" s="4" t="s">
        <v>1</v>
      </c>
      <c r="B5" s="4" t="s">
        <v>2</v>
      </c>
      <c r="C5" s="52" t="s">
        <v>3</v>
      </c>
      <c r="D5" s="4" t="s">
        <v>4</v>
      </c>
      <c r="E5" s="4" t="s">
        <v>889</v>
      </c>
      <c r="F5" s="18" t="s">
        <v>930</v>
      </c>
      <c r="G5" s="19" t="s">
        <v>907</v>
      </c>
      <c r="H5" s="18" t="s">
        <v>930</v>
      </c>
      <c r="I5" s="19" t="s">
        <v>907</v>
      </c>
      <c r="J5" s="18" t="s">
        <v>930</v>
      </c>
      <c r="K5" s="19" t="s">
        <v>907</v>
      </c>
      <c r="L5" s="18" t="s">
        <v>930</v>
      </c>
      <c r="M5" s="19" t="s">
        <v>907</v>
      </c>
      <c r="N5" s="53" t="s">
        <v>1038</v>
      </c>
      <c r="O5" s="53" t="s">
        <v>900</v>
      </c>
      <c r="P5" s="18" t="s">
        <v>1176</v>
      </c>
      <c r="Q5" s="18" t="s">
        <v>930</v>
      </c>
      <c r="R5" s="19" t="s">
        <v>907</v>
      </c>
      <c r="S5" s="53" t="s">
        <v>1038</v>
      </c>
      <c r="T5" s="53" t="s">
        <v>900</v>
      </c>
      <c r="U5" s="18" t="s">
        <v>1176</v>
      </c>
      <c r="V5" s="53" t="s">
        <v>1038</v>
      </c>
      <c r="W5" s="53" t="s">
        <v>900</v>
      </c>
      <c r="X5" s="18" t="s">
        <v>1176</v>
      </c>
      <c r="Y5" s="18" t="s">
        <v>930</v>
      </c>
      <c r="Z5" s="19" t="s">
        <v>907</v>
      </c>
      <c r="AA5" s="53" t="s">
        <v>1038</v>
      </c>
      <c r="AB5" s="53" t="s">
        <v>900</v>
      </c>
      <c r="AC5" s="18" t="s">
        <v>1176</v>
      </c>
      <c r="AD5" s="18" t="s">
        <v>930</v>
      </c>
      <c r="AE5" s="19" t="s">
        <v>907</v>
      </c>
      <c r="AF5" s="18" t="s">
        <v>930</v>
      </c>
      <c r="AG5" s="19" t="s">
        <v>907</v>
      </c>
      <c r="AH5" s="18" t="s">
        <v>930</v>
      </c>
      <c r="AI5" s="19" t="s">
        <v>907</v>
      </c>
      <c r="AJ5" s="18" t="s">
        <v>930</v>
      </c>
      <c r="AK5" s="19" t="s">
        <v>907</v>
      </c>
      <c r="AL5" s="18" t="s">
        <v>930</v>
      </c>
      <c r="AM5" s="19" t="s">
        <v>907</v>
      </c>
      <c r="AN5" s="18" t="s">
        <v>930</v>
      </c>
      <c r="AO5" s="19" t="s">
        <v>907</v>
      </c>
      <c r="AP5" s="18" t="s">
        <v>930</v>
      </c>
      <c r="AQ5" s="19" t="s">
        <v>907</v>
      </c>
      <c r="AR5" s="18" t="s">
        <v>891</v>
      </c>
      <c r="AS5" s="19" t="s">
        <v>907</v>
      </c>
      <c r="AT5" s="18" t="s">
        <v>891</v>
      </c>
      <c r="AU5" s="19" t="s">
        <v>907</v>
      </c>
      <c r="AV5" s="18" t="s">
        <v>891</v>
      </c>
      <c r="AW5" s="19" t="s">
        <v>907</v>
      </c>
      <c r="AX5" s="18" t="s">
        <v>891</v>
      </c>
      <c r="AY5" s="19" t="s">
        <v>907</v>
      </c>
      <c r="AZ5" s="12" t="s">
        <v>906</v>
      </c>
      <c r="BA5" s="19" t="s">
        <v>907</v>
      </c>
      <c r="BB5" s="12" t="s">
        <v>906</v>
      </c>
      <c r="BC5" s="19" t="s">
        <v>907</v>
      </c>
      <c r="BD5" s="12" t="s">
        <v>906</v>
      </c>
      <c r="BE5" s="19" t="s">
        <v>907</v>
      </c>
      <c r="BF5" s="12" t="s">
        <v>906</v>
      </c>
      <c r="BG5" s="12" t="s">
        <v>906</v>
      </c>
      <c r="BH5" s="12" t="s">
        <v>906</v>
      </c>
      <c r="BI5" s="12" t="s">
        <v>906</v>
      </c>
      <c r="BJ5" s="12" t="s">
        <v>906</v>
      </c>
      <c r="BK5" s="12" t="s">
        <v>906</v>
      </c>
      <c r="BL5" s="12" t="s">
        <v>906</v>
      </c>
      <c r="BM5" s="12" t="s">
        <v>906</v>
      </c>
      <c r="BN5" s="12" t="s">
        <v>906</v>
      </c>
      <c r="BO5" s="12" t="s">
        <v>906</v>
      </c>
      <c r="BP5" s="12" t="s">
        <v>906</v>
      </c>
      <c r="BQ5" s="53" t="s">
        <v>5</v>
      </c>
      <c r="BR5" s="12" t="s">
        <v>906</v>
      </c>
      <c r="BS5" s="53" t="s">
        <v>5</v>
      </c>
      <c r="BT5" s="12" t="s">
        <v>906</v>
      </c>
      <c r="BU5" s="12" t="s">
        <v>906</v>
      </c>
      <c r="BV5" s="53" t="s">
        <v>5</v>
      </c>
      <c r="BW5" s="12" t="s">
        <v>906</v>
      </c>
      <c r="BX5" s="53" t="s">
        <v>5</v>
      </c>
      <c r="BY5" s="12" t="s">
        <v>906</v>
      </c>
      <c r="BZ5" s="12" t="s">
        <v>1288</v>
      </c>
      <c r="CA5" s="99" t="s">
        <v>1289</v>
      </c>
      <c r="CB5" s="99" t="s">
        <v>1290</v>
      </c>
      <c r="CC5" s="12" t="s">
        <v>1288</v>
      </c>
      <c r="CD5" s="99" t="s">
        <v>1289</v>
      </c>
      <c r="CE5" s="99" t="s">
        <v>1290</v>
      </c>
      <c r="CF5" s="12" t="s">
        <v>1288</v>
      </c>
      <c r="CG5" s="99" t="s">
        <v>1289</v>
      </c>
      <c r="CH5" s="99" t="s">
        <v>1290</v>
      </c>
      <c r="CI5" s="12" t="s">
        <v>1288</v>
      </c>
      <c r="CJ5" s="99" t="s">
        <v>1289</v>
      </c>
      <c r="CK5" s="99" t="s">
        <v>1290</v>
      </c>
      <c r="CL5" s="12" t="s">
        <v>1288</v>
      </c>
      <c r="CM5" s="99" t="s">
        <v>1289</v>
      </c>
      <c r="CN5" s="99" t="s">
        <v>1290</v>
      </c>
      <c r="CO5" s="12" t="s">
        <v>1288</v>
      </c>
      <c r="CP5" s="99" t="s">
        <v>1289</v>
      </c>
      <c r="CQ5" s="99" t="s">
        <v>1290</v>
      </c>
      <c r="CR5" s="36" t="s">
        <v>894</v>
      </c>
      <c r="CS5" s="36" t="s">
        <v>895</v>
      </c>
      <c r="CT5" s="36" t="s">
        <v>923</v>
      </c>
      <c r="CU5" s="40" t="s">
        <v>897</v>
      </c>
      <c r="CV5" s="41" t="s">
        <v>899</v>
      </c>
      <c r="CW5" s="41" t="s">
        <v>900</v>
      </c>
      <c r="CX5" s="39" t="s">
        <v>924</v>
      </c>
      <c r="CY5" s="39" t="s">
        <v>1048</v>
      </c>
      <c r="CZ5" s="41" t="s">
        <v>901</v>
      </c>
    </row>
    <row r="6" spans="1:104" ht="34" x14ac:dyDescent="0.2">
      <c r="A6" s="63">
        <v>1</v>
      </c>
      <c r="B6" s="149" t="s">
        <v>343</v>
      </c>
      <c r="C6" s="111" t="s">
        <v>344</v>
      </c>
      <c r="D6" s="105" t="s">
        <v>7</v>
      </c>
      <c r="E6" s="105">
        <v>10</v>
      </c>
      <c r="F6" s="13">
        <v>57715</v>
      </c>
      <c r="G6" s="132">
        <f t="shared" ref="G6:M26" si="0">((F6*5.1%)+F6)</f>
        <v>60658.464999999997</v>
      </c>
      <c r="H6" s="13">
        <v>53788</v>
      </c>
      <c r="I6" s="132">
        <f t="shared" ref="I6" si="1">((H6*5.1%)+H6)</f>
        <v>56531.188000000002</v>
      </c>
      <c r="J6" s="13">
        <v>48552</v>
      </c>
      <c r="K6" s="132">
        <f t="shared" ref="K6" si="2">((J6*5.1%)+J6)</f>
        <v>51028.152000000002</v>
      </c>
      <c r="L6" s="27"/>
      <c r="M6" s="27"/>
      <c r="N6" s="27"/>
      <c r="O6" s="27"/>
      <c r="P6" s="27"/>
      <c r="Q6" s="27"/>
      <c r="R6" s="27"/>
      <c r="S6" s="27"/>
      <c r="T6" s="27"/>
      <c r="U6" s="27"/>
      <c r="V6" s="27"/>
      <c r="W6" s="27"/>
      <c r="X6" s="27"/>
      <c r="Y6" s="27"/>
      <c r="Z6" s="27"/>
      <c r="AA6" s="27"/>
      <c r="AB6" s="27"/>
      <c r="AC6" s="27"/>
      <c r="AD6" s="27"/>
      <c r="AE6" s="27"/>
      <c r="AF6" s="27"/>
      <c r="AG6" s="27"/>
      <c r="AH6" s="27"/>
      <c r="AI6" s="27"/>
      <c r="AJ6" s="27"/>
      <c r="AK6" s="27"/>
      <c r="AL6" s="27"/>
      <c r="AM6" s="27"/>
      <c r="AN6" s="27"/>
      <c r="AO6" s="27"/>
      <c r="AP6" s="27"/>
      <c r="AQ6" s="27"/>
      <c r="AR6" s="27"/>
      <c r="AS6" s="27"/>
      <c r="AT6" s="27"/>
      <c r="AU6" s="27"/>
      <c r="AV6" s="27"/>
      <c r="AW6" s="27"/>
      <c r="AX6" s="27"/>
      <c r="AY6" s="27"/>
      <c r="AZ6" s="27"/>
      <c r="BA6" s="27"/>
      <c r="BB6" s="27"/>
      <c r="BC6" s="27"/>
      <c r="BD6" s="27"/>
      <c r="BE6" s="27"/>
      <c r="BF6" s="27"/>
      <c r="BG6" s="27"/>
      <c r="BH6" s="27"/>
      <c r="BI6" s="27"/>
      <c r="BJ6" s="27"/>
      <c r="BK6" s="27"/>
      <c r="BL6" s="27"/>
      <c r="BM6" s="27"/>
      <c r="BN6" s="27"/>
      <c r="BO6" s="27"/>
      <c r="BP6" s="27"/>
      <c r="BQ6" s="27"/>
      <c r="BR6" s="27"/>
      <c r="BS6" s="27"/>
      <c r="BT6" s="27"/>
      <c r="BU6" s="27"/>
      <c r="BV6" s="27"/>
      <c r="BW6" s="27"/>
      <c r="BX6" s="27"/>
      <c r="BY6" s="27"/>
      <c r="BZ6" s="27"/>
      <c r="CA6" s="156"/>
      <c r="CB6" s="156"/>
      <c r="CC6" s="156"/>
      <c r="CD6" s="156"/>
      <c r="CE6" s="156"/>
      <c r="CF6" s="156"/>
      <c r="CG6" s="156"/>
      <c r="CH6" s="156"/>
      <c r="CI6" s="156"/>
      <c r="CJ6" s="156"/>
      <c r="CK6" s="156"/>
      <c r="CL6" s="156"/>
      <c r="CM6" s="156"/>
      <c r="CN6" s="156"/>
      <c r="CO6" s="156"/>
      <c r="CP6" s="156"/>
      <c r="CQ6" s="156"/>
      <c r="CR6" s="107">
        <f t="shared" ref="CR6:CR35" si="3">MEDIAN(G6,I6,K6,M6,P6,R6,U6,X6,Z6,AC6,AE6,AG6,AI6,AK6,AM6,AO6,AQ6,AS6,AU6,AW6,AY6,BA6,BC6,BE6,BF6,BG6,BH6,BI6,BJ6,BK6,BL6,BM6,BN6,BO6,BP6,BQ6,BR6,BS6,BT6,BU6,BV6,BW6,BX6,BY6,CB6,CE6,CH6,CK6,CN6,CQ6)</f>
        <v>56531.188000000002</v>
      </c>
      <c r="CS6" s="107">
        <f t="shared" ref="CS6:CS35" si="4">AVERAGE(G6,I6,K6,M6,P6,R6,U6,X6,Z6,AC6,AE6,AG6,AI6,AK6,AM6,AO6,AQ6,AS6,AU6,AW6,AY6,BA6,BC6,BE6,BF6,BG6,BH6,BI6,BJ6,BK6,BL6,BM6,BN6,BO6,BP6,BQ6,BR6,BS6,BT6,BU6,BV6,BW6,BX6,BY6,CB6,CE6,CH6,CK6,CN6,CQ6)</f>
        <v>56072.601666666662</v>
      </c>
      <c r="CT6" s="108">
        <f t="shared" ref="CT6:CT35" si="5">STDEV(G6,I6,K6,M6,P6,R6,U6,X6,Z6,AC6,AE6,AG6,AI6,AK6,AM6,AO6,AQ6,AS6,AU6,AW6,AY6,BA6,BC6,BE6,BF6,BG6,BH6,BI6,BJ6,BK6,BL6,BM6,BN6,BO6,BP6,BQ6,BR6,BS6,BT6,BU6,BV6,BW6,BX6,BY6,CB6,CE6,CH6,CK6,CN6,CQ6)</f>
        <v>4831.5068237903079</v>
      </c>
      <c r="CU6" s="65">
        <f>CT6/CS6</f>
        <v>8.6165197978721242E-2</v>
      </c>
      <c r="CV6" s="66">
        <f>CX6/1.19</f>
        <v>47120.168067226892</v>
      </c>
      <c r="CW6" s="66">
        <f>CV6*19%</f>
        <v>8952.8319327731097</v>
      </c>
      <c r="CX6" s="109">
        <f>ROUNDUP(IF(CU6&lt;15%,CS6,CR6),0)</f>
        <v>56073</v>
      </c>
      <c r="CY6" s="109">
        <f>CX6*E6</f>
        <v>560730</v>
      </c>
      <c r="CZ6" s="110" t="s">
        <v>903</v>
      </c>
    </row>
    <row r="7" spans="1:104" ht="34" x14ac:dyDescent="0.2">
      <c r="A7" s="63">
        <v>2</v>
      </c>
      <c r="B7" s="149" t="s">
        <v>345</v>
      </c>
      <c r="C7" s="111" t="s">
        <v>346</v>
      </c>
      <c r="D7" s="105" t="s">
        <v>7</v>
      </c>
      <c r="E7" s="105">
        <v>20</v>
      </c>
      <c r="F7" s="13">
        <v>29155</v>
      </c>
      <c r="G7" s="132">
        <f t="shared" si="0"/>
        <v>30641.904999999999</v>
      </c>
      <c r="H7" s="13">
        <v>26775</v>
      </c>
      <c r="I7" s="132">
        <f t="shared" si="0"/>
        <v>28140.525000000001</v>
      </c>
      <c r="J7" s="13">
        <v>24752</v>
      </c>
      <c r="K7" s="132">
        <f t="shared" si="0"/>
        <v>26014.351999999999</v>
      </c>
      <c r="L7" s="27"/>
      <c r="M7" s="27"/>
      <c r="N7" s="27"/>
      <c r="O7" s="27"/>
      <c r="P7" s="27"/>
      <c r="Q7" s="27"/>
      <c r="R7" s="27"/>
      <c r="S7" s="27"/>
      <c r="T7" s="27"/>
      <c r="U7" s="27"/>
      <c r="V7" s="27"/>
      <c r="W7" s="27"/>
      <c r="X7" s="27"/>
      <c r="Y7" s="27"/>
      <c r="Z7" s="27"/>
      <c r="AA7" s="27"/>
      <c r="AB7" s="27"/>
      <c r="AC7" s="27"/>
      <c r="AD7" s="27"/>
      <c r="AE7" s="27"/>
      <c r="AF7" s="27"/>
      <c r="AG7" s="27"/>
      <c r="AH7" s="27"/>
      <c r="AI7" s="27"/>
      <c r="AJ7" s="27"/>
      <c r="AK7" s="27"/>
      <c r="AL7" s="27"/>
      <c r="AM7" s="27"/>
      <c r="AN7" s="27"/>
      <c r="AO7" s="27"/>
      <c r="AP7" s="27"/>
      <c r="AQ7" s="27"/>
      <c r="AR7" s="27"/>
      <c r="AS7" s="27"/>
      <c r="AT7" s="27"/>
      <c r="AU7" s="27"/>
      <c r="AV7" s="27"/>
      <c r="AW7" s="27"/>
      <c r="AX7" s="27"/>
      <c r="AY7" s="27"/>
      <c r="AZ7" s="27"/>
      <c r="BA7" s="27"/>
      <c r="BB7" s="27"/>
      <c r="BC7" s="27"/>
      <c r="BD7" s="27"/>
      <c r="BE7" s="27"/>
      <c r="BF7" s="27"/>
      <c r="BG7" s="27"/>
      <c r="BH7" s="27"/>
      <c r="BI7" s="27"/>
      <c r="BJ7" s="27"/>
      <c r="BK7" s="27"/>
      <c r="BL7" s="27"/>
      <c r="BM7" s="27"/>
      <c r="BN7" s="27"/>
      <c r="BO7" s="27"/>
      <c r="BP7" s="27"/>
      <c r="BQ7" s="27"/>
      <c r="BR7" s="27"/>
      <c r="BS7" s="27"/>
      <c r="BT7" s="27"/>
      <c r="BU7" s="27"/>
      <c r="BV7" s="27"/>
      <c r="BW7" s="27"/>
      <c r="BX7" s="27"/>
      <c r="BY7" s="27"/>
      <c r="BZ7" s="27"/>
      <c r="CA7" s="156"/>
      <c r="CB7" s="156"/>
      <c r="CC7" s="156"/>
      <c r="CD7" s="156"/>
      <c r="CE7" s="156"/>
      <c r="CF7" s="156"/>
      <c r="CG7" s="156"/>
      <c r="CH7" s="156"/>
      <c r="CI7" s="156"/>
      <c r="CJ7" s="156"/>
      <c r="CK7" s="156"/>
      <c r="CL7" s="156"/>
      <c r="CM7" s="156"/>
      <c r="CN7" s="156"/>
      <c r="CO7" s="156"/>
      <c r="CP7" s="156"/>
      <c r="CQ7" s="156"/>
      <c r="CR7" s="107">
        <f t="shared" si="3"/>
        <v>28140.525000000001</v>
      </c>
      <c r="CS7" s="107">
        <f t="shared" si="4"/>
        <v>28265.594000000001</v>
      </c>
      <c r="CT7" s="108">
        <f t="shared" si="5"/>
        <v>2316.3102950647608</v>
      </c>
      <c r="CU7" s="65">
        <f t="shared" ref="CU7:CU70" si="6">CT7/CS7</f>
        <v>8.1948049457752803E-2</v>
      </c>
      <c r="CV7" s="66">
        <f t="shared" ref="CV7:CV70" si="7">CX7/1.19</f>
        <v>23752.941176470591</v>
      </c>
      <c r="CW7" s="66">
        <f t="shared" ref="CW7:CW70" si="8">CV7*19%</f>
        <v>4513.0588235294126</v>
      </c>
      <c r="CX7" s="109">
        <f>ROUNDUP(IF(CU7&lt;15%,CS7,CR7),0)</f>
        <v>28266</v>
      </c>
      <c r="CY7" s="109">
        <f>CX7*E7</f>
        <v>565320</v>
      </c>
      <c r="CZ7" s="110" t="s">
        <v>903</v>
      </c>
    </row>
    <row r="8" spans="1:104" ht="51" x14ac:dyDescent="0.2">
      <c r="A8" s="63">
        <v>3</v>
      </c>
      <c r="B8" s="149" t="s">
        <v>347</v>
      </c>
      <c r="C8" s="111" t="s">
        <v>348</v>
      </c>
      <c r="D8" s="105" t="s">
        <v>112</v>
      </c>
      <c r="E8" s="105">
        <v>5</v>
      </c>
      <c r="F8" s="13">
        <v>141225</v>
      </c>
      <c r="G8" s="132">
        <f t="shared" si="0"/>
        <v>148427.47500000001</v>
      </c>
      <c r="H8" s="13">
        <v>143325</v>
      </c>
      <c r="I8" s="132">
        <f t="shared" si="0"/>
        <v>150634.57500000001</v>
      </c>
      <c r="J8" s="13">
        <v>135030</v>
      </c>
      <c r="K8" s="132">
        <f t="shared" si="0"/>
        <v>141916.53</v>
      </c>
      <c r="L8" s="27"/>
      <c r="M8" s="27"/>
      <c r="N8" s="27"/>
      <c r="O8" s="27"/>
      <c r="P8" s="27"/>
      <c r="Q8" s="27"/>
      <c r="R8" s="27"/>
      <c r="S8" s="27"/>
      <c r="T8" s="27"/>
      <c r="U8" s="27"/>
      <c r="V8" s="27"/>
      <c r="W8" s="27"/>
      <c r="X8" s="27"/>
      <c r="Y8" s="27"/>
      <c r="Z8" s="27"/>
      <c r="AA8" s="27"/>
      <c r="AB8" s="27"/>
      <c r="AC8" s="27"/>
      <c r="AD8" s="27"/>
      <c r="AE8" s="27"/>
      <c r="AF8" s="27"/>
      <c r="AG8" s="27"/>
      <c r="AH8" s="27"/>
      <c r="AI8" s="27"/>
      <c r="AJ8" s="27"/>
      <c r="AK8" s="27"/>
      <c r="AL8" s="27"/>
      <c r="AM8" s="27"/>
      <c r="AN8" s="27"/>
      <c r="AO8" s="27"/>
      <c r="AP8" s="27"/>
      <c r="AQ8" s="27"/>
      <c r="AR8" s="27"/>
      <c r="AS8" s="27"/>
      <c r="AT8" s="27"/>
      <c r="AU8" s="27"/>
      <c r="AV8" s="27"/>
      <c r="AW8" s="27"/>
      <c r="AX8" s="27"/>
      <c r="AY8" s="27"/>
      <c r="AZ8" s="27"/>
      <c r="BA8" s="27"/>
      <c r="BB8" s="27"/>
      <c r="BC8" s="27"/>
      <c r="BD8" s="27"/>
      <c r="BE8" s="27"/>
      <c r="BF8" s="27"/>
      <c r="BG8" s="27"/>
      <c r="BH8" s="27"/>
      <c r="BI8" s="27"/>
      <c r="BJ8" s="27"/>
      <c r="BK8" s="27"/>
      <c r="BL8" s="27"/>
      <c r="BM8" s="27"/>
      <c r="BN8" s="27"/>
      <c r="BO8" s="27"/>
      <c r="BP8" s="27"/>
      <c r="BQ8" s="27"/>
      <c r="BR8" s="27"/>
      <c r="BS8" s="27"/>
      <c r="BT8" s="27"/>
      <c r="BU8" s="27"/>
      <c r="BV8" s="27"/>
      <c r="BW8" s="27"/>
      <c r="BX8" s="27"/>
      <c r="BY8" s="27"/>
      <c r="BZ8" s="27"/>
      <c r="CA8" s="156"/>
      <c r="CB8" s="156"/>
      <c r="CC8" s="156"/>
      <c r="CD8" s="156"/>
      <c r="CE8" s="156"/>
      <c r="CF8" s="156"/>
      <c r="CG8" s="156"/>
      <c r="CH8" s="156"/>
      <c r="CI8" s="156"/>
      <c r="CJ8" s="156"/>
      <c r="CK8" s="156"/>
      <c r="CL8" s="156"/>
      <c r="CM8" s="156"/>
      <c r="CN8" s="156"/>
      <c r="CO8" s="156"/>
      <c r="CP8" s="156"/>
      <c r="CQ8" s="156"/>
      <c r="CR8" s="107">
        <f t="shared" si="3"/>
        <v>148427.47500000001</v>
      </c>
      <c r="CS8" s="107">
        <f t="shared" si="4"/>
        <v>146992.86000000002</v>
      </c>
      <c r="CT8" s="108">
        <f t="shared" si="5"/>
        <v>4532.6225636131512</v>
      </c>
      <c r="CU8" s="65">
        <f t="shared" si="6"/>
        <v>3.0835664831701016E-2</v>
      </c>
      <c r="CV8" s="109">
        <f>ROUNDUP(IF(CU8&lt;15%,CS8,CR8),0)</f>
        <v>146993</v>
      </c>
      <c r="CW8" s="66">
        <v>0</v>
      </c>
      <c r="CX8" s="109">
        <f>CV8+CW8</f>
        <v>146993</v>
      </c>
      <c r="CY8" s="109">
        <f>CV8*E8</f>
        <v>734965</v>
      </c>
      <c r="CZ8" s="110" t="s">
        <v>903</v>
      </c>
    </row>
    <row r="9" spans="1:104" ht="51" x14ac:dyDescent="0.2">
      <c r="A9" s="63">
        <v>4</v>
      </c>
      <c r="B9" s="149" t="s">
        <v>349</v>
      </c>
      <c r="C9" s="111" t="s">
        <v>350</v>
      </c>
      <c r="D9" s="105" t="s">
        <v>112</v>
      </c>
      <c r="E9" s="105">
        <v>5</v>
      </c>
      <c r="F9" s="13">
        <v>162750</v>
      </c>
      <c r="G9" s="132">
        <f t="shared" si="0"/>
        <v>171050.25</v>
      </c>
      <c r="H9" s="13">
        <v>155925</v>
      </c>
      <c r="I9" s="132">
        <f t="shared" si="0"/>
        <v>163877.17499999999</v>
      </c>
      <c r="J9" s="13">
        <v>139125</v>
      </c>
      <c r="K9" s="132">
        <f t="shared" si="0"/>
        <v>146220.375</v>
      </c>
      <c r="L9" s="27"/>
      <c r="M9" s="27"/>
      <c r="N9" s="27"/>
      <c r="O9" s="27"/>
      <c r="P9" s="27"/>
      <c r="Q9" s="27"/>
      <c r="R9" s="27"/>
      <c r="S9" s="27"/>
      <c r="T9" s="27"/>
      <c r="U9" s="27"/>
      <c r="V9" s="27"/>
      <c r="W9" s="27"/>
      <c r="X9" s="27"/>
      <c r="Y9" s="27"/>
      <c r="Z9" s="27"/>
      <c r="AA9" s="27"/>
      <c r="AB9" s="27"/>
      <c r="AC9" s="27"/>
      <c r="AD9" s="27"/>
      <c r="AE9" s="27"/>
      <c r="AF9" s="27"/>
      <c r="AG9" s="27"/>
      <c r="AH9" s="27"/>
      <c r="AI9" s="27"/>
      <c r="AJ9" s="27"/>
      <c r="AK9" s="27"/>
      <c r="AL9" s="27"/>
      <c r="AM9" s="27"/>
      <c r="AN9" s="27"/>
      <c r="AO9" s="27"/>
      <c r="AP9" s="27"/>
      <c r="AQ9" s="27"/>
      <c r="AR9" s="27"/>
      <c r="AS9" s="27"/>
      <c r="AT9" s="27"/>
      <c r="AU9" s="27"/>
      <c r="AV9" s="27"/>
      <c r="AW9" s="27"/>
      <c r="AX9" s="27"/>
      <c r="AY9" s="27"/>
      <c r="AZ9" s="27"/>
      <c r="BA9" s="27"/>
      <c r="BB9" s="27"/>
      <c r="BC9" s="27"/>
      <c r="BD9" s="27"/>
      <c r="BE9" s="27"/>
      <c r="BF9" s="27"/>
      <c r="BG9" s="27"/>
      <c r="BH9" s="27"/>
      <c r="BI9" s="27"/>
      <c r="BJ9" s="27"/>
      <c r="BK9" s="27"/>
      <c r="BL9" s="27"/>
      <c r="BM9" s="27"/>
      <c r="BN9" s="27"/>
      <c r="BO9" s="27"/>
      <c r="BP9" s="27"/>
      <c r="BQ9" s="27"/>
      <c r="BR9" s="27"/>
      <c r="BS9" s="27"/>
      <c r="BT9" s="27"/>
      <c r="BU9" s="27"/>
      <c r="BV9" s="27"/>
      <c r="BW9" s="27"/>
      <c r="BX9" s="27"/>
      <c r="BY9" s="27"/>
      <c r="BZ9" s="27"/>
      <c r="CA9" s="156"/>
      <c r="CB9" s="156"/>
      <c r="CC9" s="156"/>
      <c r="CD9" s="156"/>
      <c r="CE9" s="156"/>
      <c r="CF9" s="156"/>
      <c r="CG9" s="156"/>
      <c r="CH9" s="156"/>
      <c r="CI9" s="156"/>
      <c r="CJ9" s="156"/>
      <c r="CK9" s="156"/>
      <c r="CL9" s="156"/>
      <c r="CM9" s="156"/>
      <c r="CN9" s="156"/>
      <c r="CO9" s="156"/>
      <c r="CP9" s="156"/>
      <c r="CQ9" s="156"/>
      <c r="CR9" s="107">
        <f t="shared" si="3"/>
        <v>163877.17499999999</v>
      </c>
      <c r="CS9" s="107">
        <f t="shared" si="4"/>
        <v>160382.6</v>
      </c>
      <c r="CT9" s="108">
        <f t="shared" si="5"/>
        <v>12778.48637170596</v>
      </c>
      <c r="CU9" s="65">
        <f t="shared" si="6"/>
        <v>7.9675016938907078E-2</v>
      </c>
      <c r="CV9" s="109">
        <f>ROUNDUP(IF(CU9&lt;15%,CS9,CR9),0)</f>
        <v>160383</v>
      </c>
      <c r="CW9" s="66">
        <v>0</v>
      </c>
      <c r="CX9" s="109">
        <f t="shared" ref="CX9:CX11" si="9">CV9+CW9</f>
        <v>160383</v>
      </c>
      <c r="CY9" s="109">
        <f>CV9*E9</f>
        <v>801915</v>
      </c>
      <c r="CZ9" s="110" t="s">
        <v>903</v>
      </c>
    </row>
    <row r="10" spans="1:104" ht="51" x14ac:dyDescent="0.2">
      <c r="A10" s="63">
        <v>5</v>
      </c>
      <c r="B10" s="149" t="s">
        <v>351</v>
      </c>
      <c r="C10" s="111" t="s">
        <v>352</v>
      </c>
      <c r="D10" s="105" t="s">
        <v>112</v>
      </c>
      <c r="E10" s="105">
        <v>5</v>
      </c>
      <c r="F10" s="13">
        <v>149625</v>
      </c>
      <c r="G10" s="132">
        <f t="shared" si="0"/>
        <v>157255.875</v>
      </c>
      <c r="H10" s="13">
        <v>145425</v>
      </c>
      <c r="I10" s="132">
        <f t="shared" si="0"/>
        <v>152841.67499999999</v>
      </c>
      <c r="J10" s="13">
        <v>135030</v>
      </c>
      <c r="K10" s="132">
        <f t="shared" si="0"/>
        <v>141916.53</v>
      </c>
      <c r="L10" s="27"/>
      <c r="M10" s="27"/>
      <c r="N10" s="27"/>
      <c r="O10" s="27"/>
      <c r="P10" s="27"/>
      <c r="Q10" s="27"/>
      <c r="R10" s="27"/>
      <c r="S10" s="27"/>
      <c r="T10" s="27"/>
      <c r="U10" s="27"/>
      <c r="V10" s="27"/>
      <c r="W10" s="27"/>
      <c r="X10" s="27"/>
      <c r="Y10" s="27"/>
      <c r="Z10" s="27"/>
      <c r="AA10" s="27"/>
      <c r="AB10" s="27"/>
      <c r="AC10" s="27"/>
      <c r="AD10" s="27"/>
      <c r="AE10" s="27"/>
      <c r="AF10" s="27"/>
      <c r="AG10" s="27"/>
      <c r="AH10" s="27"/>
      <c r="AI10" s="27"/>
      <c r="AJ10" s="27"/>
      <c r="AK10" s="27"/>
      <c r="AL10" s="27"/>
      <c r="AM10" s="27"/>
      <c r="AN10" s="27"/>
      <c r="AO10" s="27"/>
      <c r="AP10" s="27"/>
      <c r="AQ10" s="27"/>
      <c r="AR10" s="27"/>
      <c r="AS10" s="27"/>
      <c r="AT10" s="27"/>
      <c r="AU10" s="27"/>
      <c r="AV10" s="27"/>
      <c r="AW10" s="27"/>
      <c r="AX10" s="27"/>
      <c r="AY10" s="27"/>
      <c r="AZ10" s="27"/>
      <c r="BA10" s="27"/>
      <c r="BB10" s="27"/>
      <c r="BC10" s="27"/>
      <c r="BD10" s="27"/>
      <c r="BE10" s="27"/>
      <c r="BF10" s="27"/>
      <c r="BG10" s="27"/>
      <c r="BH10" s="27"/>
      <c r="BI10" s="27"/>
      <c r="BJ10" s="27"/>
      <c r="BK10" s="27"/>
      <c r="BL10" s="27"/>
      <c r="BM10" s="27"/>
      <c r="BN10" s="27"/>
      <c r="BO10" s="27"/>
      <c r="BP10" s="27"/>
      <c r="BQ10" s="27"/>
      <c r="BR10" s="27"/>
      <c r="BS10" s="27"/>
      <c r="BT10" s="27"/>
      <c r="BU10" s="27"/>
      <c r="BV10" s="27"/>
      <c r="BW10" s="27"/>
      <c r="BX10" s="27"/>
      <c r="BY10" s="27"/>
      <c r="BZ10" s="27"/>
      <c r="CA10" s="156"/>
      <c r="CB10" s="156"/>
      <c r="CC10" s="156"/>
      <c r="CD10" s="156"/>
      <c r="CE10" s="156"/>
      <c r="CF10" s="156"/>
      <c r="CG10" s="156"/>
      <c r="CH10" s="156"/>
      <c r="CI10" s="156"/>
      <c r="CJ10" s="156"/>
      <c r="CK10" s="156"/>
      <c r="CL10" s="156"/>
      <c r="CM10" s="156"/>
      <c r="CN10" s="156"/>
      <c r="CO10" s="156"/>
      <c r="CP10" s="156"/>
      <c r="CQ10" s="156"/>
      <c r="CR10" s="107">
        <f t="shared" si="3"/>
        <v>152841.67499999999</v>
      </c>
      <c r="CS10" s="107">
        <f t="shared" si="4"/>
        <v>150671.35999999999</v>
      </c>
      <c r="CT10" s="108">
        <f t="shared" si="5"/>
        <v>7896.618051841876</v>
      </c>
      <c r="CU10" s="65">
        <f t="shared" si="6"/>
        <v>5.2409549179365453E-2</v>
      </c>
      <c r="CV10" s="109">
        <f>ROUNDUP(IF(CU10&lt;15%,CS10,CR10),0)</f>
        <v>150672</v>
      </c>
      <c r="CW10" s="66">
        <v>0</v>
      </c>
      <c r="CX10" s="109">
        <f t="shared" si="9"/>
        <v>150672</v>
      </c>
      <c r="CY10" s="109">
        <f>CV10*E10</f>
        <v>753360</v>
      </c>
      <c r="CZ10" s="110" t="s">
        <v>903</v>
      </c>
    </row>
    <row r="11" spans="1:104" ht="51" x14ac:dyDescent="0.2">
      <c r="A11" s="63">
        <v>6</v>
      </c>
      <c r="B11" s="149" t="s">
        <v>353</v>
      </c>
      <c r="C11" s="111" t="s">
        <v>354</v>
      </c>
      <c r="D11" s="105" t="s">
        <v>112</v>
      </c>
      <c r="E11" s="105">
        <v>5</v>
      </c>
      <c r="F11" s="13">
        <v>173670</v>
      </c>
      <c r="G11" s="132">
        <f t="shared" si="0"/>
        <v>182527.17</v>
      </c>
      <c r="H11" s="13">
        <v>173250</v>
      </c>
      <c r="I11" s="132">
        <f t="shared" si="0"/>
        <v>182085.75</v>
      </c>
      <c r="J11" s="13">
        <v>187425</v>
      </c>
      <c r="K11" s="132">
        <f t="shared" si="0"/>
        <v>196983.67499999999</v>
      </c>
      <c r="L11" s="27"/>
      <c r="M11" s="27"/>
      <c r="N11" s="27"/>
      <c r="O11" s="27"/>
      <c r="P11" s="27"/>
      <c r="Q11" s="27"/>
      <c r="R11" s="27"/>
      <c r="S11" s="27"/>
      <c r="T11" s="27"/>
      <c r="U11" s="27"/>
      <c r="V11" s="27"/>
      <c r="W11" s="27"/>
      <c r="X11" s="27"/>
      <c r="Y11" s="27"/>
      <c r="Z11" s="27"/>
      <c r="AA11" s="27"/>
      <c r="AB11" s="27"/>
      <c r="AC11" s="27"/>
      <c r="AD11" s="27"/>
      <c r="AE11" s="27"/>
      <c r="AF11" s="27"/>
      <c r="AG11" s="27"/>
      <c r="AH11" s="27"/>
      <c r="AI11" s="27"/>
      <c r="AJ11" s="27"/>
      <c r="AK11" s="27"/>
      <c r="AL11" s="27"/>
      <c r="AM11" s="27"/>
      <c r="AN11" s="27"/>
      <c r="AO11" s="27"/>
      <c r="AP11" s="27"/>
      <c r="AQ11" s="27"/>
      <c r="AR11" s="27"/>
      <c r="AS11" s="27"/>
      <c r="AT11" s="27"/>
      <c r="AU11" s="27"/>
      <c r="AV11" s="27"/>
      <c r="AW11" s="27"/>
      <c r="AX11" s="27"/>
      <c r="AY11" s="27"/>
      <c r="AZ11" s="27"/>
      <c r="BA11" s="27"/>
      <c r="BB11" s="27"/>
      <c r="BC11" s="27"/>
      <c r="BD11" s="27"/>
      <c r="BE11" s="27"/>
      <c r="BF11" s="27"/>
      <c r="BG11" s="27"/>
      <c r="BH11" s="27"/>
      <c r="BI11" s="27"/>
      <c r="BJ11" s="27"/>
      <c r="BK11" s="27"/>
      <c r="BL11" s="27"/>
      <c r="BM11" s="27"/>
      <c r="BN11" s="27"/>
      <c r="BO11" s="27"/>
      <c r="BP11" s="27"/>
      <c r="BQ11" s="27"/>
      <c r="BR11" s="27"/>
      <c r="BS11" s="27"/>
      <c r="BT11" s="27"/>
      <c r="BU11" s="27"/>
      <c r="BV11" s="27"/>
      <c r="BW11" s="27"/>
      <c r="BX11" s="27"/>
      <c r="BY11" s="27"/>
      <c r="BZ11" s="27"/>
      <c r="CA11" s="156"/>
      <c r="CB11" s="156"/>
      <c r="CC11" s="156"/>
      <c r="CD11" s="156"/>
      <c r="CE11" s="156"/>
      <c r="CF11" s="156"/>
      <c r="CG11" s="156"/>
      <c r="CH11" s="156"/>
      <c r="CI11" s="156"/>
      <c r="CJ11" s="156"/>
      <c r="CK11" s="156"/>
      <c r="CL11" s="156"/>
      <c r="CM11" s="156"/>
      <c r="CN11" s="156"/>
      <c r="CO11" s="156"/>
      <c r="CP11" s="156"/>
      <c r="CQ11" s="156"/>
      <c r="CR11" s="107">
        <f t="shared" si="3"/>
        <v>182527.17</v>
      </c>
      <c r="CS11" s="107">
        <f t="shared" si="4"/>
        <v>187198.86499999999</v>
      </c>
      <c r="CT11" s="108">
        <f t="shared" si="5"/>
        <v>8476.7678366329474</v>
      </c>
      <c r="CU11" s="65">
        <f t="shared" si="6"/>
        <v>4.5282154016441006E-2</v>
      </c>
      <c r="CV11" s="109">
        <f>ROUNDUP(IF(CU11&lt;15%,CS11,CR11),0)</f>
        <v>187199</v>
      </c>
      <c r="CW11" s="66">
        <v>0</v>
      </c>
      <c r="CX11" s="109">
        <f t="shared" si="9"/>
        <v>187199</v>
      </c>
      <c r="CY11" s="109">
        <f>CV11*E11</f>
        <v>935995</v>
      </c>
      <c r="CZ11" s="110" t="s">
        <v>903</v>
      </c>
    </row>
    <row r="12" spans="1:104" ht="34" x14ac:dyDescent="0.2">
      <c r="A12" s="63">
        <v>7</v>
      </c>
      <c r="B12" s="149" t="s">
        <v>355</v>
      </c>
      <c r="C12" s="111" t="s">
        <v>356</v>
      </c>
      <c r="D12" s="105" t="s">
        <v>7</v>
      </c>
      <c r="E12" s="105">
        <v>2</v>
      </c>
      <c r="F12" s="13">
        <v>215000</v>
      </c>
      <c r="G12" s="132">
        <f t="shared" si="0"/>
        <v>225965</v>
      </c>
      <c r="H12" s="13">
        <v>208600</v>
      </c>
      <c r="I12" s="132">
        <f t="shared" si="0"/>
        <v>219238.6</v>
      </c>
      <c r="J12" s="13">
        <v>198600</v>
      </c>
      <c r="K12" s="132">
        <f t="shared" si="0"/>
        <v>208728.6</v>
      </c>
      <c r="L12" s="27"/>
      <c r="M12" s="27"/>
      <c r="N12" s="27"/>
      <c r="O12" s="27"/>
      <c r="P12" s="27"/>
      <c r="Q12" s="27"/>
      <c r="R12" s="27"/>
      <c r="S12" s="27"/>
      <c r="T12" s="27"/>
      <c r="U12" s="27"/>
      <c r="V12" s="27"/>
      <c r="W12" s="27"/>
      <c r="X12" s="27"/>
      <c r="Y12" s="27"/>
      <c r="Z12" s="27"/>
      <c r="AA12" s="27"/>
      <c r="AB12" s="27"/>
      <c r="AC12" s="27"/>
      <c r="AD12" s="27"/>
      <c r="AE12" s="27"/>
      <c r="AF12" s="27"/>
      <c r="AG12" s="27"/>
      <c r="AH12" s="27"/>
      <c r="AI12" s="27"/>
      <c r="AJ12" s="27"/>
      <c r="AK12" s="27"/>
      <c r="AL12" s="27"/>
      <c r="AM12" s="27"/>
      <c r="AN12" s="27"/>
      <c r="AO12" s="27"/>
      <c r="AP12" s="27"/>
      <c r="AQ12" s="27"/>
      <c r="AR12" s="27"/>
      <c r="AS12" s="27"/>
      <c r="AT12" s="27"/>
      <c r="AU12" s="27"/>
      <c r="AV12" s="27"/>
      <c r="AW12" s="27"/>
      <c r="AX12" s="27"/>
      <c r="AY12" s="27"/>
      <c r="AZ12" s="27"/>
      <c r="BA12" s="27"/>
      <c r="BB12" s="27"/>
      <c r="BC12" s="27"/>
      <c r="BD12" s="27"/>
      <c r="BE12" s="27"/>
      <c r="BF12" s="27"/>
      <c r="BG12" s="27"/>
      <c r="BH12" s="27"/>
      <c r="BI12" s="27"/>
      <c r="BJ12" s="27"/>
      <c r="BK12" s="27"/>
      <c r="BL12" s="27"/>
      <c r="BM12" s="27"/>
      <c r="BN12" s="27"/>
      <c r="BO12" s="27"/>
      <c r="BP12" s="27"/>
      <c r="BQ12" s="27"/>
      <c r="BR12" s="27"/>
      <c r="BS12" s="27"/>
      <c r="BT12" s="27"/>
      <c r="BU12" s="27"/>
      <c r="BV12" s="27"/>
      <c r="BW12" s="27"/>
      <c r="BX12" s="27"/>
      <c r="BY12" s="27"/>
      <c r="BZ12" s="27"/>
      <c r="CA12" s="156"/>
      <c r="CB12" s="156"/>
      <c r="CC12" s="156"/>
      <c r="CD12" s="156"/>
      <c r="CE12" s="156"/>
      <c r="CF12" s="156"/>
      <c r="CG12" s="156"/>
      <c r="CH12" s="156"/>
      <c r="CI12" s="156"/>
      <c r="CJ12" s="156"/>
      <c r="CK12" s="156"/>
      <c r="CL12" s="156"/>
      <c r="CM12" s="156"/>
      <c r="CN12" s="156"/>
      <c r="CO12" s="156"/>
      <c r="CP12" s="156"/>
      <c r="CQ12" s="156"/>
      <c r="CR12" s="107">
        <f t="shared" si="3"/>
        <v>219238.6</v>
      </c>
      <c r="CS12" s="107">
        <f t="shared" si="4"/>
        <v>217977.4</v>
      </c>
      <c r="CT12" s="108">
        <f t="shared" si="5"/>
        <v>8687.1364856320724</v>
      </c>
      <c r="CU12" s="65">
        <f t="shared" si="6"/>
        <v>3.9853381523185766E-2</v>
      </c>
      <c r="CV12" s="66">
        <f>CX12/1.19</f>
        <v>183174.78991596639</v>
      </c>
      <c r="CW12" s="66">
        <f t="shared" si="8"/>
        <v>34803.210084033613</v>
      </c>
      <c r="CX12" s="109">
        <f t="shared" ref="CX12:CX29" si="10">ROUNDUP(IF(CU12&lt;15%,CS12,CR12),0)</f>
        <v>217978</v>
      </c>
      <c r="CY12" s="109">
        <f t="shared" ref="CY12:CY29" si="11">CX12*E12</f>
        <v>435956</v>
      </c>
      <c r="CZ12" s="110" t="s">
        <v>903</v>
      </c>
    </row>
    <row r="13" spans="1:104" ht="34" x14ac:dyDescent="0.2">
      <c r="A13" s="63">
        <v>8</v>
      </c>
      <c r="B13" s="149" t="s">
        <v>836</v>
      </c>
      <c r="C13" s="111" t="s">
        <v>357</v>
      </c>
      <c r="D13" s="105" t="s">
        <v>7</v>
      </c>
      <c r="E13" s="105">
        <v>8</v>
      </c>
      <c r="F13" s="13">
        <v>44625</v>
      </c>
      <c r="G13" s="132">
        <f t="shared" si="0"/>
        <v>46900.875</v>
      </c>
      <c r="H13" s="13">
        <v>45934</v>
      </c>
      <c r="I13" s="132">
        <f t="shared" si="0"/>
        <v>48276.633999999998</v>
      </c>
      <c r="J13" s="13">
        <v>41055</v>
      </c>
      <c r="K13" s="132">
        <f t="shared" si="0"/>
        <v>43148.805</v>
      </c>
      <c r="L13" s="27"/>
      <c r="M13" s="27"/>
      <c r="N13" s="27"/>
      <c r="O13" s="27"/>
      <c r="P13" s="27"/>
      <c r="Q13" s="27"/>
      <c r="R13" s="27"/>
      <c r="S13" s="27"/>
      <c r="T13" s="27"/>
      <c r="U13" s="27"/>
      <c r="V13" s="27"/>
      <c r="W13" s="27"/>
      <c r="X13" s="27"/>
      <c r="Y13" s="27"/>
      <c r="Z13" s="27"/>
      <c r="AA13" s="27"/>
      <c r="AB13" s="27"/>
      <c r="AC13" s="27"/>
      <c r="AD13" s="27"/>
      <c r="AE13" s="27"/>
      <c r="AF13" s="27"/>
      <c r="AG13" s="27"/>
      <c r="AH13" s="27"/>
      <c r="AI13" s="27"/>
      <c r="AJ13" s="27"/>
      <c r="AK13" s="27"/>
      <c r="AL13" s="27"/>
      <c r="AM13" s="27"/>
      <c r="AN13" s="27"/>
      <c r="AO13" s="27"/>
      <c r="AP13" s="27"/>
      <c r="AQ13" s="27"/>
      <c r="AR13" s="27"/>
      <c r="AS13" s="27"/>
      <c r="AT13" s="27"/>
      <c r="AU13" s="27"/>
      <c r="AV13" s="27"/>
      <c r="AW13" s="27"/>
      <c r="AX13" s="27"/>
      <c r="AY13" s="27"/>
      <c r="AZ13" s="27"/>
      <c r="BA13" s="27"/>
      <c r="BB13" s="27"/>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156"/>
      <c r="CB13" s="156"/>
      <c r="CC13" s="156"/>
      <c r="CD13" s="156"/>
      <c r="CE13" s="156"/>
      <c r="CF13" s="156"/>
      <c r="CG13" s="156"/>
      <c r="CH13" s="156"/>
      <c r="CI13" s="156"/>
      <c r="CJ13" s="156"/>
      <c r="CK13" s="156"/>
      <c r="CL13" s="156"/>
      <c r="CM13" s="156"/>
      <c r="CN13" s="156"/>
      <c r="CO13" s="156"/>
      <c r="CP13" s="156"/>
      <c r="CQ13" s="156"/>
      <c r="CR13" s="107">
        <f t="shared" si="3"/>
        <v>46900.875</v>
      </c>
      <c r="CS13" s="107">
        <f t="shared" si="4"/>
        <v>46108.77133333333</v>
      </c>
      <c r="CT13" s="108">
        <f t="shared" si="5"/>
        <v>2654.0965934514006</v>
      </c>
      <c r="CU13" s="65">
        <f t="shared" si="6"/>
        <v>5.756164210631827E-2</v>
      </c>
      <c r="CV13" s="66">
        <f t="shared" si="7"/>
        <v>38747.058823529413</v>
      </c>
      <c r="CW13" s="66">
        <f t="shared" si="8"/>
        <v>7361.9411764705883</v>
      </c>
      <c r="CX13" s="109">
        <f t="shared" si="10"/>
        <v>46109</v>
      </c>
      <c r="CY13" s="109">
        <f t="shared" si="11"/>
        <v>368872</v>
      </c>
      <c r="CZ13" s="110" t="s">
        <v>903</v>
      </c>
    </row>
    <row r="14" spans="1:104" ht="60" customHeight="1" x14ac:dyDescent="0.2">
      <c r="A14" s="63">
        <v>9</v>
      </c>
      <c r="B14" s="149" t="s">
        <v>358</v>
      </c>
      <c r="C14" s="111" t="s">
        <v>359</v>
      </c>
      <c r="D14" s="105" t="s">
        <v>7</v>
      </c>
      <c r="E14" s="105">
        <v>10</v>
      </c>
      <c r="F14" s="13">
        <v>38675</v>
      </c>
      <c r="G14" s="132">
        <f t="shared" si="0"/>
        <v>40647.425000000003</v>
      </c>
      <c r="H14" s="13">
        <v>45815</v>
      </c>
      <c r="I14" s="132">
        <f t="shared" si="0"/>
        <v>48151.565000000002</v>
      </c>
      <c r="J14" s="13">
        <v>41055</v>
      </c>
      <c r="K14" s="132">
        <f>((J14*5.1%)+J14)</f>
        <v>43148.805</v>
      </c>
      <c r="L14" s="27"/>
      <c r="M14" s="27"/>
      <c r="N14" s="27"/>
      <c r="O14" s="27"/>
      <c r="P14" s="27"/>
      <c r="Q14" s="27"/>
      <c r="R14" s="27"/>
      <c r="S14" s="27"/>
      <c r="T14" s="27"/>
      <c r="U14" s="27"/>
      <c r="V14" s="27"/>
      <c r="W14" s="27"/>
      <c r="X14" s="27"/>
      <c r="Y14" s="27"/>
      <c r="Z14" s="27"/>
      <c r="AA14" s="27"/>
      <c r="AB14" s="27"/>
      <c r="AC14" s="27"/>
      <c r="AD14" s="27"/>
      <c r="AE14" s="27"/>
      <c r="AF14" s="27"/>
      <c r="AG14" s="27"/>
      <c r="AH14" s="27"/>
      <c r="AI14" s="27"/>
      <c r="AJ14" s="27"/>
      <c r="AK14" s="27"/>
      <c r="AL14" s="27"/>
      <c r="AM14" s="27"/>
      <c r="AN14" s="27"/>
      <c r="AO14" s="27"/>
      <c r="AP14" s="27"/>
      <c r="AQ14" s="27"/>
      <c r="AR14" s="27"/>
      <c r="AS14" s="27"/>
      <c r="AT14" s="27"/>
      <c r="AU14" s="27"/>
      <c r="AV14" s="27"/>
      <c r="AW14" s="27"/>
      <c r="AX14" s="27"/>
      <c r="AY14" s="27"/>
      <c r="AZ14" s="27"/>
      <c r="BA14" s="27"/>
      <c r="BB14" s="27"/>
      <c r="BC14" s="27"/>
      <c r="BD14" s="27"/>
      <c r="BE14" s="27"/>
      <c r="BF14" s="27"/>
      <c r="BG14" s="27"/>
      <c r="BH14" s="27"/>
      <c r="BI14" s="27"/>
      <c r="BJ14" s="27"/>
      <c r="BK14" s="27"/>
      <c r="BL14" s="27"/>
      <c r="BM14" s="27"/>
      <c r="BN14" s="27"/>
      <c r="BO14" s="27"/>
      <c r="BP14" s="27"/>
      <c r="BQ14" s="27"/>
      <c r="BR14" s="27"/>
      <c r="BS14" s="27"/>
      <c r="BT14" s="27"/>
      <c r="BU14" s="27"/>
      <c r="BV14" s="27"/>
      <c r="BW14" s="27"/>
      <c r="BX14" s="27"/>
      <c r="BY14" s="27"/>
      <c r="BZ14" s="27"/>
      <c r="CA14" s="156"/>
      <c r="CB14" s="156"/>
      <c r="CC14" s="156"/>
      <c r="CD14" s="156"/>
      <c r="CE14" s="156"/>
      <c r="CF14" s="156"/>
      <c r="CG14" s="156"/>
      <c r="CH14" s="156"/>
      <c r="CI14" s="156"/>
      <c r="CJ14" s="156"/>
      <c r="CK14" s="156"/>
      <c r="CL14" s="156"/>
      <c r="CM14" s="156"/>
      <c r="CN14" s="156"/>
      <c r="CO14" s="156"/>
      <c r="CP14" s="156"/>
      <c r="CQ14" s="156"/>
      <c r="CR14" s="107">
        <f t="shared" si="3"/>
        <v>43148.805</v>
      </c>
      <c r="CS14" s="107">
        <f t="shared" si="4"/>
        <v>43982.598333333335</v>
      </c>
      <c r="CT14" s="108">
        <f t="shared" si="5"/>
        <v>3820.9210639495464</v>
      </c>
      <c r="CU14" s="65">
        <f t="shared" si="6"/>
        <v>8.6873472890158107E-2</v>
      </c>
      <c r="CV14" s="66">
        <f t="shared" si="7"/>
        <v>36960.504201680676</v>
      </c>
      <c r="CW14" s="66">
        <f t="shared" si="8"/>
        <v>7022.495798319329</v>
      </c>
      <c r="CX14" s="109">
        <f t="shared" si="10"/>
        <v>43983</v>
      </c>
      <c r="CY14" s="109">
        <f t="shared" si="11"/>
        <v>439830</v>
      </c>
      <c r="CZ14" s="110" t="s">
        <v>903</v>
      </c>
    </row>
    <row r="15" spans="1:104" ht="34" x14ac:dyDescent="0.2">
      <c r="A15" s="63">
        <v>10</v>
      </c>
      <c r="B15" s="149" t="s">
        <v>360</v>
      </c>
      <c r="C15" s="111" t="s">
        <v>361</v>
      </c>
      <c r="D15" s="105" t="s">
        <v>7</v>
      </c>
      <c r="E15" s="105">
        <v>20</v>
      </c>
      <c r="F15" s="13">
        <v>17255</v>
      </c>
      <c r="G15" s="132">
        <f t="shared" si="0"/>
        <v>18135.005000000001</v>
      </c>
      <c r="H15" s="13">
        <v>19635</v>
      </c>
      <c r="I15" s="132">
        <f t="shared" si="0"/>
        <v>20636.384999999998</v>
      </c>
      <c r="J15" s="13">
        <v>21182</v>
      </c>
      <c r="K15" s="132">
        <f t="shared" si="0"/>
        <v>22262.281999999999</v>
      </c>
      <c r="L15" s="27"/>
      <c r="M15" s="27"/>
      <c r="N15" s="27"/>
      <c r="O15" s="27"/>
      <c r="P15" s="27"/>
      <c r="Q15" s="27"/>
      <c r="R15" s="27"/>
      <c r="S15" s="27"/>
      <c r="T15" s="27"/>
      <c r="U15" s="27"/>
      <c r="V15" s="27"/>
      <c r="W15" s="27"/>
      <c r="X15" s="27"/>
      <c r="Y15" s="27"/>
      <c r="Z15" s="27"/>
      <c r="AA15" s="27"/>
      <c r="AB15" s="27"/>
      <c r="AC15" s="27"/>
      <c r="AD15" s="27"/>
      <c r="AE15" s="27"/>
      <c r="AF15" s="27"/>
      <c r="AG15" s="27"/>
      <c r="AH15" s="27"/>
      <c r="AI15" s="27"/>
      <c r="AJ15" s="27"/>
      <c r="AK15" s="27"/>
      <c r="AL15" s="27"/>
      <c r="AM15" s="27"/>
      <c r="AN15" s="27"/>
      <c r="AO15" s="27"/>
      <c r="AP15" s="27"/>
      <c r="AQ15" s="27"/>
      <c r="AR15" s="27"/>
      <c r="AS15" s="27"/>
      <c r="AT15" s="27"/>
      <c r="AU15" s="27"/>
      <c r="AV15" s="27"/>
      <c r="AW15" s="27"/>
      <c r="AX15" s="27"/>
      <c r="AY15" s="27"/>
      <c r="AZ15" s="27"/>
      <c r="BA15" s="27"/>
      <c r="BB15" s="27"/>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156"/>
      <c r="CB15" s="156"/>
      <c r="CC15" s="156"/>
      <c r="CD15" s="156"/>
      <c r="CE15" s="156"/>
      <c r="CF15" s="156"/>
      <c r="CG15" s="156"/>
      <c r="CH15" s="156"/>
      <c r="CI15" s="156"/>
      <c r="CJ15" s="156"/>
      <c r="CK15" s="156"/>
      <c r="CL15" s="156"/>
      <c r="CM15" s="156"/>
      <c r="CN15" s="156"/>
      <c r="CO15" s="156"/>
      <c r="CP15" s="156"/>
      <c r="CQ15" s="156"/>
      <c r="CR15" s="107">
        <f t="shared" si="3"/>
        <v>20636.384999999998</v>
      </c>
      <c r="CS15" s="107">
        <f t="shared" si="4"/>
        <v>20344.557333333334</v>
      </c>
      <c r="CT15" s="108">
        <f t="shared" si="5"/>
        <v>2079.056612734807</v>
      </c>
      <c r="CU15" s="65">
        <f t="shared" si="6"/>
        <v>0.10219227573599735</v>
      </c>
      <c r="CV15" s="66">
        <f t="shared" si="7"/>
        <v>17096.638655462186</v>
      </c>
      <c r="CW15" s="66">
        <f t="shared" si="8"/>
        <v>3248.3613445378155</v>
      </c>
      <c r="CX15" s="109">
        <f t="shared" si="10"/>
        <v>20345</v>
      </c>
      <c r="CY15" s="109">
        <f t="shared" si="11"/>
        <v>406900</v>
      </c>
      <c r="CZ15" s="110" t="s">
        <v>903</v>
      </c>
    </row>
    <row r="16" spans="1:104" ht="34" x14ac:dyDescent="0.2">
      <c r="A16" s="63">
        <v>11</v>
      </c>
      <c r="B16" s="149" t="s">
        <v>362</v>
      </c>
      <c r="C16" s="111" t="s">
        <v>363</v>
      </c>
      <c r="D16" s="105" t="s">
        <v>7</v>
      </c>
      <c r="E16" s="105">
        <v>5</v>
      </c>
      <c r="F16" s="13">
        <v>64855</v>
      </c>
      <c r="G16" s="132">
        <f t="shared" si="0"/>
        <v>68162.604999999996</v>
      </c>
      <c r="H16" s="13">
        <v>61285</v>
      </c>
      <c r="I16" s="132">
        <f t="shared" si="0"/>
        <v>64410.535000000003</v>
      </c>
      <c r="J16" s="13">
        <v>60214</v>
      </c>
      <c r="K16" s="132">
        <f t="shared" si="0"/>
        <v>63284.913999999997</v>
      </c>
      <c r="L16" s="27"/>
      <c r="M16" s="27"/>
      <c r="N16" s="27"/>
      <c r="O16" s="27"/>
      <c r="P16" s="27"/>
      <c r="Q16" s="27"/>
      <c r="R16" s="27"/>
      <c r="S16" s="27"/>
      <c r="T16" s="27"/>
      <c r="U16" s="27"/>
      <c r="V16" s="27"/>
      <c r="W16" s="27"/>
      <c r="X16" s="27"/>
      <c r="Y16" s="27"/>
      <c r="Z16" s="27"/>
      <c r="AA16" s="27"/>
      <c r="AB16" s="27"/>
      <c r="AC16" s="27"/>
      <c r="AD16" s="27"/>
      <c r="AE16" s="27"/>
      <c r="AF16" s="27"/>
      <c r="AG16" s="27"/>
      <c r="AH16" s="27"/>
      <c r="AI16" s="27"/>
      <c r="AJ16" s="27"/>
      <c r="AK16" s="27"/>
      <c r="AL16" s="27"/>
      <c r="AM16" s="27"/>
      <c r="AN16" s="27"/>
      <c r="AO16" s="27"/>
      <c r="AP16" s="27"/>
      <c r="AQ16" s="27"/>
      <c r="AR16" s="27"/>
      <c r="AS16" s="27"/>
      <c r="AT16" s="27"/>
      <c r="AU16" s="27"/>
      <c r="AV16" s="27"/>
      <c r="AW16" s="27"/>
      <c r="AX16" s="27"/>
      <c r="AY16" s="27"/>
      <c r="AZ16" s="27"/>
      <c r="BA16" s="27"/>
      <c r="BB16" s="27"/>
      <c r="BC16" s="27"/>
      <c r="BD16" s="27"/>
      <c r="BE16" s="27"/>
      <c r="BF16" s="27"/>
      <c r="BG16" s="27"/>
      <c r="BH16" s="27"/>
      <c r="BI16" s="27"/>
      <c r="BJ16" s="27"/>
      <c r="BK16" s="27"/>
      <c r="BL16" s="27"/>
      <c r="BM16" s="27"/>
      <c r="BN16" s="27"/>
      <c r="BO16" s="27"/>
      <c r="BP16" s="27"/>
      <c r="BQ16" s="27"/>
      <c r="BR16" s="27"/>
      <c r="BS16" s="27"/>
      <c r="BT16" s="27"/>
      <c r="BU16" s="27"/>
      <c r="BV16" s="27"/>
      <c r="BW16" s="27"/>
      <c r="BX16" s="27"/>
      <c r="BY16" s="27"/>
      <c r="BZ16" s="27"/>
      <c r="CA16" s="156"/>
      <c r="CB16" s="156"/>
      <c r="CC16" s="156"/>
      <c r="CD16" s="156"/>
      <c r="CE16" s="156"/>
      <c r="CF16" s="156"/>
      <c r="CG16" s="156"/>
      <c r="CH16" s="156"/>
      <c r="CI16" s="156"/>
      <c r="CJ16" s="156"/>
      <c r="CK16" s="156"/>
      <c r="CL16" s="156"/>
      <c r="CM16" s="156"/>
      <c r="CN16" s="156"/>
      <c r="CO16" s="156"/>
      <c r="CP16" s="156"/>
      <c r="CQ16" s="156"/>
      <c r="CR16" s="107">
        <f t="shared" si="3"/>
        <v>64410.535000000003</v>
      </c>
      <c r="CS16" s="107">
        <f t="shared" si="4"/>
        <v>65286.018000000004</v>
      </c>
      <c r="CT16" s="108">
        <f t="shared" si="5"/>
        <v>2553.981251954875</v>
      </c>
      <c r="CU16" s="65">
        <f t="shared" si="6"/>
        <v>3.9119880951460004E-2</v>
      </c>
      <c r="CV16" s="66">
        <f t="shared" si="7"/>
        <v>54863.025210084037</v>
      </c>
      <c r="CW16" s="66">
        <f t="shared" si="8"/>
        <v>10423.974789915967</v>
      </c>
      <c r="CX16" s="109">
        <f t="shared" si="10"/>
        <v>65287</v>
      </c>
      <c r="CY16" s="109">
        <f t="shared" si="11"/>
        <v>326435</v>
      </c>
      <c r="CZ16" s="110" t="s">
        <v>903</v>
      </c>
    </row>
    <row r="17" spans="1:104" ht="34" x14ac:dyDescent="0.2">
      <c r="A17" s="63">
        <v>12</v>
      </c>
      <c r="B17" s="149" t="s">
        <v>364</v>
      </c>
      <c r="C17" s="111" t="s">
        <v>365</v>
      </c>
      <c r="D17" s="105" t="s">
        <v>7</v>
      </c>
      <c r="E17" s="105">
        <v>20</v>
      </c>
      <c r="F17" s="27"/>
      <c r="G17" s="27"/>
      <c r="H17" s="27"/>
      <c r="I17" s="27"/>
      <c r="J17" s="27"/>
      <c r="K17" s="27"/>
      <c r="L17" s="17">
        <v>18000</v>
      </c>
      <c r="M17" s="71">
        <f t="shared" si="0"/>
        <v>18918</v>
      </c>
      <c r="N17" s="69">
        <v>19231.092436974792</v>
      </c>
      <c r="O17" s="69">
        <f>N17*19%</f>
        <v>3653.9075630252105</v>
      </c>
      <c r="P17" s="69">
        <f>(N17*1.17)+O17</f>
        <v>26154.285714285717</v>
      </c>
      <c r="Q17" s="27"/>
      <c r="R17" s="27"/>
      <c r="S17" s="27"/>
      <c r="T17" s="27"/>
      <c r="U17" s="27"/>
      <c r="V17" s="27"/>
      <c r="W17" s="27"/>
      <c r="X17" s="27"/>
      <c r="Y17" s="27"/>
      <c r="Z17" s="27"/>
      <c r="AA17" s="27"/>
      <c r="AB17" s="27"/>
      <c r="AC17" s="27"/>
      <c r="AD17" s="27"/>
      <c r="AE17" s="27"/>
      <c r="AF17" s="27"/>
      <c r="AG17" s="27"/>
      <c r="AH17" s="27"/>
      <c r="AI17" s="27"/>
      <c r="AJ17" s="27"/>
      <c r="AK17" s="27"/>
      <c r="AL17" s="27"/>
      <c r="AM17" s="27"/>
      <c r="AN17" s="27"/>
      <c r="AO17" s="27"/>
      <c r="AP17" s="27"/>
      <c r="AQ17" s="27"/>
      <c r="AR17" s="27"/>
      <c r="AS17" s="27"/>
      <c r="AT17" s="27"/>
      <c r="AU17" s="27"/>
      <c r="AV17" s="27"/>
      <c r="AW17" s="27"/>
      <c r="AX17" s="27"/>
      <c r="AY17" s="27"/>
      <c r="AZ17" s="27"/>
      <c r="BA17" s="27"/>
      <c r="BB17" s="27"/>
      <c r="BC17" s="27"/>
      <c r="BD17" s="27"/>
      <c r="BE17" s="27"/>
      <c r="BF17" s="27"/>
      <c r="BG17" s="27"/>
      <c r="BH17" s="27"/>
      <c r="BI17" s="27"/>
      <c r="BJ17" s="27"/>
      <c r="BK17" s="27"/>
      <c r="BL17" s="27"/>
      <c r="BM17" s="27"/>
      <c r="BN17" s="27"/>
      <c r="BO17" s="27"/>
      <c r="BP17" s="27"/>
      <c r="BQ17" s="27"/>
      <c r="BR17" s="27"/>
      <c r="BS17" s="27"/>
      <c r="BT17" s="27"/>
      <c r="BU17" s="27"/>
      <c r="BV17" s="27"/>
      <c r="BW17" s="27"/>
      <c r="BX17" s="27"/>
      <c r="BY17" s="27"/>
      <c r="BZ17" s="27"/>
      <c r="CA17" s="156"/>
      <c r="CB17" s="156"/>
      <c r="CC17" s="156"/>
      <c r="CD17" s="156"/>
      <c r="CE17" s="156"/>
      <c r="CF17" s="156"/>
      <c r="CG17" s="156"/>
      <c r="CH17" s="156"/>
      <c r="CI17" s="156"/>
      <c r="CJ17" s="156"/>
      <c r="CK17" s="156"/>
      <c r="CL17" s="156"/>
      <c r="CM17" s="156"/>
      <c r="CN17" s="156"/>
      <c r="CO17" s="156"/>
      <c r="CP17" s="156"/>
      <c r="CQ17" s="156"/>
      <c r="CR17" s="107">
        <f t="shared" si="3"/>
        <v>22536.142857142859</v>
      </c>
      <c r="CS17" s="107">
        <f t="shared" si="4"/>
        <v>22536.142857142859</v>
      </c>
      <c r="CT17" s="108">
        <f t="shared" si="5"/>
        <v>5116.8266991747696</v>
      </c>
      <c r="CU17" s="65">
        <f t="shared" si="6"/>
        <v>0.22704979869938058</v>
      </c>
      <c r="CV17" s="66">
        <f t="shared" si="7"/>
        <v>18938.655462184874</v>
      </c>
      <c r="CW17" s="66">
        <f t="shared" si="8"/>
        <v>3598.3445378151259</v>
      </c>
      <c r="CX17" s="109">
        <f t="shared" si="10"/>
        <v>22537</v>
      </c>
      <c r="CY17" s="109">
        <f t="shared" si="11"/>
        <v>450740</v>
      </c>
      <c r="CZ17" s="110" t="s">
        <v>902</v>
      </c>
    </row>
    <row r="18" spans="1:104" ht="51" x14ac:dyDescent="0.2">
      <c r="A18" s="63">
        <v>13</v>
      </c>
      <c r="B18" s="149" t="s">
        <v>366</v>
      </c>
      <c r="C18" s="111" t="s">
        <v>367</v>
      </c>
      <c r="D18" s="105" t="s">
        <v>7</v>
      </c>
      <c r="E18" s="105">
        <v>3</v>
      </c>
      <c r="F18" s="13">
        <v>768264</v>
      </c>
      <c r="G18" s="132">
        <f t="shared" si="0"/>
        <v>807445.46400000004</v>
      </c>
      <c r="H18" s="13">
        <v>759815</v>
      </c>
      <c r="I18" s="132">
        <f t="shared" si="0"/>
        <v>798565.56499999994</v>
      </c>
      <c r="J18" s="13">
        <v>773500</v>
      </c>
      <c r="K18" s="132">
        <f t="shared" si="0"/>
        <v>812948.5</v>
      </c>
      <c r="L18" s="27"/>
      <c r="M18" s="27"/>
      <c r="N18" s="27"/>
      <c r="O18" s="27"/>
      <c r="P18" s="27"/>
      <c r="Q18" s="27"/>
      <c r="R18" s="27"/>
      <c r="S18" s="27"/>
      <c r="T18" s="27"/>
      <c r="U18" s="27"/>
      <c r="V18" s="27"/>
      <c r="W18" s="27"/>
      <c r="X18" s="27"/>
      <c r="Y18" s="27"/>
      <c r="Z18" s="27"/>
      <c r="AA18" s="27"/>
      <c r="AB18" s="27"/>
      <c r="AC18" s="27"/>
      <c r="AD18" s="27"/>
      <c r="AE18" s="27"/>
      <c r="AF18" s="27"/>
      <c r="AG18" s="27"/>
      <c r="AH18" s="27"/>
      <c r="AI18" s="27"/>
      <c r="AJ18" s="27"/>
      <c r="AK18" s="27"/>
      <c r="AL18" s="27"/>
      <c r="AM18" s="27"/>
      <c r="AN18" s="27"/>
      <c r="AO18" s="27"/>
      <c r="AP18" s="27"/>
      <c r="AQ18" s="27"/>
      <c r="AR18" s="27"/>
      <c r="AS18" s="27"/>
      <c r="AT18" s="27"/>
      <c r="AU18" s="27"/>
      <c r="AV18" s="27"/>
      <c r="AW18" s="27"/>
      <c r="AX18" s="27"/>
      <c r="AY18" s="27"/>
      <c r="AZ18" s="27"/>
      <c r="BA18" s="27"/>
      <c r="BB18" s="27"/>
      <c r="BC18" s="27"/>
      <c r="BD18" s="27"/>
      <c r="BE18" s="27"/>
      <c r="BF18" s="27"/>
      <c r="BG18" s="27"/>
      <c r="BH18" s="27"/>
      <c r="BI18" s="27"/>
      <c r="BJ18" s="27"/>
      <c r="BK18" s="27"/>
      <c r="BL18" s="27"/>
      <c r="BM18" s="27"/>
      <c r="BN18" s="27"/>
      <c r="BO18" s="27"/>
      <c r="BP18" s="27"/>
      <c r="BQ18" s="27"/>
      <c r="BR18" s="27"/>
      <c r="BS18" s="27"/>
      <c r="BT18" s="27"/>
      <c r="BU18" s="27"/>
      <c r="BV18" s="27"/>
      <c r="BW18" s="27"/>
      <c r="BX18" s="27"/>
      <c r="BY18" s="27"/>
      <c r="BZ18" s="27"/>
      <c r="CA18" s="156"/>
      <c r="CB18" s="156"/>
      <c r="CC18" s="156"/>
      <c r="CD18" s="156"/>
      <c r="CE18" s="156"/>
      <c r="CF18" s="156"/>
      <c r="CG18" s="156"/>
      <c r="CH18" s="156"/>
      <c r="CI18" s="156"/>
      <c r="CJ18" s="156"/>
      <c r="CK18" s="156"/>
      <c r="CL18" s="156"/>
      <c r="CM18" s="156"/>
      <c r="CN18" s="156"/>
      <c r="CO18" s="156"/>
      <c r="CP18" s="156"/>
      <c r="CQ18" s="156"/>
      <c r="CR18" s="107">
        <f t="shared" si="3"/>
        <v>807445.46400000004</v>
      </c>
      <c r="CS18" s="107">
        <f t="shared" si="4"/>
        <v>806319.84299999999</v>
      </c>
      <c r="CT18" s="108">
        <f t="shared" si="5"/>
        <v>7257.2358222871244</v>
      </c>
      <c r="CU18" s="65">
        <f t="shared" si="6"/>
        <v>9.0004430441470908E-3</v>
      </c>
      <c r="CV18" s="66">
        <f t="shared" si="7"/>
        <v>677579.83193277312</v>
      </c>
      <c r="CW18" s="66">
        <f t="shared" si="8"/>
        <v>128740.1680672269</v>
      </c>
      <c r="CX18" s="109">
        <f t="shared" si="10"/>
        <v>806320</v>
      </c>
      <c r="CY18" s="109">
        <f t="shared" si="11"/>
        <v>2418960</v>
      </c>
      <c r="CZ18" s="110" t="s">
        <v>903</v>
      </c>
    </row>
    <row r="19" spans="1:104" ht="34" x14ac:dyDescent="0.2">
      <c r="A19" s="63">
        <v>14</v>
      </c>
      <c r="B19" s="149" t="s">
        <v>368</v>
      </c>
      <c r="C19" s="111" t="s">
        <v>369</v>
      </c>
      <c r="D19" s="105" t="s">
        <v>7</v>
      </c>
      <c r="E19" s="105">
        <v>1</v>
      </c>
      <c r="F19" s="27"/>
      <c r="G19" s="27"/>
      <c r="H19" s="27"/>
      <c r="I19" s="27"/>
      <c r="J19" s="27"/>
      <c r="K19" s="27"/>
      <c r="L19" s="13">
        <v>20000</v>
      </c>
      <c r="M19" s="71">
        <f t="shared" si="0"/>
        <v>21020</v>
      </c>
      <c r="N19" s="27"/>
      <c r="O19" s="27"/>
      <c r="P19" s="27"/>
      <c r="Q19" s="13">
        <v>15000</v>
      </c>
      <c r="R19" s="71">
        <f t="shared" ref="R19" si="12">((Q19*5.1%)+Q19)</f>
        <v>15765</v>
      </c>
      <c r="S19" s="27"/>
      <c r="T19" s="27"/>
      <c r="U19" s="27"/>
      <c r="V19" s="27"/>
      <c r="W19" s="27"/>
      <c r="X19" s="27"/>
      <c r="Y19" s="27"/>
      <c r="Z19" s="27"/>
      <c r="AA19" s="27"/>
      <c r="AB19" s="27"/>
      <c r="AC19" s="27"/>
      <c r="AD19" s="27"/>
      <c r="AE19" s="27"/>
      <c r="AF19" s="27"/>
      <c r="AG19" s="27"/>
      <c r="AH19" s="27"/>
      <c r="AI19" s="27"/>
      <c r="AJ19" s="27"/>
      <c r="AK19" s="27"/>
      <c r="AL19" s="27"/>
      <c r="AM19" s="27"/>
      <c r="AN19" s="27"/>
      <c r="AO19" s="27"/>
      <c r="AP19" s="27"/>
      <c r="AQ19" s="27"/>
      <c r="AR19" s="27"/>
      <c r="AS19" s="27"/>
      <c r="AT19" s="27"/>
      <c r="AU19" s="27"/>
      <c r="AV19" s="27"/>
      <c r="AW19" s="27"/>
      <c r="AX19" s="27"/>
      <c r="AY19" s="27"/>
      <c r="AZ19" s="27"/>
      <c r="BA19" s="27"/>
      <c r="BB19" s="27"/>
      <c r="BC19" s="27"/>
      <c r="BD19" s="27"/>
      <c r="BE19" s="27"/>
      <c r="BF19" s="27"/>
      <c r="BG19" s="27"/>
      <c r="BH19" s="27"/>
      <c r="BI19" s="27"/>
      <c r="BJ19" s="27"/>
      <c r="BK19" s="27"/>
      <c r="BL19" s="27"/>
      <c r="BM19" s="27"/>
      <c r="BN19" s="27"/>
      <c r="BO19" s="27"/>
      <c r="BP19" s="27"/>
      <c r="BQ19" s="27"/>
      <c r="BR19" s="27"/>
      <c r="BS19" s="27"/>
      <c r="BT19" s="27"/>
      <c r="BU19" s="27"/>
      <c r="BV19" s="27"/>
      <c r="BW19" s="27"/>
      <c r="BX19" s="27"/>
      <c r="BY19" s="27"/>
      <c r="BZ19" s="27"/>
      <c r="CA19" s="156"/>
      <c r="CB19" s="156"/>
      <c r="CC19" s="156"/>
      <c r="CD19" s="156"/>
      <c r="CE19" s="156"/>
      <c r="CF19" s="156"/>
      <c r="CG19" s="156"/>
      <c r="CH19" s="156"/>
      <c r="CI19" s="156"/>
      <c r="CJ19" s="156"/>
      <c r="CK19" s="156"/>
      <c r="CL19" s="156"/>
      <c r="CM19" s="156"/>
      <c r="CN19" s="156"/>
      <c r="CO19" s="156"/>
      <c r="CP19" s="156"/>
      <c r="CQ19" s="156"/>
      <c r="CR19" s="107">
        <f t="shared" si="3"/>
        <v>18392.5</v>
      </c>
      <c r="CS19" s="107">
        <f t="shared" si="4"/>
        <v>18392.5</v>
      </c>
      <c r="CT19" s="108">
        <f t="shared" si="5"/>
        <v>3715.8461351353071</v>
      </c>
      <c r="CU19" s="65">
        <f t="shared" si="6"/>
        <v>0.20203050891044214</v>
      </c>
      <c r="CV19" s="66">
        <f t="shared" si="7"/>
        <v>15456.302521008403</v>
      </c>
      <c r="CW19" s="66">
        <f t="shared" si="8"/>
        <v>2936.6974789915967</v>
      </c>
      <c r="CX19" s="109">
        <f t="shared" si="10"/>
        <v>18393</v>
      </c>
      <c r="CY19" s="109">
        <f t="shared" si="11"/>
        <v>18393</v>
      </c>
      <c r="CZ19" s="110" t="s">
        <v>902</v>
      </c>
    </row>
    <row r="20" spans="1:104" ht="40.5" customHeight="1" x14ac:dyDescent="0.2">
      <c r="A20" s="63">
        <v>15</v>
      </c>
      <c r="B20" s="149" t="s">
        <v>370</v>
      </c>
      <c r="C20" s="111" t="s">
        <v>1291</v>
      </c>
      <c r="D20" s="105" t="s">
        <v>7</v>
      </c>
      <c r="E20" s="105">
        <v>2</v>
      </c>
      <c r="F20" s="27"/>
      <c r="G20" s="27"/>
      <c r="H20" s="27"/>
      <c r="I20" s="27"/>
      <c r="J20" s="27"/>
      <c r="K20" s="27"/>
      <c r="L20" s="13">
        <v>85000</v>
      </c>
      <c r="M20" s="71">
        <f t="shared" si="0"/>
        <v>89335</v>
      </c>
      <c r="N20" s="27"/>
      <c r="O20" s="27"/>
      <c r="P20" s="27"/>
      <c r="Q20" s="27"/>
      <c r="R20" s="27"/>
      <c r="S20" s="86">
        <v>77879.100000000006</v>
      </c>
      <c r="T20" s="86">
        <f>S20*19%</f>
        <v>14797.029</v>
      </c>
      <c r="U20" s="71">
        <f>(S20*1.17)+T20</f>
        <v>105915.576</v>
      </c>
      <c r="V20" s="86">
        <v>70655.462184873948</v>
      </c>
      <c r="W20" s="86">
        <f>V20*19%</f>
        <v>13424.53781512605</v>
      </c>
      <c r="X20" s="71">
        <f>(V20*1.17)+W20</f>
        <v>96091.428571428565</v>
      </c>
      <c r="Y20" s="27"/>
      <c r="Z20" s="27"/>
      <c r="AA20" s="27"/>
      <c r="AB20" s="27"/>
      <c r="AC20" s="27"/>
      <c r="AD20" s="27"/>
      <c r="AE20" s="27"/>
      <c r="AF20" s="27"/>
      <c r="AG20" s="27"/>
      <c r="AH20" s="27"/>
      <c r="AI20" s="27"/>
      <c r="AJ20" s="27"/>
      <c r="AK20" s="27"/>
      <c r="AL20" s="27"/>
      <c r="AM20" s="27"/>
      <c r="AN20" s="27"/>
      <c r="AO20" s="27"/>
      <c r="AP20" s="27"/>
      <c r="AQ20" s="27"/>
      <c r="AR20" s="27"/>
      <c r="AS20" s="27"/>
      <c r="AT20" s="27"/>
      <c r="AU20" s="27"/>
      <c r="AV20" s="27"/>
      <c r="AW20" s="27"/>
      <c r="AX20" s="27"/>
      <c r="AY20" s="27"/>
      <c r="AZ20" s="27"/>
      <c r="BA20" s="27"/>
      <c r="BB20" s="27"/>
      <c r="BC20" s="27"/>
      <c r="BD20" s="27"/>
      <c r="BE20" s="27"/>
      <c r="BF20" s="27"/>
      <c r="BG20" s="27"/>
      <c r="BH20" s="27"/>
      <c r="BI20" s="27"/>
      <c r="BJ20" s="27"/>
      <c r="BK20" s="27"/>
      <c r="BL20" s="27"/>
      <c r="BM20" s="27"/>
      <c r="BN20" s="27"/>
      <c r="BO20" s="27"/>
      <c r="BP20" s="27"/>
      <c r="BQ20" s="27"/>
      <c r="BR20" s="27"/>
      <c r="BS20" s="27"/>
      <c r="BT20" s="27"/>
      <c r="BU20" s="27"/>
      <c r="BV20" s="27"/>
      <c r="BW20" s="27"/>
      <c r="BX20" s="27"/>
      <c r="BY20" s="27"/>
      <c r="BZ20" s="27"/>
      <c r="CA20" s="156"/>
      <c r="CB20" s="156"/>
      <c r="CC20" s="156"/>
      <c r="CD20" s="156"/>
      <c r="CE20" s="156"/>
      <c r="CF20" s="156"/>
      <c r="CG20" s="156"/>
      <c r="CH20" s="156"/>
      <c r="CI20" s="156"/>
      <c r="CJ20" s="156"/>
      <c r="CK20" s="156"/>
      <c r="CL20" s="156"/>
      <c r="CM20" s="156"/>
      <c r="CN20" s="156"/>
      <c r="CO20" s="156"/>
      <c r="CP20" s="156"/>
      <c r="CQ20" s="156"/>
      <c r="CR20" s="107">
        <f t="shared" si="3"/>
        <v>96091.428571428565</v>
      </c>
      <c r="CS20" s="107">
        <f t="shared" si="4"/>
        <v>97114.001523809522</v>
      </c>
      <c r="CT20" s="108">
        <f t="shared" si="5"/>
        <v>8337.452650849049</v>
      </c>
      <c r="CU20" s="65">
        <f t="shared" si="6"/>
        <v>8.5852220277474078E-2</v>
      </c>
      <c r="CV20" s="66">
        <f t="shared" si="7"/>
        <v>81609.243697478989</v>
      </c>
      <c r="CW20" s="66">
        <f t="shared" si="8"/>
        <v>15505.756302521007</v>
      </c>
      <c r="CX20" s="109">
        <f t="shared" si="10"/>
        <v>97115</v>
      </c>
      <c r="CY20" s="109">
        <f t="shared" si="11"/>
        <v>194230</v>
      </c>
      <c r="CZ20" s="110" t="s">
        <v>903</v>
      </c>
    </row>
    <row r="21" spans="1:104" ht="34" x14ac:dyDescent="0.2">
      <c r="A21" s="63">
        <v>16</v>
      </c>
      <c r="B21" s="149" t="s">
        <v>371</v>
      </c>
      <c r="C21" s="111" t="s">
        <v>1294</v>
      </c>
      <c r="D21" s="105" t="s">
        <v>7</v>
      </c>
      <c r="E21" s="105">
        <v>10</v>
      </c>
      <c r="F21" s="13">
        <v>20825</v>
      </c>
      <c r="G21" s="132">
        <f t="shared" si="0"/>
        <v>21887.075000000001</v>
      </c>
      <c r="H21" s="13">
        <v>22015</v>
      </c>
      <c r="I21" s="132">
        <f t="shared" si="0"/>
        <v>23137.764999999999</v>
      </c>
      <c r="J21" s="13">
        <v>24395</v>
      </c>
      <c r="K21" s="132">
        <f t="shared" si="0"/>
        <v>25639.145</v>
      </c>
      <c r="L21" s="27"/>
      <c r="M21" s="27"/>
      <c r="N21" s="27"/>
      <c r="O21" s="27"/>
      <c r="P21" s="27"/>
      <c r="Q21" s="27"/>
      <c r="R21" s="27"/>
      <c r="S21" s="27"/>
      <c r="T21" s="27"/>
      <c r="U21" s="27"/>
      <c r="V21" s="27"/>
      <c r="W21" s="27"/>
      <c r="X21" s="27"/>
      <c r="Y21" s="27"/>
      <c r="Z21" s="27"/>
      <c r="AA21" s="27"/>
      <c r="AB21" s="27"/>
      <c r="AC21" s="27"/>
      <c r="AD21" s="27"/>
      <c r="AE21" s="27"/>
      <c r="AF21" s="27"/>
      <c r="AG21" s="27"/>
      <c r="AH21" s="27"/>
      <c r="AI21" s="27"/>
      <c r="AJ21" s="27"/>
      <c r="AK21" s="27"/>
      <c r="AL21" s="27"/>
      <c r="AM21" s="27"/>
      <c r="AN21" s="27"/>
      <c r="AO21" s="27"/>
      <c r="AP21" s="27"/>
      <c r="AQ21" s="27"/>
      <c r="AR21" s="27"/>
      <c r="AS21" s="27"/>
      <c r="AT21" s="27"/>
      <c r="AU21" s="27"/>
      <c r="AV21" s="27"/>
      <c r="AW21" s="27"/>
      <c r="AX21" s="27"/>
      <c r="AY21" s="27"/>
      <c r="AZ21" s="27"/>
      <c r="BA21" s="27"/>
      <c r="BB21" s="27"/>
      <c r="BC21" s="27"/>
      <c r="BD21" s="27"/>
      <c r="BE21" s="27"/>
      <c r="BF21" s="27"/>
      <c r="BG21" s="27"/>
      <c r="BH21" s="27"/>
      <c r="BI21" s="27"/>
      <c r="BJ21" s="27"/>
      <c r="BK21" s="27"/>
      <c r="BL21" s="27"/>
      <c r="BM21" s="27"/>
      <c r="BN21" s="27"/>
      <c r="BO21" s="27"/>
      <c r="BP21" s="27"/>
      <c r="BQ21" s="27"/>
      <c r="BR21" s="27"/>
      <c r="BS21" s="27"/>
      <c r="BT21" s="27"/>
      <c r="BU21" s="27"/>
      <c r="BV21" s="27"/>
      <c r="BW21" s="27"/>
      <c r="BX21" s="27"/>
      <c r="BY21" s="27"/>
      <c r="BZ21" s="27"/>
      <c r="CA21" s="156"/>
      <c r="CB21" s="156"/>
      <c r="CC21" s="156"/>
      <c r="CD21" s="156"/>
      <c r="CE21" s="156"/>
      <c r="CF21" s="156"/>
      <c r="CG21" s="156"/>
      <c r="CH21" s="156"/>
      <c r="CI21" s="156"/>
      <c r="CJ21" s="156"/>
      <c r="CK21" s="156"/>
      <c r="CL21" s="156"/>
      <c r="CM21" s="156"/>
      <c r="CN21" s="156"/>
      <c r="CO21" s="156"/>
      <c r="CP21" s="156"/>
      <c r="CQ21" s="156"/>
      <c r="CR21" s="107">
        <f t="shared" si="3"/>
        <v>23137.764999999999</v>
      </c>
      <c r="CS21" s="107">
        <f t="shared" si="4"/>
        <v>23554.661666666667</v>
      </c>
      <c r="CT21" s="108">
        <f t="shared" si="5"/>
        <v>1910.4605319747732</v>
      </c>
      <c r="CU21" s="65">
        <f t="shared" si="6"/>
        <v>8.1107534423997166E-2</v>
      </c>
      <c r="CV21" s="66">
        <f t="shared" si="7"/>
        <v>19794.117647058825</v>
      </c>
      <c r="CW21" s="66">
        <f t="shared" si="8"/>
        <v>3760.882352941177</v>
      </c>
      <c r="CX21" s="109">
        <f t="shared" si="10"/>
        <v>23555</v>
      </c>
      <c r="CY21" s="109">
        <f t="shared" si="11"/>
        <v>235550</v>
      </c>
      <c r="CZ21" s="110" t="s">
        <v>903</v>
      </c>
    </row>
    <row r="22" spans="1:104" ht="34" x14ac:dyDescent="0.2">
      <c r="A22" s="63">
        <v>17</v>
      </c>
      <c r="B22" s="149" t="s">
        <v>372</v>
      </c>
      <c r="C22" s="111" t="s">
        <v>373</v>
      </c>
      <c r="D22" s="105" t="s">
        <v>7</v>
      </c>
      <c r="E22" s="105">
        <v>10</v>
      </c>
      <c r="F22" s="13">
        <v>157675</v>
      </c>
      <c r="G22" s="132">
        <f t="shared" si="0"/>
        <v>165716.42499999999</v>
      </c>
      <c r="H22" s="13">
        <v>160055</v>
      </c>
      <c r="I22" s="132">
        <f t="shared" si="0"/>
        <v>168217.80499999999</v>
      </c>
      <c r="J22" s="13">
        <v>160055</v>
      </c>
      <c r="K22" s="132">
        <f t="shared" si="0"/>
        <v>168217.80499999999</v>
      </c>
      <c r="L22" s="27"/>
      <c r="M22" s="27"/>
      <c r="N22" s="27"/>
      <c r="O22" s="27"/>
      <c r="P22" s="27"/>
      <c r="Q22" s="27"/>
      <c r="R22" s="27"/>
      <c r="S22" s="27"/>
      <c r="T22" s="27"/>
      <c r="U22" s="27"/>
      <c r="V22" s="27"/>
      <c r="W22" s="27"/>
      <c r="X22" s="27"/>
      <c r="Y22" s="27"/>
      <c r="Z22" s="27"/>
      <c r="AA22" s="27"/>
      <c r="AB22" s="27"/>
      <c r="AC22" s="27"/>
      <c r="AD22" s="27"/>
      <c r="AE22" s="27"/>
      <c r="AF22" s="27"/>
      <c r="AG22" s="27"/>
      <c r="AH22" s="27"/>
      <c r="AI22" s="27"/>
      <c r="AJ22" s="27"/>
      <c r="AK22" s="27"/>
      <c r="AL22" s="27"/>
      <c r="AM22" s="27"/>
      <c r="AN22" s="27"/>
      <c r="AO22" s="27"/>
      <c r="AP22" s="27"/>
      <c r="AQ22" s="27"/>
      <c r="AR22" s="27"/>
      <c r="AS22" s="27"/>
      <c r="AT22" s="27"/>
      <c r="AU22" s="27"/>
      <c r="AV22" s="27"/>
      <c r="AW22" s="27"/>
      <c r="AX22" s="27"/>
      <c r="AY22" s="27"/>
      <c r="AZ22" s="27"/>
      <c r="BA22" s="27"/>
      <c r="BB22" s="27"/>
      <c r="BC22" s="27"/>
      <c r="BD22" s="27"/>
      <c r="BE22" s="27"/>
      <c r="BF22" s="27"/>
      <c r="BG22" s="27"/>
      <c r="BH22" s="27"/>
      <c r="BI22" s="27"/>
      <c r="BJ22" s="27"/>
      <c r="BK22" s="27"/>
      <c r="BL22" s="27"/>
      <c r="BM22" s="27"/>
      <c r="BN22" s="27"/>
      <c r="BO22" s="27"/>
      <c r="BP22" s="27"/>
      <c r="BQ22" s="27"/>
      <c r="BR22" s="27"/>
      <c r="BS22" s="27"/>
      <c r="BT22" s="27"/>
      <c r="BU22" s="27"/>
      <c r="BV22" s="27"/>
      <c r="BW22" s="27"/>
      <c r="BX22" s="27"/>
      <c r="BY22" s="27"/>
      <c r="BZ22" s="27"/>
      <c r="CA22" s="156"/>
      <c r="CB22" s="156"/>
      <c r="CC22" s="156"/>
      <c r="CD22" s="156"/>
      <c r="CE22" s="156"/>
      <c r="CF22" s="156"/>
      <c r="CG22" s="156"/>
      <c r="CH22" s="156"/>
      <c r="CI22" s="156"/>
      <c r="CJ22" s="156"/>
      <c r="CK22" s="156"/>
      <c r="CL22" s="156"/>
      <c r="CM22" s="156"/>
      <c r="CN22" s="156"/>
      <c r="CO22" s="156"/>
      <c r="CP22" s="156"/>
      <c r="CQ22" s="156"/>
      <c r="CR22" s="107">
        <f t="shared" si="3"/>
        <v>168217.80499999999</v>
      </c>
      <c r="CS22" s="107">
        <f t="shared" si="4"/>
        <v>167384.01166666666</v>
      </c>
      <c r="CT22" s="108">
        <f t="shared" si="5"/>
        <v>1444.1724163455488</v>
      </c>
      <c r="CU22" s="65">
        <f t="shared" si="6"/>
        <v>8.6278994150380105E-3</v>
      </c>
      <c r="CV22" s="66">
        <f t="shared" si="7"/>
        <v>140659.66386554623</v>
      </c>
      <c r="CW22" s="66">
        <f t="shared" si="8"/>
        <v>26725.336134453784</v>
      </c>
      <c r="CX22" s="109">
        <f t="shared" si="10"/>
        <v>167385</v>
      </c>
      <c r="CY22" s="109">
        <f t="shared" si="11"/>
        <v>1673850</v>
      </c>
      <c r="CZ22" s="110" t="s">
        <v>903</v>
      </c>
    </row>
    <row r="23" spans="1:104" ht="409.6" x14ac:dyDescent="0.2">
      <c r="A23" s="63">
        <v>18</v>
      </c>
      <c r="B23" s="149" t="s">
        <v>374</v>
      </c>
      <c r="C23" s="111" t="s">
        <v>1293</v>
      </c>
      <c r="D23" s="105" t="s">
        <v>7</v>
      </c>
      <c r="E23" s="105">
        <v>2</v>
      </c>
      <c r="F23" s="13">
        <v>375564</v>
      </c>
      <c r="G23" s="132">
        <f t="shared" si="0"/>
        <v>394717.76400000002</v>
      </c>
      <c r="H23" s="13">
        <v>344505</v>
      </c>
      <c r="I23" s="132">
        <f t="shared" si="0"/>
        <v>362074.755</v>
      </c>
      <c r="J23" s="13">
        <v>344505</v>
      </c>
      <c r="K23" s="132">
        <f t="shared" si="0"/>
        <v>362074.755</v>
      </c>
      <c r="L23" s="27"/>
      <c r="M23" s="27"/>
      <c r="N23" s="27"/>
      <c r="O23" s="27"/>
      <c r="P23" s="27"/>
      <c r="Q23" s="27"/>
      <c r="R23" s="27"/>
      <c r="S23" s="27"/>
      <c r="T23" s="27"/>
      <c r="U23" s="27"/>
      <c r="V23" s="27"/>
      <c r="W23" s="27"/>
      <c r="X23" s="27"/>
      <c r="Y23" s="27"/>
      <c r="Z23" s="27"/>
      <c r="AA23" s="27"/>
      <c r="AB23" s="27"/>
      <c r="AC23" s="27"/>
      <c r="AD23" s="27"/>
      <c r="AE23" s="27"/>
      <c r="AF23" s="27"/>
      <c r="AG23" s="27"/>
      <c r="AH23" s="27"/>
      <c r="AI23" s="27"/>
      <c r="AJ23" s="27"/>
      <c r="AK23" s="27"/>
      <c r="AL23" s="27"/>
      <c r="AM23" s="27"/>
      <c r="AN23" s="27"/>
      <c r="AO23" s="27"/>
      <c r="AP23" s="27"/>
      <c r="AQ23" s="27"/>
      <c r="AR23" s="27"/>
      <c r="AS23" s="27"/>
      <c r="AT23" s="27"/>
      <c r="AU23" s="27"/>
      <c r="AV23" s="27"/>
      <c r="AW23" s="27"/>
      <c r="AX23" s="27"/>
      <c r="AY23" s="27"/>
      <c r="AZ23" s="27"/>
      <c r="BA23" s="27"/>
      <c r="BB23" s="27"/>
      <c r="BC23" s="27"/>
      <c r="BD23" s="27"/>
      <c r="BE23" s="27"/>
      <c r="BF23" s="27"/>
      <c r="BG23" s="27"/>
      <c r="BH23" s="27"/>
      <c r="BI23" s="27"/>
      <c r="BJ23" s="27"/>
      <c r="BK23" s="27"/>
      <c r="BL23" s="27"/>
      <c r="BM23" s="27"/>
      <c r="BN23" s="27"/>
      <c r="BO23" s="27"/>
      <c r="BP23" s="27"/>
      <c r="BQ23" s="27"/>
      <c r="BR23" s="27"/>
      <c r="BS23" s="27"/>
      <c r="BT23" s="27"/>
      <c r="BU23" s="27"/>
      <c r="BV23" s="27"/>
      <c r="BW23" s="27"/>
      <c r="BX23" s="27"/>
      <c r="BY23" s="27"/>
      <c r="BZ23" s="27"/>
      <c r="CA23" s="156"/>
      <c r="CB23" s="156"/>
      <c r="CC23" s="156"/>
      <c r="CD23" s="156"/>
      <c r="CE23" s="156"/>
      <c r="CF23" s="156"/>
      <c r="CG23" s="156"/>
      <c r="CH23" s="156"/>
      <c r="CI23" s="156"/>
      <c r="CJ23" s="156"/>
      <c r="CK23" s="156"/>
      <c r="CL23" s="156"/>
      <c r="CM23" s="156"/>
      <c r="CN23" s="156"/>
      <c r="CO23" s="156"/>
      <c r="CP23" s="156"/>
      <c r="CQ23" s="156"/>
      <c r="CR23" s="107">
        <f t="shared" si="3"/>
        <v>362074.755</v>
      </c>
      <c r="CS23" s="107">
        <f t="shared" si="4"/>
        <v>372955.75800000009</v>
      </c>
      <c r="CT23" s="108">
        <f t="shared" si="5"/>
        <v>18846.450033309389</v>
      </c>
      <c r="CU23" s="65">
        <f t="shared" si="6"/>
        <v>5.0532669436114147E-2</v>
      </c>
      <c r="CV23" s="66">
        <f t="shared" si="7"/>
        <v>313408.40336134454</v>
      </c>
      <c r="CW23" s="66">
        <f t="shared" si="8"/>
        <v>59547.596638655465</v>
      </c>
      <c r="CX23" s="109">
        <f t="shared" si="10"/>
        <v>372956</v>
      </c>
      <c r="CY23" s="109">
        <f t="shared" si="11"/>
        <v>745912</v>
      </c>
      <c r="CZ23" s="110" t="s">
        <v>903</v>
      </c>
    </row>
    <row r="24" spans="1:104" ht="34" x14ac:dyDescent="0.2">
      <c r="A24" s="63">
        <v>19</v>
      </c>
      <c r="B24" s="149" t="s">
        <v>375</v>
      </c>
      <c r="C24" s="111" t="s">
        <v>376</v>
      </c>
      <c r="D24" s="105" t="s">
        <v>7</v>
      </c>
      <c r="E24" s="105">
        <v>80</v>
      </c>
      <c r="F24" s="13">
        <v>5355</v>
      </c>
      <c r="G24" s="132">
        <f t="shared" si="0"/>
        <v>5628.1049999999996</v>
      </c>
      <c r="H24" s="13">
        <v>5712</v>
      </c>
      <c r="I24" s="132">
        <f t="shared" si="0"/>
        <v>6003.3119999999999</v>
      </c>
      <c r="J24" s="13">
        <v>6545</v>
      </c>
      <c r="K24" s="132">
        <f t="shared" si="0"/>
        <v>6878.7950000000001</v>
      </c>
      <c r="L24" s="27"/>
      <c r="M24" s="27"/>
      <c r="N24" s="27"/>
      <c r="O24" s="27"/>
      <c r="P24" s="27"/>
      <c r="Q24" s="27"/>
      <c r="R24" s="27"/>
      <c r="S24" s="27"/>
      <c r="T24" s="27"/>
      <c r="U24" s="27"/>
      <c r="V24" s="27"/>
      <c r="W24" s="27"/>
      <c r="X24" s="27"/>
      <c r="Y24" s="27"/>
      <c r="Z24" s="27"/>
      <c r="AA24" s="27"/>
      <c r="AB24" s="27"/>
      <c r="AC24" s="27"/>
      <c r="AD24" s="27"/>
      <c r="AE24" s="27"/>
      <c r="AF24" s="27"/>
      <c r="AG24" s="27"/>
      <c r="AH24" s="27"/>
      <c r="AI24" s="27"/>
      <c r="AJ24" s="27"/>
      <c r="AK24" s="27"/>
      <c r="AL24" s="27"/>
      <c r="AM24" s="27"/>
      <c r="AN24" s="27"/>
      <c r="AO24" s="27"/>
      <c r="AP24" s="27"/>
      <c r="AQ24" s="27"/>
      <c r="AR24" s="27"/>
      <c r="AS24" s="27"/>
      <c r="AT24" s="27"/>
      <c r="AU24" s="27"/>
      <c r="AV24" s="27"/>
      <c r="AW24" s="27"/>
      <c r="AX24" s="27"/>
      <c r="AY24" s="27"/>
      <c r="AZ24" s="27"/>
      <c r="BA24" s="27"/>
      <c r="BB24" s="27"/>
      <c r="BC24" s="27"/>
      <c r="BD24" s="27"/>
      <c r="BE24" s="27"/>
      <c r="BF24" s="27"/>
      <c r="BG24" s="27"/>
      <c r="BH24" s="27"/>
      <c r="BI24" s="27"/>
      <c r="BJ24" s="27"/>
      <c r="BK24" s="27"/>
      <c r="BL24" s="27"/>
      <c r="BM24" s="27"/>
      <c r="BN24" s="27"/>
      <c r="BO24" s="27"/>
      <c r="BP24" s="27"/>
      <c r="BQ24" s="27"/>
      <c r="BR24" s="27"/>
      <c r="BS24" s="27"/>
      <c r="BT24" s="27"/>
      <c r="BU24" s="27"/>
      <c r="BV24" s="27"/>
      <c r="BW24" s="27"/>
      <c r="BX24" s="27"/>
      <c r="BY24" s="27"/>
      <c r="BZ24" s="27"/>
      <c r="CA24" s="156"/>
      <c r="CB24" s="156"/>
      <c r="CC24" s="156"/>
      <c r="CD24" s="156"/>
      <c r="CE24" s="156"/>
      <c r="CF24" s="156"/>
      <c r="CG24" s="156"/>
      <c r="CH24" s="156"/>
      <c r="CI24" s="156"/>
      <c r="CJ24" s="156"/>
      <c r="CK24" s="156"/>
      <c r="CL24" s="156"/>
      <c r="CM24" s="156"/>
      <c r="CN24" s="156"/>
      <c r="CO24" s="156"/>
      <c r="CP24" s="156"/>
      <c r="CQ24" s="156"/>
      <c r="CR24" s="107">
        <f t="shared" si="3"/>
        <v>6003.3119999999999</v>
      </c>
      <c r="CS24" s="107">
        <f t="shared" si="4"/>
        <v>6170.0706666666665</v>
      </c>
      <c r="CT24" s="108">
        <f t="shared" si="5"/>
        <v>641.80426043018258</v>
      </c>
      <c r="CU24" s="65">
        <f t="shared" si="6"/>
        <v>0.10401894809689634</v>
      </c>
      <c r="CV24" s="66">
        <f t="shared" si="7"/>
        <v>5185.7142857142862</v>
      </c>
      <c r="CW24" s="66">
        <f t="shared" si="8"/>
        <v>985.28571428571445</v>
      </c>
      <c r="CX24" s="109">
        <f t="shared" si="10"/>
        <v>6171</v>
      </c>
      <c r="CY24" s="109">
        <f t="shared" si="11"/>
        <v>493680</v>
      </c>
      <c r="CZ24" s="110" t="s">
        <v>903</v>
      </c>
    </row>
    <row r="25" spans="1:104" ht="34" x14ac:dyDescent="0.2">
      <c r="A25" s="63">
        <v>20</v>
      </c>
      <c r="B25" s="149" t="s">
        <v>377</v>
      </c>
      <c r="C25" s="111" t="s">
        <v>378</v>
      </c>
      <c r="D25" s="105" t="s">
        <v>7</v>
      </c>
      <c r="E25" s="105">
        <v>1</v>
      </c>
      <c r="F25" s="13">
        <v>50575</v>
      </c>
      <c r="G25" s="132">
        <f t="shared" si="0"/>
        <v>53154.324999999997</v>
      </c>
      <c r="H25" s="13">
        <v>53550</v>
      </c>
      <c r="I25" s="132">
        <f t="shared" si="0"/>
        <v>56281.05</v>
      </c>
      <c r="J25" s="13">
        <v>53550</v>
      </c>
      <c r="K25" s="132">
        <f t="shared" si="0"/>
        <v>56281.05</v>
      </c>
      <c r="L25" s="27"/>
      <c r="M25" s="27"/>
      <c r="N25" s="27"/>
      <c r="O25" s="27"/>
      <c r="P25" s="27"/>
      <c r="Q25" s="27"/>
      <c r="R25" s="27"/>
      <c r="S25" s="27"/>
      <c r="T25" s="27"/>
      <c r="U25" s="27"/>
      <c r="V25" s="27"/>
      <c r="W25" s="27"/>
      <c r="X25" s="27"/>
      <c r="Y25" s="27"/>
      <c r="Z25" s="27"/>
      <c r="AA25" s="27"/>
      <c r="AB25" s="27"/>
      <c r="AC25" s="27"/>
      <c r="AD25" s="27"/>
      <c r="AE25" s="27"/>
      <c r="AF25" s="27"/>
      <c r="AG25" s="27"/>
      <c r="AH25" s="27"/>
      <c r="AI25" s="27"/>
      <c r="AJ25" s="27"/>
      <c r="AK25" s="27"/>
      <c r="AL25" s="27"/>
      <c r="AM25" s="27"/>
      <c r="AN25" s="27"/>
      <c r="AO25" s="27"/>
      <c r="AP25" s="27"/>
      <c r="AQ25" s="27"/>
      <c r="AR25" s="27"/>
      <c r="AS25" s="27"/>
      <c r="AT25" s="27"/>
      <c r="AU25" s="27"/>
      <c r="AV25" s="27"/>
      <c r="AW25" s="27"/>
      <c r="AX25" s="27"/>
      <c r="AY25" s="27"/>
      <c r="AZ25" s="27"/>
      <c r="BA25" s="27"/>
      <c r="BB25" s="27"/>
      <c r="BC25" s="27"/>
      <c r="BD25" s="27"/>
      <c r="BE25" s="27"/>
      <c r="BF25" s="27"/>
      <c r="BG25" s="27"/>
      <c r="BH25" s="27"/>
      <c r="BI25" s="27"/>
      <c r="BJ25" s="27"/>
      <c r="BK25" s="27"/>
      <c r="BL25" s="27"/>
      <c r="BM25" s="27"/>
      <c r="BN25" s="27"/>
      <c r="BO25" s="27"/>
      <c r="BP25" s="27"/>
      <c r="BQ25" s="27"/>
      <c r="BR25" s="27"/>
      <c r="BS25" s="27"/>
      <c r="BT25" s="27"/>
      <c r="BU25" s="27"/>
      <c r="BV25" s="27"/>
      <c r="BW25" s="27"/>
      <c r="BX25" s="27"/>
      <c r="BY25" s="27"/>
      <c r="BZ25" s="27"/>
      <c r="CA25" s="156"/>
      <c r="CB25" s="156"/>
      <c r="CC25" s="156"/>
      <c r="CD25" s="156"/>
      <c r="CE25" s="156"/>
      <c r="CF25" s="156"/>
      <c r="CG25" s="156"/>
      <c r="CH25" s="156"/>
      <c r="CI25" s="156"/>
      <c r="CJ25" s="156"/>
      <c r="CK25" s="156"/>
      <c r="CL25" s="156"/>
      <c r="CM25" s="156"/>
      <c r="CN25" s="156"/>
      <c r="CO25" s="156"/>
      <c r="CP25" s="156"/>
      <c r="CQ25" s="156"/>
      <c r="CR25" s="107">
        <f t="shared" si="3"/>
        <v>56281.05</v>
      </c>
      <c r="CS25" s="107">
        <f t="shared" si="4"/>
        <v>55238.808333333327</v>
      </c>
      <c r="CT25" s="108">
        <f t="shared" si="5"/>
        <v>1805.2155204319358</v>
      </c>
      <c r="CU25" s="65">
        <f t="shared" si="6"/>
        <v>3.2680203916393973E-2</v>
      </c>
      <c r="CV25" s="66">
        <f t="shared" si="7"/>
        <v>46419.327731092439</v>
      </c>
      <c r="CW25" s="66">
        <f t="shared" si="8"/>
        <v>8819.6722689075632</v>
      </c>
      <c r="CX25" s="109">
        <f t="shared" si="10"/>
        <v>55239</v>
      </c>
      <c r="CY25" s="109">
        <f t="shared" si="11"/>
        <v>55239</v>
      </c>
      <c r="CZ25" s="110" t="s">
        <v>903</v>
      </c>
    </row>
    <row r="26" spans="1:104" ht="34" x14ac:dyDescent="0.2">
      <c r="A26" s="63">
        <v>21</v>
      </c>
      <c r="B26" s="149" t="s">
        <v>379</v>
      </c>
      <c r="C26" s="111" t="s">
        <v>380</v>
      </c>
      <c r="D26" s="105" t="s">
        <v>7</v>
      </c>
      <c r="E26" s="105">
        <v>17</v>
      </c>
      <c r="F26" s="13">
        <v>185600</v>
      </c>
      <c r="G26" s="132">
        <f t="shared" si="0"/>
        <v>195065.60000000001</v>
      </c>
      <c r="H26" s="13">
        <v>178600</v>
      </c>
      <c r="I26" s="132">
        <f t="shared" si="0"/>
        <v>187708.6</v>
      </c>
      <c r="J26" s="13">
        <v>178600</v>
      </c>
      <c r="K26" s="132">
        <f t="shared" si="0"/>
        <v>187708.6</v>
      </c>
      <c r="L26" s="27"/>
      <c r="M26" s="27"/>
      <c r="N26" s="27"/>
      <c r="O26" s="27"/>
      <c r="P26" s="27"/>
      <c r="Q26" s="27"/>
      <c r="R26" s="27"/>
      <c r="S26" s="27"/>
      <c r="T26" s="27"/>
      <c r="U26" s="27"/>
      <c r="V26" s="27"/>
      <c r="W26" s="27"/>
      <c r="X26" s="27"/>
      <c r="Y26" s="27"/>
      <c r="Z26" s="27"/>
      <c r="AA26" s="27"/>
      <c r="AB26" s="27"/>
      <c r="AC26" s="27"/>
      <c r="AD26" s="27"/>
      <c r="AE26" s="27"/>
      <c r="AF26" s="27"/>
      <c r="AG26" s="27"/>
      <c r="AH26" s="27"/>
      <c r="AI26" s="27"/>
      <c r="AJ26" s="27"/>
      <c r="AK26" s="27"/>
      <c r="AL26" s="27"/>
      <c r="AM26" s="27"/>
      <c r="AN26" s="27"/>
      <c r="AO26" s="27"/>
      <c r="AP26" s="27"/>
      <c r="AQ26" s="27"/>
      <c r="AR26" s="27"/>
      <c r="AS26" s="27"/>
      <c r="AT26" s="27"/>
      <c r="AU26" s="27"/>
      <c r="AV26" s="27"/>
      <c r="AW26" s="27"/>
      <c r="AX26" s="27"/>
      <c r="AY26" s="27"/>
      <c r="AZ26" s="27"/>
      <c r="BA26" s="27"/>
      <c r="BB26" s="27"/>
      <c r="BC26" s="27"/>
      <c r="BD26" s="27"/>
      <c r="BE26" s="27"/>
      <c r="BF26" s="27"/>
      <c r="BG26" s="27"/>
      <c r="BH26" s="27"/>
      <c r="BI26" s="27"/>
      <c r="BJ26" s="27"/>
      <c r="BK26" s="27"/>
      <c r="BL26" s="27"/>
      <c r="BM26" s="27"/>
      <c r="BN26" s="27"/>
      <c r="BO26" s="27"/>
      <c r="BP26" s="27"/>
      <c r="BQ26" s="27"/>
      <c r="BR26" s="27"/>
      <c r="BS26" s="27"/>
      <c r="BT26" s="27"/>
      <c r="BU26" s="27"/>
      <c r="BV26" s="27"/>
      <c r="BW26" s="27"/>
      <c r="BX26" s="27"/>
      <c r="BY26" s="27"/>
      <c r="BZ26" s="27"/>
      <c r="CA26" s="156"/>
      <c r="CB26" s="156"/>
      <c r="CC26" s="156"/>
      <c r="CD26" s="156"/>
      <c r="CE26" s="156"/>
      <c r="CF26" s="156"/>
      <c r="CG26" s="156"/>
      <c r="CH26" s="156"/>
      <c r="CI26" s="156"/>
      <c r="CJ26" s="156"/>
      <c r="CK26" s="156"/>
      <c r="CL26" s="156"/>
      <c r="CM26" s="156"/>
      <c r="CN26" s="156"/>
      <c r="CO26" s="156"/>
      <c r="CP26" s="156"/>
      <c r="CQ26" s="156"/>
      <c r="CR26" s="107">
        <f t="shared" si="3"/>
        <v>187708.6</v>
      </c>
      <c r="CS26" s="107">
        <f t="shared" si="4"/>
        <v>190160.93333333335</v>
      </c>
      <c r="CT26" s="108">
        <f t="shared" si="5"/>
        <v>4247.5659304280762</v>
      </c>
      <c r="CU26" s="65">
        <f t="shared" si="6"/>
        <v>2.2336690591345132E-2</v>
      </c>
      <c r="CV26" s="66">
        <f t="shared" si="7"/>
        <v>159799.15966386555</v>
      </c>
      <c r="CW26" s="66">
        <f t="shared" si="8"/>
        <v>30361.840336134454</v>
      </c>
      <c r="CX26" s="109">
        <f t="shared" si="10"/>
        <v>190161</v>
      </c>
      <c r="CY26" s="109">
        <f t="shared" si="11"/>
        <v>3232737</v>
      </c>
      <c r="CZ26" s="110" t="s">
        <v>903</v>
      </c>
    </row>
    <row r="27" spans="1:104" ht="34" x14ac:dyDescent="0.2">
      <c r="A27" s="63">
        <v>22</v>
      </c>
      <c r="B27" s="149" t="s">
        <v>381</v>
      </c>
      <c r="C27" s="111" t="s">
        <v>382</v>
      </c>
      <c r="D27" s="105" t="s">
        <v>7</v>
      </c>
      <c r="E27" s="105">
        <v>10</v>
      </c>
      <c r="F27" s="13">
        <v>117215</v>
      </c>
      <c r="G27" s="132">
        <f t="shared" ref="G27:M40" si="13">((F27*5.1%)+F27)</f>
        <v>123192.965</v>
      </c>
      <c r="H27" s="13">
        <v>116144</v>
      </c>
      <c r="I27" s="132">
        <f t="shared" ref="I27:I28" si="14">((H27*5.1%)+H27)</f>
        <v>122067.344</v>
      </c>
      <c r="J27" s="13">
        <v>116144</v>
      </c>
      <c r="K27" s="132">
        <f t="shared" ref="K27:K28" si="15">((J27*5.1%)+J27)</f>
        <v>122067.344</v>
      </c>
      <c r="L27" s="27"/>
      <c r="M27" s="27"/>
      <c r="N27" s="27"/>
      <c r="O27" s="27"/>
      <c r="P27" s="27"/>
      <c r="Q27" s="27"/>
      <c r="R27" s="27"/>
      <c r="S27" s="27"/>
      <c r="T27" s="27"/>
      <c r="U27" s="27"/>
      <c r="V27" s="27"/>
      <c r="W27" s="27"/>
      <c r="X27" s="27"/>
      <c r="Y27" s="27"/>
      <c r="Z27" s="27"/>
      <c r="AA27" s="27"/>
      <c r="AB27" s="27"/>
      <c r="AC27" s="27"/>
      <c r="AD27" s="27"/>
      <c r="AE27" s="27"/>
      <c r="AF27" s="27"/>
      <c r="AG27" s="27"/>
      <c r="AH27" s="27"/>
      <c r="AI27" s="27"/>
      <c r="AJ27" s="27"/>
      <c r="AK27" s="27"/>
      <c r="AL27" s="27"/>
      <c r="AM27" s="27"/>
      <c r="AN27" s="27"/>
      <c r="AO27" s="27"/>
      <c r="AP27" s="27"/>
      <c r="AQ27" s="27"/>
      <c r="AR27" s="27"/>
      <c r="AS27" s="27"/>
      <c r="AT27" s="27"/>
      <c r="AU27" s="27"/>
      <c r="AV27" s="27"/>
      <c r="AW27" s="27"/>
      <c r="AX27" s="27"/>
      <c r="AY27" s="27"/>
      <c r="AZ27" s="27"/>
      <c r="BA27" s="27"/>
      <c r="BB27" s="27"/>
      <c r="BC27" s="27"/>
      <c r="BD27" s="27"/>
      <c r="BE27" s="27"/>
      <c r="BF27" s="27"/>
      <c r="BG27" s="27"/>
      <c r="BH27" s="27"/>
      <c r="BI27" s="27"/>
      <c r="BJ27" s="27"/>
      <c r="BK27" s="27"/>
      <c r="BL27" s="27"/>
      <c r="BM27" s="27"/>
      <c r="BN27" s="27"/>
      <c r="BO27" s="27"/>
      <c r="BP27" s="27"/>
      <c r="BQ27" s="27"/>
      <c r="BR27" s="27"/>
      <c r="BS27" s="27"/>
      <c r="BT27" s="27"/>
      <c r="BU27" s="27"/>
      <c r="BV27" s="27"/>
      <c r="BW27" s="27"/>
      <c r="BX27" s="27"/>
      <c r="BY27" s="27"/>
      <c r="BZ27" s="27"/>
      <c r="CA27" s="156"/>
      <c r="CB27" s="156"/>
      <c r="CC27" s="156"/>
      <c r="CD27" s="156"/>
      <c r="CE27" s="156"/>
      <c r="CF27" s="156"/>
      <c r="CG27" s="156"/>
      <c r="CH27" s="156"/>
      <c r="CI27" s="156"/>
      <c r="CJ27" s="156"/>
      <c r="CK27" s="156"/>
      <c r="CL27" s="156"/>
      <c r="CM27" s="156"/>
      <c r="CN27" s="156"/>
      <c r="CO27" s="156"/>
      <c r="CP27" s="156"/>
      <c r="CQ27" s="156"/>
      <c r="CR27" s="107">
        <f t="shared" si="3"/>
        <v>122067.344</v>
      </c>
      <c r="CS27" s="107">
        <f t="shared" si="4"/>
        <v>122442.55099999999</v>
      </c>
      <c r="CT27" s="108">
        <f t="shared" si="5"/>
        <v>649.87758735549528</v>
      </c>
      <c r="CU27" s="65">
        <f t="shared" si="6"/>
        <v>5.307612280599212E-3</v>
      </c>
      <c r="CV27" s="66">
        <f t="shared" si="7"/>
        <v>102893.27731092437</v>
      </c>
      <c r="CW27" s="66">
        <f t="shared" si="8"/>
        <v>19549.722689075632</v>
      </c>
      <c r="CX27" s="109">
        <f t="shared" si="10"/>
        <v>122443</v>
      </c>
      <c r="CY27" s="109">
        <f t="shared" si="11"/>
        <v>1224430</v>
      </c>
      <c r="CZ27" s="110" t="s">
        <v>903</v>
      </c>
    </row>
    <row r="28" spans="1:104" ht="34" x14ac:dyDescent="0.2">
      <c r="A28" s="63">
        <v>23</v>
      </c>
      <c r="B28" s="149" t="s">
        <v>383</v>
      </c>
      <c r="C28" s="111" t="s">
        <v>384</v>
      </c>
      <c r="D28" s="105" t="s">
        <v>7</v>
      </c>
      <c r="E28" s="105">
        <v>10</v>
      </c>
      <c r="F28" s="13">
        <v>64855</v>
      </c>
      <c r="G28" s="132">
        <f t="shared" si="13"/>
        <v>68162.604999999996</v>
      </c>
      <c r="H28" s="13">
        <v>66164</v>
      </c>
      <c r="I28" s="132">
        <f t="shared" si="14"/>
        <v>69538.364000000001</v>
      </c>
      <c r="J28" s="13">
        <v>63784</v>
      </c>
      <c r="K28" s="132">
        <f t="shared" si="15"/>
        <v>67036.983999999997</v>
      </c>
      <c r="L28" s="27"/>
      <c r="M28" s="27"/>
      <c r="N28" s="27"/>
      <c r="O28" s="27"/>
      <c r="P28" s="27"/>
      <c r="Q28" s="27"/>
      <c r="R28" s="27"/>
      <c r="S28" s="27"/>
      <c r="T28" s="27"/>
      <c r="U28" s="27"/>
      <c r="V28" s="27"/>
      <c r="W28" s="27"/>
      <c r="X28" s="27"/>
      <c r="Y28" s="27"/>
      <c r="Z28" s="27"/>
      <c r="AA28" s="27"/>
      <c r="AB28" s="27"/>
      <c r="AC28" s="27"/>
      <c r="AD28" s="27"/>
      <c r="AE28" s="27"/>
      <c r="AF28" s="27"/>
      <c r="AG28" s="27"/>
      <c r="AH28" s="27"/>
      <c r="AI28" s="27"/>
      <c r="AJ28" s="27"/>
      <c r="AK28" s="27"/>
      <c r="AL28" s="27"/>
      <c r="AM28" s="27"/>
      <c r="AN28" s="27"/>
      <c r="AO28" s="27"/>
      <c r="AP28" s="27"/>
      <c r="AQ28" s="27"/>
      <c r="AR28" s="27"/>
      <c r="AS28" s="27"/>
      <c r="AT28" s="27"/>
      <c r="AU28" s="27"/>
      <c r="AV28" s="27"/>
      <c r="AW28" s="27"/>
      <c r="AX28" s="27"/>
      <c r="AY28" s="27"/>
      <c r="AZ28" s="27"/>
      <c r="BA28" s="27"/>
      <c r="BB28" s="27"/>
      <c r="BC28" s="27"/>
      <c r="BD28" s="27"/>
      <c r="BE28" s="27"/>
      <c r="BF28" s="27"/>
      <c r="BG28" s="27"/>
      <c r="BH28" s="27"/>
      <c r="BI28" s="27"/>
      <c r="BJ28" s="27"/>
      <c r="BK28" s="27"/>
      <c r="BL28" s="27"/>
      <c r="BM28" s="27"/>
      <c r="BN28" s="27"/>
      <c r="BO28" s="27"/>
      <c r="BP28" s="27"/>
      <c r="BQ28" s="27"/>
      <c r="BR28" s="27"/>
      <c r="BS28" s="27"/>
      <c r="BT28" s="27"/>
      <c r="BU28" s="27"/>
      <c r="BV28" s="27"/>
      <c r="BW28" s="27"/>
      <c r="BX28" s="27"/>
      <c r="BY28" s="27"/>
      <c r="BZ28" s="27"/>
      <c r="CA28" s="156"/>
      <c r="CB28" s="156"/>
      <c r="CC28" s="156"/>
      <c r="CD28" s="156"/>
      <c r="CE28" s="156"/>
      <c r="CF28" s="156"/>
      <c r="CG28" s="156"/>
      <c r="CH28" s="156"/>
      <c r="CI28" s="156"/>
      <c r="CJ28" s="156"/>
      <c r="CK28" s="156"/>
      <c r="CL28" s="156"/>
      <c r="CM28" s="156"/>
      <c r="CN28" s="156"/>
      <c r="CO28" s="156"/>
      <c r="CP28" s="156"/>
      <c r="CQ28" s="156"/>
      <c r="CR28" s="107">
        <f t="shared" si="3"/>
        <v>68162.604999999996</v>
      </c>
      <c r="CS28" s="107">
        <f t="shared" si="4"/>
        <v>68245.984333333327</v>
      </c>
      <c r="CT28" s="108">
        <f t="shared" si="5"/>
        <v>1252.7727491529895</v>
      </c>
      <c r="CU28" s="65">
        <f t="shared" si="6"/>
        <v>1.8356724741987476E-2</v>
      </c>
      <c r="CV28" s="66">
        <f t="shared" si="7"/>
        <v>57349.579831932773</v>
      </c>
      <c r="CW28" s="66">
        <f t="shared" si="8"/>
        <v>10896.420168067227</v>
      </c>
      <c r="CX28" s="109">
        <f t="shared" si="10"/>
        <v>68246</v>
      </c>
      <c r="CY28" s="109">
        <f t="shared" si="11"/>
        <v>682460</v>
      </c>
      <c r="CZ28" s="110" t="s">
        <v>903</v>
      </c>
    </row>
    <row r="29" spans="1:104" ht="36.75" customHeight="1" x14ac:dyDescent="0.2">
      <c r="A29" s="63">
        <v>24</v>
      </c>
      <c r="B29" s="149" t="s">
        <v>385</v>
      </c>
      <c r="C29" s="111" t="s">
        <v>386</v>
      </c>
      <c r="D29" s="105" t="s">
        <v>7</v>
      </c>
      <c r="E29" s="105">
        <v>4</v>
      </c>
      <c r="F29" s="13"/>
      <c r="G29" s="132"/>
      <c r="H29" s="13"/>
      <c r="I29" s="27"/>
      <c r="J29" s="13"/>
      <c r="K29" s="27"/>
      <c r="L29" s="13">
        <v>81000</v>
      </c>
      <c r="M29" s="132">
        <f t="shared" ref="M29" si="16">((L29*5.1%)+L29)</f>
        <v>85131</v>
      </c>
      <c r="N29" s="27"/>
      <c r="O29" s="27"/>
      <c r="P29" s="27"/>
      <c r="Q29" s="27"/>
      <c r="R29" s="27"/>
      <c r="S29" s="27"/>
      <c r="T29" s="27"/>
      <c r="U29" s="27"/>
      <c r="V29" s="27"/>
      <c r="W29" s="27"/>
      <c r="X29" s="27"/>
      <c r="Y29" s="27"/>
      <c r="Z29" s="27"/>
      <c r="AA29" s="69">
        <v>67647.058823529413</v>
      </c>
      <c r="AB29" s="69">
        <f>AA29*19%</f>
        <v>12852.941176470589</v>
      </c>
      <c r="AC29" s="71">
        <f>(AA29*1.17)+AB29</f>
        <v>92000</v>
      </c>
      <c r="AD29" s="27"/>
      <c r="AE29" s="27"/>
      <c r="AF29" s="27"/>
      <c r="AG29" s="27"/>
      <c r="AH29" s="27"/>
      <c r="AI29" s="27"/>
      <c r="AJ29" s="27"/>
      <c r="AK29" s="27"/>
      <c r="AL29" s="27"/>
      <c r="AM29" s="27"/>
      <c r="AN29" s="27"/>
      <c r="AO29" s="27"/>
      <c r="AP29" s="27"/>
      <c r="AQ29" s="27"/>
      <c r="AR29" s="27"/>
      <c r="AS29" s="27"/>
      <c r="AT29" s="27"/>
      <c r="AU29" s="27"/>
      <c r="AV29" s="27"/>
      <c r="AW29" s="27"/>
      <c r="AX29" s="27"/>
      <c r="AY29" s="27"/>
      <c r="AZ29" s="27"/>
      <c r="BA29" s="27"/>
      <c r="BB29" s="27"/>
      <c r="BC29" s="27"/>
      <c r="BD29" s="27"/>
      <c r="BE29" s="27"/>
      <c r="BF29" s="27"/>
      <c r="BG29" s="27"/>
      <c r="BH29" s="27"/>
      <c r="BI29" s="27"/>
      <c r="BJ29" s="27"/>
      <c r="BK29" s="27"/>
      <c r="BL29" s="27"/>
      <c r="BM29" s="27"/>
      <c r="BN29" s="27"/>
      <c r="BO29" s="27"/>
      <c r="BP29" s="27"/>
      <c r="BQ29" s="27"/>
      <c r="BR29" s="27"/>
      <c r="BS29" s="27"/>
      <c r="BT29" s="27"/>
      <c r="BU29" s="27"/>
      <c r="BV29" s="27"/>
      <c r="BW29" s="27"/>
      <c r="BX29" s="27"/>
      <c r="BY29" s="27"/>
      <c r="BZ29" s="27"/>
      <c r="CA29" s="156"/>
      <c r="CB29" s="156"/>
      <c r="CC29" s="156"/>
      <c r="CD29" s="156"/>
      <c r="CE29" s="156"/>
      <c r="CF29" s="156"/>
      <c r="CG29" s="156"/>
      <c r="CH29" s="156"/>
      <c r="CI29" s="156"/>
      <c r="CJ29" s="156"/>
      <c r="CK29" s="156"/>
      <c r="CL29" s="156"/>
      <c r="CM29" s="156"/>
      <c r="CN29" s="156"/>
      <c r="CO29" s="156"/>
      <c r="CP29" s="156"/>
      <c r="CQ29" s="156"/>
      <c r="CR29" s="107">
        <f t="shared" si="3"/>
        <v>88565.5</v>
      </c>
      <c r="CS29" s="107">
        <f t="shared" si="4"/>
        <v>88565.5</v>
      </c>
      <c r="CT29" s="108">
        <f t="shared" si="5"/>
        <v>4857.1164799703947</v>
      </c>
      <c r="CU29" s="65">
        <f t="shared" si="6"/>
        <v>5.4842082751978986E-2</v>
      </c>
      <c r="CV29" s="66">
        <f t="shared" si="7"/>
        <v>74425.210084033621</v>
      </c>
      <c r="CW29" s="66">
        <f t="shared" si="8"/>
        <v>14140.789915966388</v>
      </c>
      <c r="CX29" s="109">
        <f t="shared" si="10"/>
        <v>88566</v>
      </c>
      <c r="CY29" s="109">
        <f t="shared" si="11"/>
        <v>354264</v>
      </c>
      <c r="CZ29" s="110" t="s">
        <v>903</v>
      </c>
    </row>
    <row r="30" spans="1:104" ht="88.5" customHeight="1" x14ac:dyDescent="0.2">
      <c r="A30" s="63">
        <v>25</v>
      </c>
      <c r="B30" s="149" t="s">
        <v>387</v>
      </c>
      <c r="C30" s="111" t="s">
        <v>388</v>
      </c>
      <c r="D30" s="105" t="s">
        <v>7</v>
      </c>
      <c r="E30" s="105">
        <v>5</v>
      </c>
      <c r="F30" s="13">
        <v>425000</v>
      </c>
      <c r="G30" s="132">
        <f t="shared" si="13"/>
        <v>446675</v>
      </c>
      <c r="H30" s="13">
        <v>450000</v>
      </c>
      <c r="I30" s="132">
        <f t="shared" ref="I30:I31" si="17">((H30*5.1%)+H30)</f>
        <v>472950</v>
      </c>
      <c r="J30" s="13">
        <v>450000</v>
      </c>
      <c r="K30" s="132">
        <f t="shared" ref="K30:K31" si="18">((J30*5.1%)+J30)</f>
        <v>472950</v>
      </c>
      <c r="L30" s="27"/>
      <c r="M30" s="27"/>
      <c r="N30" s="27"/>
      <c r="O30" s="27"/>
      <c r="P30" s="27"/>
      <c r="Q30" s="27"/>
      <c r="R30" s="27"/>
      <c r="S30" s="27"/>
      <c r="T30" s="27"/>
      <c r="U30" s="27"/>
      <c r="V30" s="27"/>
      <c r="W30" s="27"/>
      <c r="X30" s="27"/>
      <c r="Y30" s="13">
        <v>470000</v>
      </c>
      <c r="Z30" s="132">
        <f t="shared" ref="Z30" si="19">((Y30*5.1%)+Y30)</f>
        <v>493970</v>
      </c>
      <c r="AA30" s="27"/>
      <c r="AB30" s="27"/>
      <c r="AC30" s="27"/>
      <c r="AD30" s="27"/>
      <c r="AE30" s="27"/>
      <c r="AF30" s="27"/>
      <c r="AG30" s="27"/>
      <c r="AH30" s="27"/>
      <c r="AI30" s="27"/>
      <c r="AJ30" s="27"/>
      <c r="AK30" s="27"/>
      <c r="AL30" s="27"/>
      <c r="AM30" s="27"/>
      <c r="AN30" s="27"/>
      <c r="AO30" s="27"/>
      <c r="AP30" s="27"/>
      <c r="AQ30" s="27"/>
      <c r="AR30" s="27"/>
      <c r="AS30" s="27"/>
      <c r="AT30" s="27"/>
      <c r="AU30" s="27"/>
      <c r="AV30" s="27"/>
      <c r="AW30" s="27"/>
      <c r="AX30" s="27"/>
      <c r="AY30" s="27"/>
      <c r="AZ30" s="27"/>
      <c r="BA30" s="27"/>
      <c r="BB30" s="27"/>
      <c r="BC30" s="27"/>
      <c r="BD30" s="27"/>
      <c r="BE30" s="27"/>
      <c r="BF30" s="27"/>
      <c r="BG30" s="27"/>
      <c r="BH30" s="27"/>
      <c r="BI30" s="27"/>
      <c r="BJ30" s="27"/>
      <c r="BK30" s="27"/>
      <c r="BL30" s="27"/>
      <c r="BM30" s="27"/>
      <c r="BN30" s="27"/>
      <c r="BO30" s="27"/>
      <c r="BP30" s="27"/>
      <c r="BQ30" s="27"/>
      <c r="BR30" s="27"/>
      <c r="BS30" s="27"/>
      <c r="BT30" s="27"/>
      <c r="BU30" s="27"/>
      <c r="BV30" s="27"/>
      <c r="BW30" s="27"/>
      <c r="BX30" s="27"/>
      <c r="BY30" s="27"/>
      <c r="BZ30" s="27"/>
      <c r="CA30" s="156"/>
      <c r="CB30" s="156"/>
      <c r="CC30" s="156"/>
      <c r="CD30" s="156"/>
      <c r="CE30" s="156"/>
      <c r="CF30" s="156"/>
      <c r="CG30" s="156"/>
      <c r="CH30" s="156"/>
      <c r="CI30" s="156"/>
      <c r="CJ30" s="156"/>
      <c r="CK30" s="156"/>
      <c r="CL30" s="156"/>
      <c r="CM30" s="156"/>
      <c r="CN30" s="156"/>
      <c r="CO30" s="156"/>
      <c r="CP30" s="156"/>
      <c r="CQ30" s="156"/>
      <c r="CR30" s="107">
        <f t="shared" si="3"/>
        <v>472950</v>
      </c>
      <c r="CS30" s="107">
        <f t="shared" si="4"/>
        <v>471636.25</v>
      </c>
      <c r="CT30" s="108">
        <f t="shared" si="5"/>
        <v>19367.604126048562</v>
      </c>
      <c r="CU30" s="65">
        <f t="shared" si="6"/>
        <v>4.1064706383465141E-2</v>
      </c>
      <c r="CV30" s="109">
        <f>ROUNDUP(IF(CU30&lt;15%,CS30,CR30),0)</f>
        <v>471637</v>
      </c>
      <c r="CW30" s="66">
        <v>0</v>
      </c>
      <c r="CX30" s="109">
        <f>CV30+CW30</f>
        <v>471637</v>
      </c>
      <c r="CY30" s="109">
        <f>CV30*E30</f>
        <v>2358185</v>
      </c>
      <c r="CZ30" s="110" t="s">
        <v>903</v>
      </c>
    </row>
    <row r="31" spans="1:104" ht="34" x14ac:dyDescent="0.2">
      <c r="A31" s="63">
        <v>26</v>
      </c>
      <c r="B31" s="149" t="s">
        <v>389</v>
      </c>
      <c r="C31" s="111" t="s">
        <v>390</v>
      </c>
      <c r="D31" s="105" t="s">
        <v>7</v>
      </c>
      <c r="E31" s="105">
        <v>1</v>
      </c>
      <c r="F31" s="13">
        <v>2439500</v>
      </c>
      <c r="G31" s="132">
        <f t="shared" si="13"/>
        <v>2563914.5</v>
      </c>
      <c r="H31" s="13">
        <v>2565640</v>
      </c>
      <c r="I31" s="132">
        <f t="shared" si="17"/>
        <v>2696487.64</v>
      </c>
      <c r="J31" s="13">
        <v>2565640</v>
      </c>
      <c r="K31" s="132">
        <f t="shared" si="18"/>
        <v>2696487.64</v>
      </c>
      <c r="L31" s="27"/>
      <c r="M31" s="27"/>
      <c r="N31" s="27"/>
      <c r="O31" s="27"/>
      <c r="P31" s="27"/>
      <c r="Q31" s="27"/>
      <c r="R31" s="27"/>
      <c r="S31" s="27"/>
      <c r="T31" s="27"/>
      <c r="U31" s="27"/>
      <c r="V31" s="27"/>
      <c r="W31" s="27"/>
      <c r="X31" s="27"/>
      <c r="Y31" s="27"/>
      <c r="Z31" s="27"/>
      <c r="AA31" s="27"/>
      <c r="AB31" s="27"/>
      <c r="AC31" s="27"/>
      <c r="AD31" s="21">
        <v>2312500</v>
      </c>
      <c r="AE31" s="132">
        <f t="shared" ref="AE31" si="20">((AD31*5.1%)+AD31)</f>
        <v>2430437.5</v>
      </c>
      <c r="AF31" s="27"/>
      <c r="AG31" s="27"/>
      <c r="AH31" s="27"/>
      <c r="AI31" s="27"/>
      <c r="AJ31" s="27"/>
      <c r="AK31" s="27"/>
      <c r="AL31" s="27"/>
      <c r="AM31" s="27"/>
      <c r="AN31" s="27"/>
      <c r="AO31" s="27"/>
      <c r="AP31" s="27"/>
      <c r="AQ31" s="27"/>
      <c r="AR31" s="27"/>
      <c r="AS31" s="27"/>
      <c r="AT31" s="27"/>
      <c r="AU31" s="27"/>
      <c r="AV31" s="27"/>
      <c r="AW31" s="27"/>
      <c r="AX31" s="27"/>
      <c r="AY31" s="27"/>
      <c r="AZ31" s="27"/>
      <c r="BA31" s="27"/>
      <c r="BB31" s="27"/>
      <c r="BC31" s="27"/>
      <c r="BD31" s="27"/>
      <c r="BE31" s="27"/>
      <c r="BF31" s="27"/>
      <c r="BG31" s="27"/>
      <c r="BH31" s="27"/>
      <c r="BI31" s="27"/>
      <c r="BJ31" s="27"/>
      <c r="BK31" s="27"/>
      <c r="BL31" s="27"/>
      <c r="BM31" s="27"/>
      <c r="BN31" s="27"/>
      <c r="BO31" s="27"/>
      <c r="BP31" s="27"/>
      <c r="BQ31" s="27"/>
      <c r="BR31" s="27"/>
      <c r="BS31" s="27"/>
      <c r="BT31" s="27"/>
      <c r="BU31" s="27"/>
      <c r="BV31" s="27"/>
      <c r="BW31" s="27"/>
      <c r="BX31" s="27"/>
      <c r="BY31" s="27"/>
      <c r="BZ31" s="27"/>
      <c r="CA31" s="156"/>
      <c r="CB31" s="156"/>
      <c r="CC31" s="156"/>
      <c r="CD31" s="156"/>
      <c r="CE31" s="156"/>
      <c r="CF31" s="156"/>
      <c r="CG31" s="156"/>
      <c r="CH31" s="156"/>
      <c r="CI31" s="156"/>
      <c r="CJ31" s="156"/>
      <c r="CK31" s="156"/>
      <c r="CL31" s="156"/>
      <c r="CM31" s="156"/>
      <c r="CN31" s="156"/>
      <c r="CO31" s="156"/>
      <c r="CP31" s="156"/>
      <c r="CQ31" s="156"/>
      <c r="CR31" s="107">
        <f t="shared" si="3"/>
        <v>2630201.0700000003</v>
      </c>
      <c r="CS31" s="107">
        <f t="shared" si="4"/>
        <v>2596831.8200000003</v>
      </c>
      <c r="CT31" s="108">
        <f t="shared" si="5"/>
        <v>127322.66701048646</v>
      </c>
      <c r="CU31" s="65">
        <f t="shared" si="6"/>
        <v>4.9030001107459642E-2</v>
      </c>
      <c r="CV31" s="66">
        <f t="shared" si="7"/>
        <v>2182211.7647058824</v>
      </c>
      <c r="CW31" s="66">
        <f t="shared" si="8"/>
        <v>414620.23529411765</v>
      </c>
      <c r="CX31" s="109">
        <f>ROUNDUP(IF(CU31&lt;15%,CS31,CR31),0)</f>
        <v>2596832</v>
      </c>
      <c r="CY31" s="109">
        <f>CX31*E31</f>
        <v>2596832</v>
      </c>
      <c r="CZ31" s="110" t="s">
        <v>903</v>
      </c>
    </row>
    <row r="32" spans="1:104" ht="34" x14ac:dyDescent="0.2">
      <c r="A32" s="63">
        <v>27</v>
      </c>
      <c r="B32" s="149" t="s">
        <v>391</v>
      </c>
      <c r="C32" s="111" t="s">
        <v>392</v>
      </c>
      <c r="D32" s="105" t="s">
        <v>7</v>
      </c>
      <c r="E32" s="105">
        <v>2</v>
      </c>
      <c r="F32" s="13">
        <v>899640</v>
      </c>
      <c r="G32" s="132">
        <f t="shared" si="13"/>
        <v>945521.64</v>
      </c>
      <c r="H32" s="13">
        <v>970564</v>
      </c>
      <c r="I32" s="132">
        <f t="shared" si="13"/>
        <v>1020062.764</v>
      </c>
      <c r="J32" s="13">
        <v>970564</v>
      </c>
      <c r="K32" s="132">
        <f t="shared" si="13"/>
        <v>1020062.764</v>
      </c>
      <c r="L32" s="13">
        <v>500000</v>
      </c>
      <c r="M32" s="132">
        <f t="shared" si="13"/>
        <v>525500</v>
      </c>
      <c r="N32" s="27"/>
      <c r="O32" s="27"/>
      <c r="P32" s="27"/>
      <c r="Q32" s="27"/>
      <c r="R32" s="27"/>
      <c r="S32" s="27"/>
      <c r="T32" s="27"/>
      <c r="U32" s="27"/>
      <c r="V32" s="27"/>
      <c r="W32" s="27"/>
      <c r="X32" s="27"/>
      <c r="Y32" s="27"/>
      <c r="Z32" s="27"/>
      <c r="AA32" s="27"/>
      <c r="AB32" s="27"/>
      <c r="AC32" s="27"/>
      <c r="AD32" s="27"/>
      <c r="AE32" s="27"/>
      <c r="AF32" s="27"/>
      <c r="AG32" s="27"/>
      <c r="AH32" s="27"/>
      <c r="AI32" s="27"/>
      <c r="AJ32" s="27"/>
      <c r="AK32" s="27"/>
      <c r="AL32" s="27"/>
      <c r="AM32" s="27"/>
      <c r="AN32" s="27"/>
      <c r="AO32" s="27"/>
      <c r="AP32" s="27"/>
      <c r="AQ32" s="27"/>
      <c r="AR32" s="27"/>
      <c r="AS32" s="27"/>
      <c r="AT32" s="27"/>
      <c r="AU32" s="27"/>
      <c r="AV32" s="27"/>
      <c r="AW32" s="27"/>
      <c r="AX32" s="27"/>
      <c r="AY32" s="27"/>
      <c r="AZ32" s="27"/>
      <c r="BA32" s="27"/>
      <c r="BB32" s="27"/>
      <c r="BC32" s="27"/>
      <c r="BD32" s="27"/>
      <c r="BE32" s="27"/>
      <c r="BF32" s="27"/>
      <c r="BG32" s="27"/>
      <c r="BH32" s="27"/>
      <c r="BI32" s="27"/>
      <c r="BJ32" s="27"/>
      <c r="BK32" s="27"/>
      <c r="BL32" s="27"/>
      <c r="BM32" s="27"/>
      <c r="BN32" s="27"/>
      <c r="BO32" s="27"/>
      <c r="BP32" s="27"/>
      <c r="BQ32" s="27"/>
      <c r="BR32" s="27"/>
      <c r="BS32" s="27"/>
      <c r="BT32" s="27"/>
      <c r="BU32" s="27"/>
      <c r="BV32" s="27"/>
      <c r="BW32" s="27"/>
      <c r="BX32" s="27"/>
      <c r="BY32" s="27"/>
      <c r="BZ32" s="27"/>
      <c r="CA32" s="156"/>
      <c r="CB32" s="156"/>
      <c r="CC32" s="156"/>
      <c r="CD32" s="156"/>
      <c r="CE32" s="156"/>
      <c r="CF32" s="156"/>
      <c r="CG32" s="156"/>
      <c r="CH32" s="156"/>
      <c r="CI32" s="156"/>
      <c r="CJ32" s="156"/>
      <c r="CK32" s="156"/>
      <c r="CL32" s="156"/>
      <c r="CM32" s="156"/>
      <c r="CN32" s="156"/>
      <c r="CO32" s="156"/>
      <c r="CP32" s="156"/>
      <c r="CQ32" s="156"/>
      <c r="CR32" s="107">
        <f t="shared" si="3"/>
        <v>982792.20200000005</v>
      </c>
      <c r="CS32" s="107">
        <f t="shared" si="4"/>
        <v>877786.79200000002</v>
      </c>
      <c r="CT32" s="108">
        <f t="shared" si="5"/>
        <v>237472.03194504383</v>
      </c>
      <c r="CU32" s="65">
        <f t="shared" si="6"/>
        <v>0.27053497968905849</v>
      </c>
      <c r="CV32" s="66">
        <f t="shared" si="7"/>
        <v>825876.4705882353</v>
      </c>
      <c r="CW32" s="66">
        <f t="shared" si="8"/>
        <v>156916.5294117647</v>
      </c>
      <c r="CX32" s="109">
        <f>ROUNDUP(IF(CU32&lt;15%,CS32,CR32),0)</f>
        <v>982793</v>
      </c>
      <c r="CY32" s="109">
        <f>CX32*E32</f>
        <v>1965586</v>
      </c>
      <c r="CZ32" s="110" t="s">
        <v>902</v>
      </c>
    </row>
    <row r="33" spans="1:104" ht="34" x14ac:dyDescent="0.2">
      <c r="A33" s="63">
        <v>28</v>
      </c>
      <c r="B33" s="149" t="s">
        <v>393</v>
      </c>
      <c r="C33" s="111" t="s">
        <v>394</v>
      </c>
      <c r="D33" s="105" t="s">
        <v>395</v>
      </c>
      <c r="E33" s="105">
        <v>1</v>
      </c>
      <c r="F33" s="13">
        <v>292264</v>
      </c>
      <c r="G33" s="132">
        <f t="shared" si="13"/>
        <v>307169.46399999998</v>
      </c>
      <c r="H33" s="13">
        <v>355215</v>
      </c>
      <c r="I33" s="132">
        <f t="shared" si="13"/>
        <v>373330.96500000003</v>
      </c>
      <c r="J33" s="13">
        <v>355215</v>
      </c>
      <c r="K33" s="132">
        <f t="shared" si="13"/>
        <v>373330.96500000003</v>
      </c>
      <c r="L33" s="27"/>
      <c r="M33" s="27"/>
      <c r="N33" s="27"/>
      <c r="O33" s="27"/>
      <c r="P33" s="27"/>
      <c r="Q33" s="27"/>
      <c r="R33" s="27"/>
      <c r="S33" s="27"/>
      <c r="T33" s="27"/>
      <c r="U33" s="27"/>
      <c r="V33" s="27"/>
      <c r="W33" s="27"/>
      <c r="X33" s="27"/>
      <c r="Y33" s="27"/>
      <c r="Z33" s="27"/>
      <c r="AA33" s="27"/>
      <c r="AB33" s="27"/>
      <c r="AC33" s="27"/>
      <c r="AD33" s="27"/>
      <c r="AE33" s="27"/>
      <c r="AF33" s="27"/>
      <c r="AG33" s="27"/>
      <c r="AH33" s="27"/>
      <c r="AI33" s="27"/>
      <c r="AJ33" s="27"/>
      <c r="AK33" s="27"/>
      <c r="AL33" s="27"/>
      <c r="AM33" s="27"/>
      <c r="AN33" s="27"/>
      <c r="AO33" s="27"/>
      <c r="AP33" s="27"/>
      <c r="AQ33" s="27"/>
      <c r="AR33" s="27"/>
      <c r="AS33" s="27"/>
      <c r="AT33" s="27"/>
      <c r="AU33" s="27"/>
      <c r="AV33" s="27"/>
      <c r="AW33" s="27"/>
      <c r="AX33" s="27"/>
      <c r="AY33" s="27"/>
      <c r="AZ33" s="27"/>
      <c r="BA33" s="27"/>
      <c r="BB33" s="27"/>
      <c r="BC33" s="27"/>
      <c r="BD33" s="27"/>
      <c r="BE33" s="27"/>
      <c r="BF33" s="27"/>
      <c r="BG33" s="27"/>
      <c r="BH33" s="27"/>
      <c r="BI33" s="27"/>
      <c r="BJ33" s="27"/>
      <c r="BK33" s="27"/>
      <c r="BL33" s="27"/>
      <c r="BM33" s="27"/>
      <c r="BN33" s="27"/>
      <c r="BO33" s="27"/>
      <c r="BP33" s="27"/>
      <c r="BQ33" s="27"/>
      <c r="BR33" s="27"/>
      <c r="BS33" s="27"/>
      <c r="BT33" s="27"/>
      <c r="BU33" s="27"/>
      <c r="BV33" s="27"/>
      <c r="BW33" s="27"/>
      <c r="BX33" s="27"/>
      <c r="BY33" s="27"/>
      <c r="BZ33" s="27"/>
      <c r="CA33" s="156"/>
      <c r="CB33" s="156"/>
      <c r="CC33" s="156"/>
      <c r="CD33" s="156"/>
      <c r="CE33" s="156"/>
      <c r="CF33" s="156"/>
      <c r="CG33" s="156"/>
      <c r="CH33" s="156"/>
      <c r="CI33" s="156"/>
      <c r="CJ33" s="156"/>
      <c r="CK33" s="156"/>
      <c r="CL33" s="156"/>
      <c r="CM33" s="156"/>
      <c r="CN33" s="156"/>
      <c r="CO33" s="156"/>
      <c r="CP33" s="156"/>
      <c r="CQ33" s="156"/>
      <c r="CR33" s="107">
        <f t="shared" si="3"/>
        <v>373330.96500000003</v>
      </c>
      <c r="CS33" s="107">
        <f t="shared" si="4"/>
        <v>351277.13133333338</v>
      </c>
      <c r="CT33" s="108">
        <f t="shared" si="5"/>
        <v>38198.360412339724</v>
      </c>
      <c r="CU33" s="65">
        <f t="shared" si="6"/>
        <v>0.10874138110656736</v>
      </c>
      <c r="CV33" s="66">
        <f t="shared" si="7"/>
        <v>295191.59663865546</v>
      </c>
      <c r="CW33" s="66">
        <f t="shared" si="8"/>
        <v>56086.403361344535</v>
      </c>
      <c r="CX33" s="109">
        <f>ROUNDUP(IF(CU33&lt;15%,CS33,CR33),0)</f>
        <v>351278</v>
      </c>
      <c r="CY33" s="109">
        <f>CX33*E33</f>
        <v>351278</v>
      </c>
      <c r="CZ33" s="110" t="s">
        <v>903</v>
      </c>
    </row>
    <row r="34" spans="1:104" ht="29.25" customHeight="1" x14ac:dyDescent="0.2">
      <c r="A34" s="63">
        <v>29</v>
      </c>
      <c r="B34" s="149" t="s">
        <v>396</v>
      </c>
      <c r="C34" s="111" t="s">
        <v>397</v>
      </c>
      <c r="D34" s="105" t="s">
        <v>7</v>
      </c>
      <c r="E34" s="105">
        <v>50</v>
      </c>
      <c r="F34" s="13">
        <v>41055</v>
      </c>
      <c r="G34" s="132">
        <f t="shared" si="13"/>
        <v>43148.805</v>
      </c>
      <c r="H34" s="13">
        <v>43435</v>
      </c>
      <c r="I34" s="132">
        <f t="shared" si="13"/>
        <v>45650.184999999998</v>
      </c>
      <c r="J34" s="13">
        <v>38675</v>
      </c>
      <c r="K34" s="132">
        <f t="shared" si="13"/>
        <v>40647.425000000003</v>
      </c>
      <c r="L34" s="27"/>
      <c r="M34" s="27"/>
      <c r="N34" s="27"/>
      <c r="O34" s="27"/>
      <c r="P34" s="27"/>
      <c r="Q34" s="27"/>
      <c r="R34" s="27"/>
      <c r="S34" s="27"/>
      <c r="T34" s="27"/>
      <c r="U34" s="27"/>
      <c r="V34" s="27"/>
      <c r="W34" s="27"/>
      <c r="X34" s="27"/>
      <c r="Y34" s="27"/>
      <c r="Z34" s="27"/>
      <c r="AA34" s="27"/>
      <c r="AB34" s="27"/>
      <c r="AC34" s="27"/>
      <c r="AD34" s="21">
        <v>33605.25</v>
      </c>
      <c r="AE34" s="132">
        <f t="shared" ref="AE34" si="21">((AD34*5.1%)+AD34)</f>
        <v>35319.117749999998</v>
      </c>
      <c r="AF34" s="27"/>
      <c r="AG34" s="27"/>
      <c r="AH34" s="27"/>
      <c r="AI34" s="27"/>
      <c r="AJ34" s="27"/>
      <c r="AK34" s="27"/>
      <c r="AL34" s="27"/>
      <c r="AM34" s="27"/>
      <c r="AN34" s="27"/>
      <c r="AO34" s="27"/>
      <c r="AP34" s="27"/>
      <c r="AQ34" s="27"/>
      <c r="AR34" s="27"/>
      <c r="AS34" s="27"/>
      <c r="AT34" s="27"/>
      <c r="AU34" s="27"/>
      <c r="AV34" s="27"/>
      <c r="AW34" s="27"/>
      <c r="AX34" s="27"/>
      <c r="AY34" s="27"/>
      <c r="AZ34" s="27"/>
      <c r="BA34" s="27"/>
      <c r="BB34" s="27"/>
      <c r="BC34" s="27"/>
      <c r="BD34" s="27"/>
      <c r="BE34" s="27"/>
      <c r="BF34" s="27"/>
      <c r="BG34" s="27"/>
      <c r="BH34" s="27"/>
      <c r="BI34" s="27"/>
      <c r="BJ34" s="27"/>
      <c r="BK34" s="27"/>
      <c r="BL34" s="27"/>
      <c r="BM34" s="27"/>
      <c r="BN34" s="27"/>
      <c r="BO34" s="27"/>
      <c r="BP34" s="27"/>
      <c r="BQ34" s="27"/>
      <c r="BR34" s="27"/>
      <c r="BS34" s="27"/>
      <c r="BT34" s="27"/>
      <c r="BU34" s="27"/>
      <c r="BV34" s="27"/>
      <c r="BW34" s="27"/>
      <c r="BX34" s="27"/>
      <c r="BY34" s="27"/>
      <c r="BZ34" s="27"/>
      <c r="CA34" s="156"/>
      <c r="CB34" s="156"/>
      <c r="CC34" s="156"/>
      <c r="CD34" s="156"/>
      <c r="CE34" s="156"/>
      <c r="CF34" s="156"/>
      <c r="CG34" s="156"/>
      <c r="CH34" s="156"/>
      <c r="CI34" s="156"/>
      <c r="CJ34" s="156"/>
      <c r="CK34" s="156"/>
      <c r="CL34" s="156"/>
      <c r="CM34" s="156"/>
      <c r="CN34" s="156"/>
      <c r="CO34" s="156"/>
      <c r="CP34" s="156"/>
      <c r="CQ34" s="156"/>
      <c r="CR34" s="107">
        <f t="shared" si="3"/>
        <v>41898.115000000005</v>
      </c>
      <c r="CS34" s="107">
        <f t="shared" si="4"/>
        <v>41191.383187499996</v>
      </c>
      <c r="CT34" s="108">
        <f t="shared" si="5"/>
        <v>4415.5711458960559</v>
      </c>
      <c r="CU34" s="65">
        <f t="shared" si="6"/>
        <v>0.10719647664650436</v>
      </c>
      <c r="CV34" s="66">
        <f t="shared" si="7"/>
        <v>34615.126050420171</v>
      </c>
      <c r="CW34" s="66">
        <f t="shared" si="8"/>
        <v>6576.8739495798327</v>
      </c>
      <c r="CX34" s="109">
        <f>ROUNDUP(IF(CU34&lt;15%,CS34,CR34),0)</f>
        <v>41192</v>
      </c>
      <c r="CY34" s="109">
        <f>CX34*E34</f>
        <v>2059600</v>
      </c>
      <c r="CZ34" s="110" t="s">
        <v>903</v>
      </c>
    </row>
    <row r="35" spans="1:104" ht="51" x14ac:dyDescent="0.2">
      <c r="A35" s="63">
        <v>30</v>
      </c>
      <c r="B35" s="149" t="s">
        <v>398</v>
      </c>
      <c r="C35" s="111" t="s">
        <v>399</v>
      </c>
      <c r="D35" s="105" t="s">
        <v>7</v>
      </c>
      <c r="E35" s="105">
        <v>80</v>
      </c>
      <c r="F35" s="13">
        <v>2975</v>
      </c>
      <c r="G35" s="132">
        <f t="shared" si="13"/>
        <v>3126.7249999999999</v>
      </c>
      <c r="H35" s="13">
        <v>3332</v>
      </c>
      <c r="I35" s="132">
        <f t="shared" si="13"/>
        <v>3501.9319999999998</v>
      </c>
      <c r="J35" s="13">
        <v>3094</v>
      </c>
      <c r="K35" s="132">
        <f t="shared" si="13"/>
        <v>3251.7939999999999</v>
      </c>
      <c r="L35" s="27"/>
      <c r="M35" s="27"/>
      <c r="N35" s="27"/>
      <c r="O35" s="27"/>
      <c r="P35" s="27"/>
      <c r="Q35" s="27"/>
      <c r="R35" s="27"/>
      <c r="S35" s="27"/>
      <c r="T35" s="27"/>
      <c r="U35" s="27"/>
      <c r="V35" s="27"/>
      <c r="W35" s="27"/>
      <c r="X35" s="27"/>
      <c r="Y35" s="27"/>
      <c r="Z35" s="27"/>
      <c r="AA35" s="27"/>
      <c r="AB35" s="27"/>
      <c r="AC35" s="27"/>
      <c r="AD35" s="27"/>
      <c r="AE35" s="27"/>
      <c r="AF35" s="27"/>
      <c r="AG35" s="27"/>
      <c r="AH35" s="27"/>
      <c r="AI35" s="27"/>
      <c r="AJ35" s="27"/>
      <c r="AK35" s="27"/>
      <c r="AL35" s="27"/>
      <c r="AM35" s="27"/>
      <c r="AN35" s="27"/>
      <c r="AO35" s="27"/>
      <c r="AP35" s="27"/>
      <c r="AQ35" s="27"/>
      <c r="AR35" s="27"/>
      <c r="AS35" s="27"/>
      <c r="AT35" s="27"/>
      <c r="AU35" s="27"/>
      <c r="AV35" s="27"/>
      <c r="AW35" s="27"/>
      <c r="AX35" s="27"/>
      <c r="AY35" s="27"/>
      <c r="AZ35" s="27"/>
      <c r="BA35" s="27"/>
      <c r="BB35" s="27"/>
      <c r="BC35" s="27"/>
      <c r="BD35" s="27"/>
      <c r="BE35" s="27"/>
      <c r="BF35" s="27"/>
      <c r="BG35" s="27"/>
      <c r="BH35" s="27"/>
      <c r="BI35" s="27"/>
      <c r="BJ35" s="27"/>
      <c r="BK35" s="27"/>
      <c r="BL35" s="27"/>
      <c r="BM35" s="27"/>
      <c r="BN35" s="27"/>
      <c r="BO35" s="27"/>
      <c r="BP35" s="27"/>
      <c r="BQ35" s="27"/>
      <c r="BR35" s="27"/>
      <c r="BS35" s="27"/>
      <c r="BT35" s="27"/>
      <c r="BU35" s="27"/>
      <c r="BV35" s="27"/>
      <c r="BW35" s="27"/>
      <c r="BX35" s="27"/>
      <c r="BY35" s="27"/>
      <c r="BZ35" s="27"/>
      <c r="CA35" s="156"/>
      <c r="CB35" s="156"/>
      <c r="CC35" s="156"/>
      <c r="CD35" s="156"/>
      <c r="CE35" s="156"/>
      <c r="CF35" s="156"/>
      <c r="CG35" s="156"/>
      <c r="CH35" s="156"/>
      <c r="CI35" s="156"/>
      <c r="CJ35" s="156"/>
      <c r="CK35" s="156"/>
      <c r="CL35" s="156"/>
      <c r="CM35" s="156"/>
      <c r="CN35" s="156"/>
      <c r="CO35" s="156"/>
      <c r="CP35" s="156"/>
      <c r="CQ35" s="156"/>
      <c r="CR35" s="107">
        <f t="shared" si="3"/>
        <v>3251.7939999999999</v>
      </c>
      <c r="CS35" s="107">
        <f t="shared" si="4"/>
        <v>3293.4836666666665</v>
      </c>
      <c r="CT35" s="108">
        <f t="shared" si="5"/>
        <v>191.04605319747728</v>
      </c>
      <c r="CU35" s="65">
        <f t="shared" si="6"/>
        <v>5.8007287277922016E-2</v>
      </c>
      <c r="CV35" s="66">
        <f t="shared" si="7"/>
        <v>2768.0672268907565</v>
      </c>
      <c r="CW35" s="66">
        <f t="shared" si="8"/>
        <v>525.93277310924373</v>
      </c>
      <c r="CX35" s="109">
        <f>ROUNDUP(IF(CU35&lt;15%,CS35,CR35),0)</f>
        <v>3294</v>
      </c>
      <c r="CY35" s="109">
        <f>CX35*E35</f>
        <v>263520</v>
      </c>
      <c r="CZ35" s="110" t="s">
        <v>903</v>
      </c>
    </row>
    <row r="36" spans="1:104" s="100" customFormat="1" ht="33.5" customHeight="1" x14ac:dyDescent="0.2">
      <c r="A36" s="63">
        <v>31</v>
      </c>
      <c r="B36" s="149" t="s">
        <v>400</v>
      </c>
      <c r="C36" s="111" t="s">
        <v>401</v>
      </c>
      <c r="D36" s="105" t="s">
        <v>112</v>
      </c>
      <c r="E36" s="105">
        <v>2</v>
      </c>
      <c r="F36" s="13"/>
      <c r="G36" s="132"/>
      <c r="H36" s="13"/>
      <c r="I36" s="132"/>
      <c r="J36" s="13"/>
      <c r="K36" s="132"/>
      <c r="L36" s="27"/>
      <c r="M36" s="27"/>
      <c r="N36" s="27"/>
      <c r="O36" s="27"/>
      <c r="P36" s="27"/>
      <c r="Q36" s="27"/>
      <c r="R36" s="27"/>
      <c r="S36" s="27"/>
      <c r="T36" s="27"/>
      <c r="U36" s="27"/>
      <c r="V36" s="27"/>
      <c r="W36" s="27"/>
      <c r="X36" s="27"/>
      <c r="Y36" s="27"/>
      <c r="Z36" s="27"/>
      <c r="AA36" s="27"/>
      <c r="AB36" s="27"/>
      <c r="AC36" s="27"/>
      <c r="AD36" s="27"/>
      <c r="AE36" s="27"/>
      <c r="AF36" s="27"/>
      <c r="AG36" s="27"/>
      <c r="AH36" s="27"/>
      <c r="AI36" s="27"/>
      <c r="AJ36" s="27"/>
      <c r="AK36" s="27"/>
      <c r="AL36" s="27"/>
      <c r="AM36" s="27"/>
      <c r="AN36" s="27"/>
      <c r="AO36" s="27"/>
      <c r="AP36" s="27"/>
      <c r="AQ36" s="27"/>
      <c r="AR36" s="27"/>
      <c r="AS36" s="27"/>
      <c r="AT36" s="27"/>
      <c r="AU36" s="27"/>
      <c r="AV36" s="27"/>
      <c r="AW36" s="27"/>
      <c r="AX36" s="27"/>
      <c r="AY36" s="27"/>
      <c r="AZ36" s="27"/>
      <c r="BA36" s="27"/>
      <c r="BB36" s="27"/>
      <c r="BC36" s="27"/>
      <c r="BD36" s="27"/>
      <c r="BE36" s="27"/>
      <c r="BF36" s="27"/>
      <c r="BG36" s="27"/>
      <c r="BH36" s="27"/>
      <c r="BI36" s="27"/>
      <c r="BJ36" s="27"/>
      <c r="BK36" s="27"/>
      <c r="BL36" s="27"/>
      <c r="BM36" s="27"/>
      <c r="BN36" s="27"/>
      <c r="BO36" s="27"/>
      <c r="BP36" s="27"/>
      <c r="BQ36" s="27"/>
      <c r="BR36" s="27"/>
      <c r="BS36" s="27"/>
      <c r="BT36" s="27"/>
      <c r="BU36" s="27"/>
      <c r="BV36" s="27"/>
      <c r="BW36" s="27"/>
      <c r="BX36" s="27"/>
      <c r="BY36" s="27"/>
      <c r="BZ36" s="27">
        <v>60900</v>
      </c>
      <c r="CA36" s="156">
        <f>+BZ36/1.19</f>
        <v>51176.470588235294</v>
      </c>
      <c r="CB36" s="156">
        <f>(CA36*36%)+CA36</f>
        <v>69600</v>
      </c>
      <c r="CC36" s="156">
        <v>59900</v>
      </c>
      <c r="CD36" s="156">
        <f>+CC36/1.19</f>
        <v>50336.134453781517</v>
      </c>
      <c r="CE36" s="156">
        <f>(CD36*36%)+CD36</f>
        <v>68457.14285714287</v>
      </c>
      <c r="CF36" s="156"/>
      <c r="CG36" s="156"/>
      <c r="CH36" s="156"/>
      <c r="CI36" s="156"/>
      <c r="CJ36" s="156"/>
      <c r="CK36" s="156"/>
      <c r="CL36" s="156"/>
      <c r="CM36" s="156"/>
      <c r="CN36" s="156"/>
      <c r="CO36" s="156"/>
      <c r="CP36" s="156"/>
      <c r="CQ36" s="156"/>
      <c r="CR36" s="107">
        <f>MEDIAN(G36,I36,K36,M36,P36,R36,U36,X36,Z36,AC36,AE36,AG36,AI36,AK36,AM36,AO36,AQ36,AS36,AU36,AW36,AY36,BA36,BC36,BE36,BF36,BG36,BH36,BI36,BJ36,BK36,BL36,BM36,BN36,BO36,BP36,BQ36,BR36,BS36,BT36,BU36,BV36,BW36,BX36,BY36,CB36,CE36,CH36,CK36,CN36,CQ36)</f>
        <v>69028.571428571435</v>
      </c>
      <c r="CS36" s="107">
        <f>AVERAGE(G36,I36,K36,M36,P36,R36,U36,X36,Z36,AC36,AE36,AG36,AI36,AK36,AM36,AO36,AQ36,AS36,AU36,AW36,AY36,BA36,BC36,BE36,BF36,BG36,BH36,BI36,BJ36,BK36,BL36,BM36,BN36,BO36,BP36,BQ36,BR36,BS36,BT36,BU36,BV36,BW36,BX36,BY36,CB36,CE36,CH36,CK36,CN36,CQ36)</f>
        <v>69028.571428571435</v>
      </c>
      <c r="CT36" s="108">
        <f>STDEV(G36,I36,K36,M36,P36,R36,U36,X36,Z36,AC36,AE36,AG36,AI36,AK36,AM36,AO36,AQ36,AS36,AU36,AW36,AY36,BA36,BC36,BE36,BF36,BG36,BH36,BI36,BJ36,BK36,BL36,BM36,BN36,BO36,BP36,BQ36,BR36,BS36,BT36,BU36,BV36,BW36,BX36,BY36,CB36,CE36,CH36,CK36,CN36,CQ36)</f>
        <v>808.12203564175979</v>
      </c>
      <c r="CU36" s="65">
        <f t="shared" si="6"/>
        <v>1.1707065913684433E-2</v>
      </c>
      <c r="CV36" s="109">
        <f>ROUNDUP(IF(CU36&lt;15%,CS36,CR36),0)</f>
        <v>69029</v>
      </c>
      <c r="CW36" s="66">
        <v>0</v>
      </c>
      <c r="CX36" s="109">
        <f>CV36+CW36</f>
        <v>69029</v>
      </c>
      <c r="CY36" s="109">
        <f>CV36*E36</f>
        <v>138058</v>
      </c>
      <c r="CZ36" s="110" t="s">
        <v>903</v>
      </c>
    </row>
    <row r="37" spans="1:104" ht="34" x14ac:dyDescent="0.2">
      <c r="A37" s="63">
        <v>32</v>
      </c>
      <c r="B37" s="149" t="s">
        <v>402</v>
      </c>
      <c r="C37" s="122" t="s">
        <v>884</v>
      </c>
      <c r="D37" s="105" t="s">
        <v>395</v>
      </c>
      <c r="E37" s="105">
        <v>4</v>
      </c>
      <c r="F37" s="27"/>
      <c r="G37" s="27"/>
      <c r="H37" s="27"/>
      <c r="I37" s="27"/>
      <c r="J37" s="27"/>
      <c r="K37" s="27"/>
      <c r="L37" s="27"/>
      <c r="M37" s="27"/>
      <c r="N37" s="27"/>
      <c r="O37" s="27"/>
      <c r="P37" s="27"/>
      <c r="Q37" s="27"/>
      <c r="R37" s="27"/>
      <c r="S37" s="27"/>
      <c r="T37" s="27"/>
      <c r="U37" s="27"/>
      <c r="V37" s="27"/>
      <c r="W37" s="27"/>
      <c r="X37" s="27"/>
      <c r="Y37" s="27"/>
      <c r="Z37" s="27"/>
      <c r="AA37" s="27"/>
      <c r="AB37" s="27"/>
      <c r="AC37" s="27"/>
      <c r="AD37" s="27"/>
      <c r="AE37" s="27"/>
      <c r="AF37" s="27"/>
      <c r="AG37" s="27"/>
      <c r="AH37" s="27"/>
      <c r="AI37" s="27"/>
      <c r="AJ37" s="27"/>
      <c r="AK37" s="27"/>
      <c r="AL37" s="27"/>
      <c r="AM37" s="27"/>
      <c r="AN37" s="27"/>
      <c r="AO37" s="27"/>
      <c r="AP37" s="27"/>
      <c r="AQ37" s="27"/>
      <c r="AR37" s="27"/>
      <c r="AS37" s="27"/>
      <c r="AT37" s="27"/>
      <c r="AU37" s="27"/>
      <c r="AV37" s="27"/>
      <c r="AW37" s="27"/>
      <c r="AX37" s="27"/>
      <c r="AY37" s="27"/>
      <c r="AZ37" s="27"/>
      <c r="BA37" s="27"/>
      <c r="BB37" s="27"/>
      <c r="BC37" s="27"/>
      <c r="BD37" s="27"/>
      <c r="BE37" s="27"/>
      <c r="BF37" s="27"/>
      <c r="BG37" s="27"/>
      <c r="BH37" s="27"/>
      <c r="BI37" s="27"/>
      <c r="BJ37" s="27"/>
      <c r="BK37" s="27"/>
      <c r="BL37" s="27"/>
      <c r="BM37" s="27"/>
      <c r="BN37" s="27"/>
      <c r="BO37" s="27"/>
      <c r="BP37" s="27"/>
      <c r="BQ37" s="27"/>
      <c r="BR37" s="27"/>
      <c r="BS37" s="27"/>
      <c r="BT37" s="27"/>
      <c r="BU37" s="27"/>
      <c r="BV37" s="27"/>
      <c r="BW37" s="27"/>
      <c r="BX37" s="45">
        <v>320000</v>
      </c>
      <c r="BY37" s="45">
        <v>309400</v>
      </c>
      <c r="BZ37" s="45"/>
      <c r="CA37" s="101"/>
      <c r="CB37" s="101"/>
      <c r="CC37" s="101"/>
      <c r="CD37" s="101"/>
      <c r="CE37" s="101"/>
      <c r="CF37" s="101"/>
      <c r="CG37" s="101"/>
      <c r="CH37" s="101"/>
      <c r="CI37" s="101"/>
      <c r="CJ37" s="101"/>
      <c r="CK37" s="101"/>
      <c r="CL37" s="101"/>
      <c r="CM37" s="101"/>
      <c r="CN37" s="101"/>
      <c r="CO37" s="101"/>
      <c r="CP37" s="101"/>
      <c r="CQ37" s="101"/>
      <c r="CR37" s="107">
        <f t="shared" ref="CR37:CR93" si="22">MEDIAN(G37,I37,K37,M37,P37,R37,U37,X37,Z37,AC37,AE37,AG37,AI37,AK37,AM37,AO37,AQ37,AS37,AU37,AW37,AY37,BA37,BC37,BE37,BF37,BG37,BH37,BI37,BJ37,BK37,BL37,BM37,BN37,BO37,BP37,BQ37,BR37,BS37,BT37,BU37,BV37,BW37,BX37,BY37,CB37,CE37,CH37,CK37,CN37,CQ37)</f>
        <v>314700</v>
      </c>
      <c r="CS37" s="107">
        <f t="shared" ref="CS37:CS93" si="23">AVERAGE(G37,I37,K37,M37,P37,R37,U37,X37,Z37,AC37,AE37,AG37,AI37,AK37,AM37,AO37,AQ37,AS37,AU37,AW37,AY37,BA37,BC37,BE37,BF37,BG37,BH37,BI37,BJ37,BK37,BL37,BM37,BN37,BO37,BP37,BQ37,BR37,BS37,BT37,BU37,BV37,BW37,BX37,BY37,CB37,CE37,CH37,CK37,CN37,CQ37)</f>
        <v>314700</v>
      </c>
      <c r="CT37" s="108">
        <f t="shared" ref="CT37:CT93" si="24">STDEV(G37,I37,K37,M37,P37,R37,U37,X37,Z37,AC37,AE37,AG37,AI37,AK37,AM37,AO37,AQ37,AS37,AU37,AW37,AY37,BA37,BC37,BE37,BF37,BG37,BH37,BI37,BJ37,BK37,BL37,BM37,BN37,BO37,BP37,BQ37,BR37,BS37,BT37,BU37,BV37,BW37,BX37,BY37,CB37,CE37,CH37,CK37,CN37,CQ37)</f>
        <v>7495.3318805774034</v>
      </c>
      <c r="CU37" s="65">
        <f t="shared" si="6"/>
        <v>2.3817387609079768E-2</v>
      </c>
      <c r="CV37" s="66">
        <f t="shared" si="7"/>
        <v>264453.78151260503</v>
      </c>
      <c r="CW37" s="66">
        <f t="shared" si="8"/>
        <v>50246.218487394959</v>
      </c>
      <c r="CX37" s="109">
        <f>ROUNDUP(IF(CU37&lt;15%,CS37,CR37),0)</f>
        <v>314700</v>
      </c>
      <c r="CY37" s="109">
        <f>CX37*E37</f>
        <v>1258800</v>
      </c>
      <c r="CZ37" s="110" t="s">
        <v>903</v>
      </c>
    </row>
    <row r="38" spans="1:104" ht="85" x14ac:dyDescent="0.2">
      <c r="A38" s="63">
        <v>33</v>
      </c>
      <c r="B38" s="149" t="s">
        <v>403</v>
      </c>
      <c r="C38" s="111" t="s">
        <v>404</v>
      </c>
      <c r="D38" s="105" t="s">
        <v>117</v>
      </c>
      <c r="E38" s="105">
        <v>2</v>
      </c>
      <c r="F38" s="13">
        <v>81515</v>
      </c>
      <c r="G38" s="132">
        <f t="shared" si="13"/>
        <v>85672.264999999999</v>
      </c>
      <c r="H38" s="13">
        <v>70500</v>
      </c>
      <c r="I38" s="132">
        <f t="shared" si="13"/>
        <v>74095.5</v>
      </c>
      <c r="J38" s="13">
        <v>70500</v>
      </c>
      <c r="K38" s="132">
        <f t="shared" si="13"/>
        <v>74095.5</v>
      </c>
      <c r="L38" s="27"/>
      <c r="M38" s="27"/>
      <c r="N38" s="27"/>
      <c r="O38" s="27"/>
      <c r="P38" s="27"/>
      <c r="Q38" s="27"/>
      <c r="R38" s="27"/>
      <c r="S38" s="27"/>
      <c r="T38" s="27"/>
      <c r="U38" s="27"/>
      <c r="V38" s="27"/>
      <c r="W38" s="27"/>
      <c r="X38" s="27"/>
      <c r="Y38" s="27"/>
      <c r="Z38" s="27"/>
      <c r="AA38" s="27"/>
      <c r="AB38" s="27"/>
      <c r="AC38" s="27"/>
      <c r="AD38" s="27"/>
      <c r="AE38" s="27"/>
      <c r="AF38" s="27"/>
      <c r="AG38" s="27"/>
      <c r="AH38" s="27"/>
      <c r="AI38" s="27"/>
      <c r="AJ38" s="27"/>
      <c r="AK38" s="27"/>
      <c r="AL38" s="27"/>
      <c r="AM38" s="27"/>
      <c r="AN38" s="27"/>
      <c r="AO38" s="27"/>
      <c r="AP38" s="27"/>
      <c r="AQ38" s="27"/>
      <c r="AR38" s="27"/>
      <c r="AS38" s="27"/>
      <c r="AT38" s="27"/>
      <c r="AU38" s="27"/>
      <c r="AV38" s="27"/>
      <c r="AW38" s="27"/>
      <c r="AX38" s="27"/>
      <c r="AY38" s="27"/>
      <c r="AZ38" s="27"/>
      <c r="BA38" s="27"/>
      <c r="BB38" s="27"/>
      <c r="BC38" s="27"/>
      <c r="BD38" s="27"/>
      <c r="BE38" s="27"/>
      <c r="BF38" s="27"/>
      <c r="BG38" s="27"/>
      <c r="BH38" s="27"/>
      <c r="BI38" s="27"/>
      <c r="BJ38" s="27"/>
      <c r="BK38" s="27"/>
      <c r="BL38" s="27"/>
      <c r="BM38" s="27"/>
      <c r="BN38" s="27"/>
      <c r="BO38" s="27"/>
      <c r="BP38" s="27"/>
      <c r="BQ38" s="27"/>
      <c r="BR38" s="27"/>
      <c r="BS38" s="27"/>
      <c r="BT38" s="27"/>
      <c r="BU38" s="27"/>
      <c r="BV38" s="27"/>
      <c r="BW38" s="27"/>
      <c r="BX38" s="27"/>
      <c r="BY38" s="27"/>
      <c r="BZ38" s="27"/>
      <c r="CA38" s="156"/>
      <c r="CB38" s="156"/>
      <c r="CC38" s="156"/>
      <c r="CD38" s="156"/>
      <c r="CE38" s="156"/>
      <c r="CF38" s="156"/>
      <c r="CG38" s="156"/>
      <c r="CH38" s="156"/>
      <c r="CI38" s="156"/>
      <c r="CJ38" s="156"/>
      <c r="CK38" s="156"/>
      <c r="CL38" s="156"/>
      <c r="CM38" s="156"/>
      <c r="CN38" s="156"/>
      <c r="CO38" s="156"/>
      <c r="CP38" s="156"/>
      <c r="CQ38" s="156"/>
      <c r="CR38" s="107">
        <f t="shared" si="22"/>
        <v>74095.5</v>
      </c>
      <c r="CS38" s="107">
        <f t="shared" si="23"/>
        <v>77954.421666666676</v>
      </c>
      <c r="CT38" s="108">
        <f t="shared" si="24"/>
        <v>6683.8483890950374</v>
      </c>
      <c r="CU38" s="65">
        <f t="shared" si="6"/>
        <v>8.5740465341083427E-2</v>
      </c>
      <c r="CV38" s="109">
        <f>ROUNDUP(IF(CU38&lt;15%,CS38,CR38),0)</f>
        <v>77955</v>
      </c>
      <c r="CW38" s="66">
        <v>0</v>
      </c>
      <c r="CX38" s="109">
        <f>CV38+CW38</f>
        <v>77955</v>
      </c>
      <c r="CY38" s="109">
        <f>CV38*E38</f>
        <v>155910</v>
      </c>
      <c r="CZ38" s="110" t="s">
        <v>903</v>
      </c>
    </row>
    <row r="39" spans="1:104" ht="68" x14ac:dyDescent="0.2">
      <c r="A39" s="63">
        <v>34</v>
      </c>
      <c r="B39" s="149" t="s">
        <v>405</v>
      </c>
      <c r="C39" s="111" t="s">
        <v>406</v>
      </c>
      <c r="D39" s="105" t="s">
        <v>407</v>
      </c>
      <c r="E39" s="105">
        <v>2</v>
      </c>
      <c r="F39" s="13">
        <v>54264</v>
      </c>
      <c r="G39" s="132">
        <f t="shared" si="13"/>
        <v>57031.464</v>
      </c>
      <c r="H39" s="13">
        <v>85600</v>
      </c>
      <c r="I39" s="132">
        <f t="shared" si="13"/>
        <v>89965.6</v>
      </c>
      <c r="J39" s="13">
        <v>85600</v>
      </c>
      <c r="K39" s="132">
        <f t="shared" si="13"/>
        <v>89965.6</v>
      </c>
      <c r="L39" s="27"/>
      <c r="M39" s="27"/>
      <c r="N39" s="27"/>
      <c r="O39" s="27"/>
      <c r="P39" s="27"/>
      <c r="Q39" s="27"/>
      <c r="R39" s="27"/>
      <c r="S39" s="27"/>
      <c r="T39" s="27"/>
      <c r="U39" s="27"/>
      <c r="V39" s="27"/>
      <c r="W39" s="27"/>
      <c r="X39" s="27"/>
      <c r="Y39" s="27"/>
      <c r="Z39" s="27"/>
      <c r="AA39" s="27"/>
      <c r="AB39" s="27"/>
      <c r="AC39" s="27"/>
      <c r="AD39" s="27"/>
      <c r="AE39" s="27"/>
      <c r="AF39" s="27"/>
      <c r="AG39" s="27"/>
      <c r="AH39" s="27"/>
      <c r="AI39" s="27"/>
      <c r="AJ39" s="27"/>
      <c r="AK39" s="27"/>
      <c r="AL39" s="27"/>
      <c r="AM39" s="27"/>
      <c r="AN39" s="27"/>
      <c r="AO39" s="27"/>
      <c r="AP39" s="27"/>
      <c r="AQ39" s="27"/>
      <c r="AR39" s="27"/>
      <c r="AS39" s="27"/>
      <c r="AT39" s="27"/>
      <c r="AU39" s="27"/>
      <c r="AV39" s="27"/>
      <c r="AW39" s="27"/>
      <c r="AX39" s="27"/>
      <c r="AY39" s="27"/>
      <c r="AZ39" s="27"/>
      <c r="BA39" s="27"/>
      <c r="BB39" s="27"/>
      <c r="BC39" s="27"/>
      <c r="BD39" s="27"/>
      <c r="BE39" s="27"/>
      <c r="BF39" s="27"/>
      <c r="BG39" s="27"/>
      <c r="BH39" s="27"/>
      <c r="BI39" s="27"/>
      <c r="BJ39" s="27"/>
      <c r="BK39" s="27"/>
      <c r="BL39" s="27"/>
      <c r="BM39" s="27"/>
      <c r="BN39" s="27"/>
      <c r="BO39" s="27"/>
      <c r="BP39" s="27"/>
      <c r="BQ39" s="27"/>
      <c r="BR39" s="27"/>
      <c r="BS39" s="27"/>
      <c r="BT39" s="27"/>
      <c r="BU39" s="27"/>
      <c r="BV39" s="27"/>
      <c r="BW39" s="27"/>
      <c r="BX39" s="27"/>
      <c r="BY39" s="27"/>
      <c r="BZ39" s="27"/>
      <c r="CA39" s="156"/>
      <c r="CB39" s="156"/>
      <c r="CC39" s="156"/>
      <c r="CD39" s="156"/>
      <c r="CE39" s="156"/>
      <c r="CF39" s="156"/>
      <c r="CG39" s="156"/>
      <c r="CH39" s="156"/>
      <c r="CI39" s="156"/>
      <c r="CJ39" s="156"/>
      <c r="CK39" s="156"/>
      <c r="CL39" s="156"/>
      <c r="CM39" s="156"/>
      <c r="CN39" s="156"/>
      <c r="CO39" s="156"/>
      <c r="CP39" s="156"/>
      <c r="CQ39" s="156"/>
      <c r="CR39" s="107">
        <f t="shared" si="22"/>
        <v>89965.6</v>
      </c>
      <c r="CS39" s="107">
        <f t="shared" si="23"/>
        <v>78987.554666666678</v>
      </c>
      <c r="CT39" s="108">
        <f t="shared" si="24"/>
        <v>19014.532285127694</v>
      </c>
      <c r="CU39" s="65">
        <f t="shared" si="6"/>
        <v>0.240728205416289</v>
      </c>
      <c r="CV39" s="109">
        <f>ROUNDUP(IF(CU39&lt;15%,CS39,CR39),0)</f>
        <v>89966</v>
      </c>
      <c r="CW39" s="66">
        <v>0</v>
      </c>
      <c r="CX39" s="109">
        <f>CV39+CW39</f>
        <v>89966</v>
      </c>
      <c r="CY39" s="109">
        <f>CV39*E39</f>
        <v>179932</v>
      </c>
      <c r="CZ39" s="110" t="s">
        <v>902</v>
      </c>
    </row>
    <row r="40" spans="1:104" ht="119" x14ac:dyDescent="0.2">
      <c r="A40" s="63">
        <v>35</v>
      </c>
      <c r="B40" s="149" t="s">
        <v>408</v>
      </c>
      <c r="C40" s="111" t="s">
        <v>409</v>
      </c>
      <c r="D40" s="105" t="s">
        <v>7</v>
      </c>
      <c r="E40" s="105">
        <v>2</v>
      </c>
      <c r="F40" s="13">
        <v>50575</v>
      </c>
      <c r="G40" s="132">
        <f t="shared" si="13"/>
        <v>53154.324999999997</v>
      </c>
      <c r="H40" s="13">
        <v>45815</v>
      </c>
      <c r="I40" s="132">
        <f t="shared" si="13"/>
        <v>48151.565000000002</v>
      </c>
      <c r="J40" s="13">
        <v>45815</v>
      </c>
      <c r="K40" s="132">
        <f t="shared" si="13"/>
        <v>48151.565000000002</v>
      </c>
      <c r="L40" s="27"/>
      <c r="M40" s="27"/>
      <c r="N40" s="27"/>
      <c r="O40" s="27"/>
      <c r="P40" s="27"/>
      <c r="Q40" s="27"/>
      <c r="R40" s="27"/>
      <c r="S40" s="27"/>
      <c r="T40" s="27"/>
      <c r="U40" s="27"/>
      <c r="V40" s="27"/>
      <c r="W40" s="27"/>
      <c r="X40" s="27"/>
      <c r="Y40" s="27"/>
      <c r="Z40" s="27"/>
      <c r="AA40" s="27"/>
      <c r="AB40" s="27"/>
      <c r="AC40" s="27"/>
      <c r="AD40" s="27"/>
      <c r="AE40" s="27"/>
      <c r="AF40" s="27"/>
      <c r="AG40" s="27"/>
      <c r="AH40" s="27"/>
      <c r="AI40" s="27"/>
      <c r="AJ40" s="27"/>
      <c r="AK40" s="27"/>
      <c r="AL40" s="27"/>
      <c r="AM40" s="27"/>
      <c r="AN40" s="27"/>
      <c r="AO40" s="27"/>
      <c r="AP40" s="27"/>
      <c r="AQ40" s="27"/>
      <c r="AR40" s="27"/>
      <c r="AS40" s="27"/>
      <c r="AT40" s="27"/>
      <c r="AU40" s="27"/>
      <c r="AV40" s="27"/>
      <c r="AW40" s="27"/>
      <c r="AX40" s="27"/>
      <c r="AY40" s="27"/>
      <c r="AZ40" s="27"/>
      <c r="BA40" s="27"/>
      <c r="BB40" s="27"/>
      <c r="BC40" s="27"/>
      <c r="BD40" s="27"/>
      <c r="BE40" s="27"/>
      <c r="BF40" s="27"/>
      <c r="BG40" s="27"/>
      <c r="BH40" s="27"/>
      <c r="BI40" s="27"/>
      <c r="BJ40" s="27"/>
      <c r="BK40" s="27"/>
      <c r="BL40" s="27"/>
      <c r="BM40" s="27"/>
      <c r="BN40" s="27"/>
      <c r="BO40" s="27"/>
      <c r="BP40" s="27"/>
      <c r="BQ40" s="27"/>
      <c r="BR40" s="27"/>
      <c r="BS40" s="27"/>
      <c r="BT40" s="27"/>
      <c r="BU40" s="27"/>
      <c r="BV40" s="27"/>
      <c r="BW40" s="27"/>
      <c r="BX40" s="27"/>
      <c r="BY40" s="27"/>
      <c r="BZ40" s="27"/>
      <c r="CA40" s="156"/>
      <c r="CB40" s="156"/>
      <c r="CC40" s="156"/>
      <c r="CD40" s="156"/>
      <c r="CE40" s="156"/>
      <c r="CF40" s="156"/>
      <c r="CG40" s="156"/>
      <c r="CH40" s="156"/>
      <c r="CI40" s="156"/>
      <c r="CJ40" s="156"/>
      <c r="CK40" s="156"/>
      <c r="CL40" s="156"/>
      <c r="CM40" s="156"/>
      <c r="CN40" s="156"/>
      <c r="CO40" s="156"/>
      <c r="CP40" s="156"/>
      <c r="CQ40" s="156"/>
      <c r="CR40" s="107">
        <f t="shared" si="22"/>
        <v>48151.565000000002</v>
      </c>
      <c r="CS40" s="107">
        <f t="shared" si="23"/>
        <v>49819.151666666672</v>
      </c>
      <c r="CT40" s="108">
        <f t="shared" si="24"/>
        <v>2888.3448326910893</v>
      </c>
      <c r="CU40" s="65">
        <f t="shared" si="6"/>
        <v>5.7976596069251062E-2</v>
      </c>
      <c r="CV40" s="66">
        <f t="shared" si="7"/>
        <v>41865.546218487398</v>
      </c>
      <c r="CW40" s="66">
        <f t="shared" si="8"/>
        <v>7954.4537815126059</v>
      </c>
      <c r="CX40" s="109">
        <f>ROUNDUP(IF(CU40&lt;15%,CS40,CR40),0)</f>
        <v>49820</v>
      </c>
      <c r="CY40" s="109">
        <f>CX40*E40</f>
        <v>99640</v>
      </c>
      <c r="CZ40" s="110" t="s">
        <v>903</v>
      </c>
    </row>
    <row r="41" spans="1:104" s="100" customFormat="1" ht="119" x14ac:dyDescent="0.2">
      <c r="A41" s="63">
        <v>36</v>
      </c>
      <c r="B41" s="149" t="s">
        <v>410</v>
      </c>
      <c r="C41" s="111" t="s">
        <v>411</v>
      </c>
      <c r="D41" s="105" t="s">
        <v>117</v>
      </c>
      <c r="E41" s="105">
        <v>1</v>
      </c>
      <c r="F41" s="13"/>
      <c r="G41" s="132"/>
      <c r="H41" s="13"/>
      <c r="I41" s="132"/>
      <c r="J41" s="13"/>
      <c r="K41" s="132"/>
      <c r="L41" s="27"/>
      <c r="M41" s="27"/>
      <c r="N41" s="27"/>
      <c r="O41" s="27"/>
      <c r="P41" s="27"/>
      <c r="Q41" s="27"/>
      <c r="R41" s="27"/>
      <c r="S41" s="27"/>
      <c r="T41" s="27"/>
      <c r="U41" s="27"/>
      <c r="V41" s="27"/>
      <c r="W41" s="27"/>
      <c r="X41" s="27"/>
      <c r="Y41" s="27"/>
      <c r="Z41" s="27"/>
      <c r="AA41" s="27"/>
      <c r="AB41" s="27"/>
      <c r="AC41" s="27"/>
      <c r="AD41" s="27"/>
      <c r="AE41" s="27"/>
      <c r="AF41" s="27"/>
      <c r="AG41" s="27"/>
      <c r="AH41" s="27"/>
      <c r="AI41" s="27"/>
      <c r="AJ41" s="27"/>
      <c r="AK41" s="27"/>
      <c r="AL41" s="27"/>
      <c r="AM41" s="27"/>
      <c r="AN41" s="27"/>
      <c r="AO41" s="27"/>
      <c r="AP41" s="27"/>
      <c r="AQ41" s="27"/>
      <c r="AR41" s="27"/>
      <c r="AS41" s="27"/>
      <c r="AT41" s="27"/>
      <c r="AU41" s="27"/>
      <c r="AV41" s="27"/>
      <c r="AW41" s="27"/>
      <c r="AX41" s="27"/>
      <c r="AY41" s="27"/>
      <c r="AZ41" s="27"/>
      <c r="BA41" s="27"/>
      <c r="BB41" s="27"/>
      <c r="BC41" s="27"/>
      <c r="BD41" s="27"/>
      <c r="BE41" s="27"/>
      <c r="BF41" s="27"/>
      <c r="BG41" s="27"/>
      <c r="BH41" s="27"/>
      <c r="BI41" s="27"/>
      <c r="BJ41" s="27"/>
      <c r="BK41" s="27"/>
      <c r="BL41" s="27"/>
      <c r="BM41" s="27"/>
      <c r="BN41" s="27"/>
      <c r="BO41" s="27"/>
      <c r="BP41" s="27"/>
      <c r="BQ41" s="27"/>
      <c r="BR41" s="27"/>
      <c r="BS41" s="27"/>
      <c r="BT41" s="27"/>
      <c r="BU41" s="27"/>
      <c r="BV41" s="27"/>
      <c r="BW41" s="27"/>
      <c r="BX41" s="27"/>
      <c r="BY41" s="27"/>
      <c r="BZ41" s="27"/>
      <c r="CA41" s="156"/>
      <c r="CB41" s="156"/>
      <c r="CC41" s="156"/>
      <c r="CD41" s="156"/>
      <c r="CE41" s="156"/>
      <c r="CF41" s="109">
        <v>61500</v>
      </c>
      <c r="CG41" s="109">
        <f>+CF41/1.19</f>
        <v>51680.672268907569</v>
      </c>
      <c r="CH41" s="109">
        <f>+(CG41*36%)+CG41</f>
        <v>70285.71428571429</v>
      </c>
      <c r="CI41" s="109">
        <v>61133</v>
      </c>
      <c r="CJ41" s="109">
        <f>+CI41/1.19</f>
        <v>51372.268907563026</v>
      </c>
      <c r="CK41" s="109">
        <f>+(CJ41*36%)+CJ41</f>
        <v>69866.28571428571</v>
      </c>
      <c r="CL41" s="109"/>
      <c r="CM41" s="109"/>
      <c r="CN41" s="109"/>
      <c r="CO41" s="109"/>
      <c r="CP41" s="109"/>
      <c r="CQ41" s="109"/>
      <c r="CR41" s="107">
        <f t="shared" si="22"/>
        <v>70076</v>
      </c>
      <c r="CS41" s="107">
        <f t="shared" si="23"/>
        <v>70076</v>
      </c>
      <c r="CT41" s="108">
        <f t="shared" si="24"/>
        <v>296.58078708053495</v>
      </c>
      <c r="CU41" s="65">
        <f t="shared" si="6"/>
        <v>4.2322733472306487E-3</v>
      </c>
      <c r="CV41" s="109">
        <f>ROUNDUP(IF(CU41&lt;15%,CS41,CR41),0)</f>
        <v>70076</v>
      </c>
      <c r="CW41" s="66">
        <v>0</v>
      </c>
      <c r="CX41" s="109">
        <f>CV41+CW41</f>
        <v>70076</v>
      </c>
      <c r="CY41" s="109">
        <f>CV41*E41</f>
        <v>70076</v>
      </c>
      <c r="CZ41" s="110" t="s">
        <v>903</v>
      </c>
    </row>
    <row r="42" spans="1:104" ht="34" x14ac:dyDescent="0.2">
      <c r="A42" s="63">
        <v>37</v>
      </c>
      <c r="B42" s="149" t="s">
        <v>412</v>
      </c>
      <c r="C42" s="111" t="s">
        <v>413</v>
      </c>
      <c r="D42" s="105" t="s">
        <v>414</v>
      </c>
      <c r="E42" s="105">
        <v>2</v>
      </c>
      <c r="F42" s="13">
        <v>411264</v>
      </c>
      <c r="G42" s="132">
        <f t="shared" ref="G42:K51" si="25">((F42*5.1%)+F42)</f>
        <v>432238.46399999998</v>
      </c>
      <c r="H42" s="13">
        <v>387702</v>
      </c>
      <c r="I42" s="132">
        <f t="shared" ref="I42:I43" si="26">((H42*5.1%)+H42)</f>
        <v>407474.80200000003</v>
      </c>
      <c r="J42" s="13">
        <v>387702</v>
      </c>
      <c r="K42" s="132">
        <f t="shared" ref="K42:K43" si="27">((J42*5.1%)+J42)</f>
        <v>407474.80200000003</v>
      </c>
      <c r="L42" s="27"/>
      <c r="M42" s="27"/>
      <c r="N42" s="27"/>
      <c r="O42" s="27"/>
      <c r="P42" s="27"/>
      <c r="Q42" s="27"/>
      <c r="R42" s="27"/>
      <c r="S42" s="27"/>
      <c r="T42" s="27"/>
      <c r="U42" s="27"/>
      <c r="V42" s="27"/>
      <c r="W42" s="27"/>
      <c r="X42" s="27"/>
      <c r="Y42" s="27"/>
      <c r="Z42" s="27"/>
      <c r="AA42" s="27"/>
      <c r="AB42" s="27"/>
      <c r="AC42" s="27"/>
      <c r="AD42" s="27"/>
      <c r="AE42" s="27"/>
      <c r="AF42" s="27"/>
      <c r="AG42" s="27"/>
      <c r="AH42" s="27"/>
      <c r="AI42" s="27"/>
      <c r="AJ42" s="27"/>
      <c r="AK42" s="27"/>
      <c r="AL42" s="27"/>
      <c r="AM42" s="27"/>
      <c r="AN42" s="27"/>
      <c r="AO42" s="27"/>
      <c r="AP42" s="27"/>
      <c r="AQ42" s="27"/>
      <c r="AR42" s="27"/>
      <c r="AS42" s="27"/>
      <c r="AT42" s="27"/>
      <c r="AU42" s="27"/>
      <c r="AV42" s="27"/>
      <c r="AW42" s="27"/>
      <c r="AX42" s="27"/>
      <c r="AY42" s="27"/>
      <c r="AZ42" s="27"/>
      <c r="BA42" s="27"/>
      <c r="BB42" s="27"/>
      <c r="BC42" s="27"/>
      <c r="BD42" s="27"/>
      <c r="BE42" s="27"/>
      <c r="BF42" s="27"/>
      <c r="BG42" s="27"/>
      <c r="BH42" s="27"/>
      <c r="BI42" s="27"/>
      <c r="BJ42" s="27"/>
      <c r="BK42" s="27"/>
      <c r="BL42" s="27"/>
      <c r="BM42" s="27"/>
      <c r="BN42" s="27"/>
      <c r="BO42" s="27"/>
      <c r="BP42" s="27"/>
      <c r="BQ42" s="27"/>
      <c r="BR42" s="27"/>
      <c r="BS42" s="27"/>
      <c r="BT42" s="27"/>
      <c r="BU42" s="27"/>
      <c r="BV42" s="27"/>
      <c r="BW42" s="27"/>
      <c r="BX42" s="27"/>
      <c r="BY42" s="27"/>
      <c r="BZ42" s="27"/>
      <c r="CA42" s="156"/>
      <c r="CB42" s="156"/>
      <c r="CC42" s="156"/>
      <c r="CD42" s="156"/>
      <c r="CE42" s="156"/>
      <c r="CF42" s="156"/>
      <c r="CG42" s="156"/>
      <c r="CH42" s="156"/>
      <c r="CI42" s="156"/>
      <c r="CJ42" s="156"/>
      <c r="CK42" s="156"/>
      <c r="CL42" s="156"/>
      <c r="CM42" s="156"/>
      <c r="CN42" s="156"/>
      <c r="CO42" s="156"/>
      <c r="CP42" s="156"/>
      <c r="CQ42" s="156"/>
      <c r="CR42" s="107">
        <f t="shared" si="22"/>
        <v>407474.80200000003</v>
      </c>
      <c r="CS42" s="107">
        <f t="shared" si="23"/>
        <v>415729.35599999997</v>
      </c>
      <c r="CT42" s="108">
        <f t="shared" si="24"/>
        <v>14297.306921820878</v>
      </c>
      <c r="CU42" s="65">
        <f t="shared" si="6"/>
        <v>3.4390900511295334E-2</v>
      </c>
      <c r="CV42" s="66">
        <f t="shared" si="7"/>
        <v>349352.9411764706</v>
      </c>
      <c r="CW42" s="66">
        <f t="shared" si="8"/>
        <v>66377.058823529413</v>
      </c>
      <c r="CX42" s="109">
        <f t="shared" ref="CX42:CX93" si="28">ROUNDUP(IF(CU42&lt;15%,CS42,CR42),0)</f>
        <v>415730</v>
      </c>
      <c r="CY42" s="109">
        <f t="shared" ref="CY42:CY73" si="29">CX42*E42</f>
        <v>831460</v>
      </c>
      <c r="CZ42" s="110" t="s">
        <v>903</v>
      </c>
    </row>
    <row r="43" spans="1:104" ht="136" x14ac:dyDescent="0.2">
      <c r="A43" s="63">
        <v>38</v>
      </c>
      <c r="B43" s="149" t="s">
        <v>415</v>
      </c>
      <c r="C43" s="111" t="s">
        <v>416</v>
      </c>
      <c r="D43" s="105" t="s">
        <v>7</v>
      </c>
      <c r="E43" s="105">
        <v>10</v>
      </c>
      <c r="F43" s="13">
        <v>53550</v>
      </c>
      <c r="G43" s="132">
        <f t="shared" si="25"/>
        <v>56281.05</v>
      </c>
      <c r="H43" s="13">
        <v>57715</v>
      </c>
      <c r="I43" s="132">
        <f t="shared" si="26"/>
        <v>60658.464999999997</v>
      </c>
      <c r="J43" s="13">
        <v>60095</v>
      </c>
      <c r="K43" s="132">
        <f t="shared" si="27"/>
        <v>63159.845000000001</v>
      </c>
      <c r="L43" s="27"/>
      <c r="M43" s="27"/>
      <c r="N43" s="27"/>
      <c r="O43" s="27"/>
      <c r="P43" s="27"/>
      <c r="Q43" s="27"/>
      <c r="R43" s="27"/>
      <c r="S43" s="27"/>
      <c r="T43" s="27"/>
      <c r="U43" s="27"/>
      <c r="V43" s="27"/>
      <c r="W43" s="27"/>
      <c r="X43" s="27"/>
      <c r="Y43" s="27"/>
      <c r="Z43" s="27"/>
      <c r="AA43" s="27"/>
      <c r="AB43" s="27"/>
      <c r="AC43" s="27"/>
      <c r="AD43" s="27"/>
      <c r="AE43" s="27"/>
      <c r="AF43" s="27"/>
      <c r="AG43" s="27"/>
      <c r="AH43" s="27"/>
      <c r="AI43" s="27"/>
      <c r="AJ43" s="27"/>
      <c r="AK43" s="27"/>
      <c r="AL43" s="27"/>
      <c r="AM43" s="27"/>
      <c r="AN43" s="27"/>
      <c r="AO43" s="27"/>
      <c r="AP43" s="27"/>
      <c r="AQ43" s="27"/>
      <c r="AR43" s="27"/>
      <c r="AS43" s="27"/>
      <c r="AT43" s="27"/>
      <c r="AU43" s="27"/>
      <c r="AV43" s="27"/>
      <c r="AW43" s="27"/>
      <c r="AX43" s="27"/>
      <c r="AY43" s="27"/>
      <c r="AZ43" s="27"/>
      <c r="BA43" s="27"/>
      <c r="BB43" s="27"/>
      <c r="BC43" s="27"/>
      <c r="BD43" s="27"/>
      <c r="BE43" s="27"/>
      <c r="BF43" s="27"/>
      <c r="BG43" s="27"/>
      <c r="BH43" s="27"/>
      <c r="BI43" s="27"/>
      <c r="BJ43" s="27"/>
      <c r="BK43" s="27"/>
      <c r="BL43" s="27"/>
      <c r="BM43" s="27"/>
      <c r="BN43" s="27"/>
      <c r="BO43" s="27"/>
      <c r="BP43" s="27"/>
      <c r="BQ43" s="27"/>
      <c r="BR43" s="27"/>
      <c r="BS43" s="27"/>
      <c r="BT43" s="27"/>
      <c r="BU43" s="27"/>
      <c r="BV43" s="27"/>
      <c r="BW43" s="27"/>
      <c r="BX43" s="27"/>
      <c r="BY43" s="27"/>
      <c r="BZ43" s="27"/>
      <c r="CA43" s="156"/>
      <c r="CB43" s="156"/>
      <c r="CC43" s="156"/>
      <c r="CD43" s="156"/>
      <c r="CE43" s="156"/>
      <c r="CF43" s="156"/>
      <c r="CG43" s="156"/>
      <c r="CH43" s="156"/>
      <c r="CI43" s="156"/>
      <c r="CJ43" s="156"/>
      <c r="CK43" s="156"/>
      <c r="CL43" s="156"/>
      <c r="CM43" s="156"/>
      <c r="CN43" s="156"/>
      <c r="CO43" s="156"/>
      <c r="CP43" s="156"/>
      <c r="CQ43" s="156"/>
      <c r="CR43" s="107">
        <f t="shared" si="22"/>
        <v>60658.464999999997</v>
      </c>
      <c r="CS43" s="107">
        <f t="shared" si="23"/>
        <v>60033.119999999995</v>
      </c>
      <c r="CT43" s="108">
        <f t="shared" si="24"/>
        <v>3481.7736054739385</v>
      </c>
      <c r="CU43" s="65">
        <f t="shared" si="6"/>
        <v>5.7997545446146041E-2</v>
      </c>
      <c r="CV43" s="66">
        <f t="shared" si="7"/>
        <v>50448.73949579832</v>
      </c>
      <c r="CW43" s="66">
        <f t="shared" si="8"/>
        <v>9585.2605042016803</v>
      </c>
      <c r="CX43" s="109">
        <f t="shared" si="28"/>
        <v>60034</v>
      </c>
      <c r="CY43" s="109">
        <f t="shared" si="29"/>
        <v>600340</v>
      </c>
      <c r="CZ43" s="110" t="s">
        <v>903</v>
      </c>
    </row>
    <row r="44" spans="1:104" ht="51" x14ac:dyDescent="0.2">
      <c r="A44" s="63">
        <v>39</v>
      </c>
      <c r="B44" s="149" t="s">
        <v>417</v>
      </c>
      <c r="C44" s="111" t="s">
        <v>418</v>
      </c>
      <c r="D44" s="105" t="s">
        <v>419</v>
      </c>
      <c r="E44" s="105">
        <v>6</v>
      </c>
      <c r="F44" s="27"/>
      <c r="G44" s="27"/>
      <c r="H44" s="13">
        <v>135000</v>
      </c>
      <c r="I44" s="132">
        <f t="shared" si="25"/>
        <v>141885</v>
      </c>
      <c r="J44" s="13">
        <v>128600</v>
      </c>
      <c r="K44" s="132">
        <f t="shared" si="25"/>
        <v>135158.6</v>
      </c>
      <c r="L44" s="27"/>
      <c r="M44" s="27"/>
      <c r="N44" s="27"/>
      <c r="O44" s="27"/>
      <c r="P44" s="27"/>
      <c r="Q44" s="27"/>
      <c r="R44" s="27"/>
      <c r="S44" s="27"/>
      <c r="T44" s="27"/>
      <c r="U44" s="27"/>
      <c r="V44" s="27"/>
      <c r="W44" s="27"/>
      <c r="X44" s="27"/>
      <c r="Y44" s="27"/>
      <c r="Z44" s="27"/>
      <c r="AA44" s="27"/>
      <c r="AB44" s="27"/>
      <c r="AC44" s="27"/>
      <c r="AD44" s="27"/>
      <c r="AE44" s="27"/>
      <c r="AF44" s="27"/>
      <c r="AG44" s="27"/>
      <c r="AH44" s="27"/>
      <c r="AI44" s="27"/>
      <c r="AJ44" s="27"/>
      <c r="AK44" s="27"/>
      <c r="AL44" s="27"/>
      <c r="AM44" s="27"/>
      <c r="AN44" s="27"/>
      <c r="AO44" s="27"/>
      <c r="AP44" s="27"/>
      <c r="AQ44" s="27"/>
      <c r="AR44" s="27"/>
      <c r="AS44" s="27"/>
      <c r="AT44" s="27"/>
      <c r="AU44" s="27"/>
      <c r="AV44" s="27"/>
      <c r="AW44" s="27"/>
      <c r="AX44" s="27"/>
      <c r="AY44" s="27"/>
      <c r="AZ44" s="27"/>
      <c r="BA44" s="27"/>
      <c r="BB44" s="27"/>
      <c r="BC44" s="27"/>
      <c r="BD44" s="27"/>
      <c r="BE44" s="27"/>
      <c r="BF44" s="27"/>
      <c r="BG44" s="27"/>
      <c r="BH44" s="27"/>
      <c r="BI44" s="27"/>
      <c r="BJ44" s="27"/>
      <c r="BK44" s="27"/>
      <c r="BL44" s="27"/>
      <c r="BM44" s="27"/>
      <c r="BN44" s="27"/>
      <c r="BO44" s="27"/>
      <c r="BP44" s="27"/>
      <c r="BQ44" s="27"/>
      <c r="BR44" s="27"/>
      <c r="BS44" s="27"/>
      <c r="BT44" s="27"/>
      <c r="BU44" s="27"/>
      <c r="BV44" s="27"/>
      <c r="BW44" s="27"/>
      <c r="BX44" s="27"/>
      <c r="BY44" s="27"/>
      <c r="BZ44" s="27"/>
      <c r="CA44" s="156"/>
      <c r="CB44" s="156"/>
      <c r="CC44" s="156"/>
      <c r="CD44" s="156"/>
      <c r="CE44" s="156"/>
      <c r="CF44" s="156"/>
      <c r="CG44" s="156"/>
      <c r="CH44" s="156"/>
      <c r="CI44" s="156"/>
      <c r="CJ44" s="156"/>
      <c r="CK44" s="156"/>
      <c r="CL44" s="156"/>
      <c r="CM44" s="156"/>
      <c r="CN44" s="156"/>
      <c r="CO44" s="156"/>
      <c r="CP44" s="156"/>
      <c r="CQ44" s="156"/>
      <c r="CR44" s="107">
        <f t="shared" si="22"/>
        <v>138521.79999999999</v>
      </c>
      <c r="CS44" s="107">
        <f t="shared" si="23"/>
        <v>138521.79999999999</v>
      </c>
      <c r="CT44" s="108">
        <f t="shared" si="24"/>
        <v>4756.2830529731891</v>
      </c>
      <c r="CU44" s="65">
        <f t="shared" si="6"/>
        <v>3.4335989374764044E-2</v>
      </c>
      <c r="CV44" s="66">
        <f t="shared" si="7"/>
        <v>116405.04201680672</v>
      </c>
      <c r="CW44" s="66">
        <f t="shared" si="8"/>
        <v>22116.957983193279</v>
      </c>
      <c r="CX44" s="109">
        <f t="shared" si="28"/>
        <v>138522</v>
      </c>
      <c r="CY44" s="109">
        <f t="shared" si="29"/>
        <v>831132</v>
      </c>
      <c r="CZ44" s="110" t="s">
        <v>903</v>
      </c>
    </row>
    <row r="45" spans="1:104" ht="34" x14ac:dyDescent="0.2">
      <c r="A45" s="63">
        <v>40</v>
      </c>
      <c r="B45" s="149" t="s">
        <v>420</v>
      </c>
      <c r="C45" s="111" t="s">
        <v>421</v>
      </c>
      <c r="D45" s="105" t="s">
        <v>419</v>
      </c>
      <c r="E45" s="105">
        <v>6</v>
      </c>
      <c r="F45" s="13">
        <v>115600</v>
      </c>
      <c r="G45" s="132">
        <f t="shared" si="25"/>
        <v>121495.6</v>
      </c>
      <c r="H45" s="13">
        <v>106500</v>
      </c>
      <c r="I45" s="132">
        <f t="shared" si="25"/>
        <v>111931.5</v>
      </c>
      <c r="J45" s="13">
        <v>98500</v>
      </c>
      <c r="K45" s="132">
        <f t="shared" si="25"/>
        <v>103523.5</v>
      </c>
      <c r="L45" s="27"/>
      <c r="M45" s="27"/>
      <c r="N45" s="27"/>
      <c r="O45" s="27"/>
      <c r="P45" s="27"/>
      <c r="Q45" s="27"/>
      <c r="R45" s="27"/>
      <c r="S45" s="27"/>
      <c r="T45" s="27"/>
      <c r="U45" s="27"/>
      <c r="V45" s="27"/>
      <c r="W45" s="27"/>
      <c r="X45" s="27"/>
      <c r="Y45" s="27"/>
      <c r="Z45" s="27"/>
      <c r="AA45" s="27"/>
      <c r="AB45" s="27"/>
      <c r="AC45" s="27"/>
      <c r="AD45" s="27"/>
      <c r="AE45" s="27"/>
      <c r="AF45" s="27"/>
      <c r="AG45" s="27"/>
      <c r="AH45" s="27"/>
      <c r="AI45" s="27"/>
      <c r="AJ45" s="27"/>
      <c r="AK45" s="27"/>
      <c r="AL45" s="27"/>
      <c r="AM45" s="27"/>
      <c r="AN45" s="27"/>
      <c r="AO45" s="27"/>
      <c r="AP45" s="27"/>
      <c r="AQ45" s="27"/>
      <c r="AR45" s="27"/>
      <c r="AS45" s="27"/>
      <c r="AT45" s="27"/>
      <c r="AU45" s="27"/>
      <c r="AV45" s="27"/>
      <c r="AW45" s="27"/>
      <c r="AX45" s="27"/>
      <c r="AY45" s="27"/>
      <c r="AZ45" s="27"/>
      <c r="BA45" s="27"/>
      <c r="BB45" s="27"/>
      <c r="BC45" s="27"/>
      <c r="BD45" s="27"/>
      <c r="BE45" s="27"/>
      <c r="BF45" s="27"/>
      <c r="BG45" s="27"/>
      <c r="BH45" s="27"/>
      <c r="BI45" s="27"/>
      <c r="BJ45" s="27"/>
      <c r="BK45" s="27"/>
      <c r="BL45" s="27"/>
      <c r="BM45" s="27"/>
      <c r="BN45" s="27"/>
      <c r="BO45" s="27"/>
      <c r="BP45" s="27"/>
      <c r="BQ45" s="27"/>
      <c r="BR45" s="27"/>
      <c r="BS45" s="27"/>
      <c r="BT45" s="27"/>
      <c r="BU45" s="27"/>
      <c r="BV45" s="27"/>
      <c r="BW45" s="27"/>
      <c r="BX45" s="27"/>
      <c r="BY45" s="27"/>
      <c r="BZ45" s="27"/>
      <c r="CA45" s="156"/>
      <c r="CB45" s="156"/>
      <c r="CC45" s="156"/>
      <c r="CD45" s="156"/>
      <c r="CE45" s="156"/>
      <c r="CF45" s="156"/>
      <c r="CG45" s="156"/>
      <c r="CH45" s="156"/>
      <c r="CI45" s="156"/>
      <c r="CJ45" s="156"/>
      <c r="CK45" s="156"/>
      <c r="CL45" s="156"/>
      <c r="CM45" s="156"/>
      <c r="CN45" s="156"/>
      <c r="CO45" s="156"/>
      <c r="CP45" s="156"/>
      <c r="CQ45" s="156"/>
      <c r="CR45" s="107">
        <f t="shared" si="22"/>
        <v>111931.5</v>
      </c>
      <c r="CS45" s="107">
        <f t="shared" si="23"/>
        <v>112316.86666666665</v>
      </c>
      <c r="CT45" s="108">
        <f t="shared" si="24"/>
        <v>8992.2452815374982</v>
      </c>
      <c r="CU45" s="65">
        <f t="shared" si="6"/>
        <v>8.0061397263018669E-2</v>
      </c>
      <c r="CV45" s="66">
        <f t="shared" si="7"/>
        <v>94384.033613445383</v>
      </c>
      <c r="CW45" s="66">
        <f t="shared" si="8"/>
        <v>17932.966386554624</v>
      </c>
      <c r="CX45" s="109">
        <f t="shared" si="28"/>
        <v>112317</v>
      </c>
      <c r="CY45" s="109">
        <f t="shared" si="29"/>
        <v>673902</v>
      </c>
      <c r="CZ45" s="110" t="s">
        <v>903</v>
      </c>
    </row>
    <row r="46" spans="1:104" ht="51" x14ac:dyDescent="0.2">
      <c r="A46" s="63">
        <v>41</v>
      </c>
      <c r="B46" s="149" t="s">
        <v>422</v>
      </c>
      <c r="C46" s="111" t="s">
        <v>423</v>
      </c>
      <c r="D46" s="105" t="s">
        <v>419</v>
      </c>
      <c r="E46" s="105">
        <v>6</v>
      </c>
      <c r="F46" s="13">
        <v>132500</v>
      </c>
      <c r="G46" s="132">
        <f t="shared" si="25"/>
        <v>139257.5</v>
      </c>
      <c r="H46" s="13">
        <v>145000</v>
      </c>
      <c r="I46" s="132">
        <f t="shared" si="25"/>
        <v>152395</v>
      </c>
      <c r="J46" s="13">
        <v>132500</v>
      </c>
      <c r="K46" s="132">
        <f t="shared" si="25"/>
        <v>139257.5</v>
      </c>
      <c r="L46" s="27"/>
      <c r="M46" s="27"/>
      <c r="N46" s="27"/>
      <c r="O46" s="27"/>
      <c r="P46" s="27"/>
      <c r="Q46" s="27"/>
      <c r="R46" s="27"/>
      <c r="S46" s="27"/>
      <c r="T46" s="27"/>
      <c r="U46" s="27"/>
      <c r="V46" s="27"/>
      <c r="W46" s="27"/>
      <c r="X46" s="27"/>
      <c r="Y46" s="27"/>
      <c r="Z46" s="27"/>
      <c r="AA46" s="27"/>
      <c r="AB46" s="27"/>
      <c r="AC46" s="27"/>
      <c r="AD46" s="27"/>
      <c r="AE46" s="27"/>
      <c r="AF46" s="27"/>
      <c r="AG46" s="27"/>
      <c r="AH46" s="27"/>
      <c r="AI46" s="27"/>
      <c r="AJ46" s="27"/>
      <c r="AK46" s="27"/>
      <c r="AL46" s="27"/>
      <c r="AM46" s="27"/>
      <c r="AN46" s="27"/>
      <c r="AO46" s="27"/>
      <c r="AP46" s="27"/>
      <c r="AQ46" s="27"/>
      <c r="AR46" s="27"/>
      <c r="AS46" s="27"/>
      <c r="AT46" s="27"/>
      <c r="AU46" s="27"/>
      <c r="AV46" s="27"/>
      <c r="AW46" s="27"/>
      <c r="AX46" s="27"/>
      <c r="AY46" s="27"/>
      <c r="AZ46" s="27"/>
      <c r="BA46" s="27"/>
      <c r="BB46" s="27"/>
      <c r="BC46" s="27"/>
      <c r="BD46" s="27"/>
      <c r="BE46" s="27"/>
      <c r="BF46" s="27"/>
      <c r="BG46" s="27"/>
      <c r="BH46" s="27"/>
      <c r="BI46" s="27"/>
      <c r="BJ46" s="27"/>
      <c r="BK46" s="27"/>
      <c r="BL46" s="27"/>
      <c r="BM46" s="27"/>
      <c r="BN46" s="27"/>
      <c r="BO46" s="27"/>
      <c r="BP46" s="27"/>
      <c r="BQ46" s="27"/>
      <c r="BR46" s="27"/>
      <c r="BS46" s="27"/>
      <c r="BT46" s="27"/>
      <c r="BU46" s="27"/>
      <c r="BV46" s="27"/>
      <c r="BW46" s="27"/>
      <c r="BX46" s="27"/>
      <c r="BY46" s="27"/>
      <c r="BZ46" s="27"/>
      <c r="CA46" s="156"/>
      <c r="CB46" s="156"/>
      <c r="CC46" s="156"/>
      <c r="CD46" s="156"/>
      <c r="CE46" s="156"/>
      <c r="CF46" s="156"/>
      <c r="CG46" s="156"/>
      <c r="CH46" s="156"/>
      <c r="CI46" s="156"/>
      <c r="CJ46" s="156"/>
      <c r="CK46" s="156"/>
      <c r="CL46" s="156"/>
      <c r="CM46" s="156"/>
      <c r="CN46" s="156"/>
      <c r="CO46" s="156"/>
      <c r="CP46" s="156"/>
      <c r="CQ46" s="156"/>
      <c r="CR46" s="107">
        <f t="shared" si="22"/>
        <v>139257.5</v>
      </c>
      <c r="CS46" s="107">
        <f t="shared" si="23"/>
        <v>143636.66666666666</v>
      </c>
      <c r="CT46" s="108">
        <f t="shared" si="24"/>
        <v>7584.9391614787082</v>
      </c>
      <c r="CU46" s="65">
        <f t="shared" si="6"/>
        <v>5.280642706002675E-2</v>
      </c>
      <c r="CV46" s="66">
        <f t="shared" si="7"/>
        <v>120703.36134453781</v>
      </c>
      <c r="CW46" s="66">
        <f t="shared" si="8"/>
        <v>22933.638655462186</v>
      </c>
      <c r="CX46" s="109">
        <f t="shared" si="28"/>
        <v>143637</v>
      </c>
      <c r="CY46" s="109">
        <f t="shared" si="29"/>
        <v>861822</v>
      </c>
      <c r="CZ46" s="110" t="s">
        <v>903</v>
      </c>
    </row>
    <row r="47" spans="1:104" ht="85" x14ac:dyDescent="0.2">
      <c r="A47" s="63">
        <v>42</v>
      </c>
      <c r="B47" s="149" t="s">
        <v>424</v>
      </c>
      <c r="C47" s="111" t="s">
        <v>425</v>
      </c>
      <c r="D47" s="105" t="s">
        <v>419</v>
      </c>
      <c r="E47" s="105">
        <v>6</v>
      </c>
      <c r="F47" s="13">
        <v>106500</v>
      </c>
      <c r="G47" s="132">
        <f t="shared" si="25"/>
        <v>111931.5</v>
      </c>
      <c r="H47" s="13">
        <v>145600</v>
      </c>
      <c r="I47" s="132">
        <f t="shared" si="25"/>
        <v>153025.60000000001</v>
      </c>
      <c r="J47" s="13">
        <v>123800</v>
      </c>
      <c r="K47" s="132">
        <f t="shared" si="25"/>
        <v>130113.8</v>
      </c>
      <c r="L47" s="27"/>
      <c r="M47" s="27"/>
      <c r="N47" s="27"/>
      <c r="O47" s="27"/>
      <c r="P47" s="27"/>
      <c r="Q47" s="27"/>
      <c r="R47" s="27"/>
      <c r="S47" s="27"/>
      <c r="T47" s="27"/>
      <c r="U47" s="27"/>
      <c r="V47" s="27"/>
      <c r="W47" s="27"/>
      <c r="X47" s="27"/>
      <c r="Y47" s="27"/>
      <c r="Z47" s="27"/>
      <c r="AA47" s="27"/>
      <c r="AB47" s="27"/>
      <c r="AC47" s="27"/>
      <c r="AD47" s="27"/>
      <c r="AE47" s="27"/>
      <c r="AF47" s="27"/>
      <c r="AG47" s="27"/>
      <c r="AH47" s="27"/>
      <c r="AI47" s="27"/>
      <c r="AJ47" s="27"/>
      <c r="AK47" s="27"/>
      <c r="AL47" s="27"/>
      <c r="AM47" s="27"/>
      <c r="AN47" s="27"/>
      <c r="AO47" s="27"/>
      <c r="AP47" s="27"/>
      <c r="AQ47" s="27"/>
      <c r="AR47" s="27"/>
      <c r="AS47" s="27"/>
      <c r="AT47" s="27"/>
      <c r="AU47" s="27"/>
      <c r="AV47" s="27"/>
      <c r="AW47" s="27"/>
      <c r="AX47" s="27"/>
      <c r="AY47" s="27"/>
      <c r="AZ47" s="27"/>
      <c r="BA47" s="27"/>
      <c r="BB47" s="27"/>
      <c r="BC47" s="27"/>
      <c r="BD47" s="27"/>
      <c r="BE47" s="27"/>
      <c r="BF47" s="27"/>
      <c r="BG47" s="27"/>
      <c r="BH47" s="27"/>
      <c r="BI47" s="27"/>
      <c r="BJ47" s="27"/>
      <c r="BK47" s="27"/>
      <c r="BL47" s="27"/>
      <c r="BM47" s="27"/>
      <c r="BN47" s="27"/>
      <c r="BO47" s="27"/>
      <c r="BP47" s="27"/>
      <c r="BQ47" s="27"/>
      <c r="BR47" s="27"/>
      <c r="BS47" s="27"/>
      <c r="BT47" s="27"/>
      <c r="BU47" s="27"/>
      <c r="BV47" s="27"/>
      <c r="BW47" s="27"/>
      <c r="BX47" s="27"/>
      <c r="BY47" s="27"/>
      <c r="BZ47" s="27"/>
      <c r="CA47" s="156"/>
      <c r="CB47" s="156"/>
      <c r="CC47" s="156"/>
      <c r="CD47" s="156"/>
      <c r="CE47" s="156"/>
      <c r="CF47" s="156"/>
      <c r="CG47" s="156"/>
      <c r="CH47" s="156"/>
      <c r="CI47" s="156"/>
      <c r="CJ47" s="156"/>
      <c r="CK47" s="156"/>
      <c r="CL47" s="156"/>
      <c r="CM47" s="156"/>
      <c r="CN47" s="156"/>
      <c r="CO47" s="156"/>
      <c r="CP47" s="156"/>
      <c r="CQ47" s="156"/>
      <c r="CR47" s="107">
        <f t="shared" si="22"/>
        <v>130113.8</v>
      </c>
      <c r="CS47" s="107">
        <f t="shared" si="23"/>
        <v>131690.29999999999</v>
      </c>
      <c r="CT47" s="108">
        <f t="shared" si="24"/>
        <v>20592.359696984877</v>
      </c>
      <c r="CU47" s="65">
        <f t="shared" si="6"/>
        <v>0.15636960123095534</v>
      </c>
      <c r="CV47" s="66">
        <f t="shared" si="7"/>
        <v>109339.49579831933</v>
      </c>
      <c r="CW47" s="66">
        <f t="shared" si="8"/>
        <v>20774.504201680673</v>
      </c>
      <c r="CX47" s="109">
        <f t="shared" si="28"/>
        <v>130114</v>
      </c>
      <c r="CY47" s="109">
        <f t="shared" si="29"/>
        <v>780684</v>
      </c>
      <c r="CZ47" s="110" t="s">
        <v>903</v>
      </c>
    </row>
    <row r="48" spans="1:104" ht="85" x14ac:dyDescent="0.2">
      <c r="A48" s="63">
        <v>43</v>
      </c>
      <c r="B48" s="149" t="s">
        <v>426</v>
      </c>
      <c r="C48" s="111" t="s">
        <v>427</v>
      </c>
      <c r="D48" s="105" t="s">
        <v>7</v>
      </c>
      <c r="E48" s="105">
        <v>10</v>
      </c>
      <c r="F48" s="13">
        <v>40500</v>
      </c>
      <c r="G48" s="132">
        <f t="shared" si="25"/>
        <v>42565.5</v>
      </c>
      <c r="H48" s="13">
        <v>39500</v>
      </c>
      <c r="I48" s="132">
        <f t="shared" si="25"/>
        <v>41514.5</v>
      </c>
      <c r="J48" s="13">
        <v>46500</v>
      </c>
      <c r="K48" s="132">
        <f t="shared" si="25"/>
        <v>48871.5</v>
      </c>
      <c r="L48" s="27"/>
      <c r="M48" s="27"/>
      <c r="N48" s="27"/>
      <c r="O48" s="27"/>
      <c r="P48" s="27"/>
      <c r="Q48" s="27"/>
      <c r="R48" s="27"/>
      <c r="S48" s="27"/>
      <c r="T48" s="27"/>
      <c r="U48" s="27"/>
      <c r="V48" s="27"/>
      <c r="W48" s="27"/>
      <c r="X48" s="27"/>
      <c r="Y48" s="27"/>
      <c r="Z48" s="27"/>
      <c r="AA48" s="27"/>
      <c r="AB48" s="27"/>
      <c r="AC48" s="27"/>
      <c r="AD48" s="27"/>
      <c r="AE48" s="27"/>
      <c r="AF48" s="27"/>
      <c r="AG48" s="27"/>
      <c r="AH48" s="27"/>
      <c r="AI48" s="27"/>
      <c r="AJ48" s="27"/>
      <c r="AK48" s="27"/>
      <c r="AL48" s="27"/>
      <c r="AM48" s="27"/>
      <c r="AN48" s="27"/>
      <c r="AO48" s="27"/>
      <c r="AP48" s="27"/>
      <c r="AQ48" s="27"/>
      <c r="AR48" s="27"/>
      <c r="AS48" s="27"/>
      <c r="AT48" s="27"/>
      <c r="AU48" s="27"/>
      <c r="AV48" s="27"/>
      <c r="AW48" s="27"/>
      <c r="AX48" s="27"/>
      <c r="AY48" s="27"/>
      <c r="AZ48" s="27"/>
      <c r="BA48" s="27"/>
      <c r="BB48" s="27"/>
      <c r="BC48" s="27"/>
      <c r="BD48" s="27"/>
      <c r="BE48" s="27"/>
      <c r="BF48" s="27"/>
      <c r="BG48" s="27"/>
      <c r="BH48" s="27"/>
      <c r="BI48" s="27"/>
      <c r="BJ48" s="27"/>
      <c r="BK48" s="27"/>
      <c r="BL48" s="27"/>
      <c r="BM48" s="27"/>
      <c r="BN48" s="27"/>
      <c r="BO48" s="27"/>
      <c r="BP48" s="27"/>
      <c r="BQ48" s="27"/>
      <c r="BR48" s="27"/>
      <c r="BS48" s="27"/>
      <c r="BT48" s="27"/>
      <c r="BU48" s="27"/>
      <c r="BV48" s="27"/>
      <c r="BW48" s="27"/>
      <c r="BX48" s="27"/>
      <c r="BY48" s="27"/>
      <c r="BZ48" s="27"/>
      <c r="CA48" s="156"/>
      <c r="CB48" s="156"/>
      <c r="CC48" s="156"/>
      <c r="CD48" s="156"/>
      <c r="CE48" s="156"/>
      <c r="CF48" s="156"/>
      <c r="CG48" s="156"/>
      <c r="CH48" s="156"/>
      <c r="CI48" s="156"/>
      <c r="CJ48" s="156"/>
      <c r="CK48" s="156"/>
      <c r="CL48" s="156"/>
      <c r="CM48" s="156"/>
      <c r="CN48" s="156"/>
      <c r="CO48" s="156"/>
      <c r="CP48" s="156"/>
      <c r="CQ48" s="156"/>
      <c r="CR48" s="107">
        <f t="shared" si="22"/>
        <v>42565.5</v>
      </c>
      <c r="CS48" s="107">
        <f t="shared" si="23"/>
        <v>44317.166666666664</v>
      </c>
      <c r="CT48" s="108">
        <f t="shared" si="24"/>
        <v>3979.0217809573919</v>
      </c>
      <c r="CU48" s="65">
        <f t="shared" si="6"/>
        <v>8.9785112186565597E-2</v>
      </c>
      <c r="CV48" s="66">
        <f t="shared" si="7"/>
        <v>37242.016806722691</v>
      </c>
      <c r="CW48" s="66">
        <f t="shared" si="8"/>
        <v>7075.9831932773113</v>
      </c>
      <c r="CX48" s="109">
        <f t="shared" si="28"/>
        <v>44318</v>
      </c>
      <c r="CY48" s="109">
        <f t="shared" si="29"/>
        <v>443180</v>
      </c>
      <c r="CZ48" s="110" t="s">
        <v>903</v>
      </c>
    </row>
    <row r="49" spans="1:104" ht="34" x14ac:dyDescent="0.2">
      <c r="A49" s="63">
        <v>44</v>
      </c>
      <c r="B49" s="149" t="s">
        <v>428</v>
      </c>
      <c r="C49" s="111" t="s">
        <v>429</v>
      </c>
      <c r="D49" s="105" t="s">
        <v>7</v>
      </c>
      <c r="E49" s="105">
        <v>10</v>
      </c>
      <c r="F49" s="13">
        <v>18445</v>
      </c>
      <c r="G49" s="132">
        <f t="shared" si="25"/>
        <v>19385.695</v>
      </c>
      <c r="H49" s="13">
        <v>12495</v>
      </c>
      <c r="I49" s="132">
        <f t="shared" si="25"/>
        <v>13132.245000000001</v>
      </c>
      <c r="J49" s="27"/>
      <c r="K49" s="27"/>
      <c r="L49" s="27"/>
      <c r="M49" s="27"/>
      <c r="N49" s="27"/>
      <c r="O49" s="27"/>
      <c r="P49" s="27"/>
      <c r="Q49" s="27"/>
      <c r="R49" s="27"/>
      <c r="S49" s="27"/>
      <c r="T49" s="27"/>
      <c r="U49" s="27"/>
      <c r="V49" s="27"/>
      <c r="W49" s="27"/>
      <c r="X49" s="27"/>
      <c r="Y49" s="27"/>
      <c r="Z49" s="27"/>
      <c r="AA49" s="27"/>
      <c r="AB49" s="27"/>
      <c r="AC49" s="27"/>
      <c r="AD49" s="27"/>
      <c r="AE49" s="27"/>
      <c r="AF49" s="27"/>
      <c r="AG49" s="27"/>
      <c r="AH49" s="27"/>
      <c r="AI49" s="27"/>
      <c r="AJ49" s="27"/>
      <c r="AK49" s="27"/>
      <c r="AL49" s="27"/>
      <c r="AM49" s="27"/>
      <c r="AN49" s="27"/>
      <c r="AO49" s="27"/>
      <c r="AP49" s="27"/>
      <c r="AQ49" s="27"/>
      <c r="AR49" s="27"/>
      <c r="AS49" s="27"/>
      <c r="AT49" s="27"/>
      <c r="AU49" s="27"/>
      <c r="AV49" s="27"/>
      <c r="AW49" s="27"/>
      <c r="AX49" s="27"/>
      <c r="AY49" s="27"/>
      <c r="AZ49" s="27"/>
      <c r="BA49" s="27"/>
      <c r="BB49" s="27"/>
      <c r="BC49" s="27"/>
      <c r="BD49" s="27"/>
      <c r="BE49" s="27"/>
      <c r="BF49" s="27"/>
      <c r="BG49" s="27"/>
      <c r="BH49" s="27"/>
      <c r="BI49" s="27"/>
      <c r="BJ49" s="27"/>
      <c r="BK49" s="27"/>
      <c r="BL49" s="27"/>
      <c r="BM49" s="27"/>
      <c r="BN49" s="27"/>
      <c r="BO49" s="27"/>
      <c r="BP49" s="27"/>
      <c r="BQ49" s="27"/>
      <c r="BR49" s="27"/>
      <c r="BS49" s="27"/>
      <c r="BT49" s="27"/>
      <c r="BU49" s="27"/>
      <c r="BV49" s="27"/>
      <c r="BW49" s="27"/>
      <c r="BX49" s="27"/>
      <c r="BY49" s="27"/>
      <c r="BZ49" s="27"/>
      <c r="CA49" s="156"/>
      <c r="CB49" s="156"/>
      <c r="CC49" s="156"/>
      <c r="CD49" s="156"/>
      <c r="CE49" s="156"/>
      <c r="CF49" s="156"/>
      <c r="CG49" s="156"/>
      <c r="CH49" s="156"/>
      <c r="CI49" s="156"/>
      <c r="CJ49" s="156"/>
      <c r="CK49" s="156"/>
      <c r="CL49" s="156"/>
      <c r="CM49" s="156"/>
      <c r="CN49" s="156"/>
      <c r="CO49" s="156"/>
      <c r="CP49" s="156"/>
      <c r="CQ49" s="156"/>
      <c r="CR49" s="107">
        <f t="shared" si="22"/>
        <v>16258.970000000001</v>
      </c>
      <c r="CS49" s="107">
        <f t="shared" si="23"/>
        <v>16258.970000000001</v>
      </c>
      <c r="CT49" s="108">
        <f t="shared" si="24"/>
        <v>4421.8569008110044</v>
      </c>
      <c r="CU49" s="65">
        <f t="shared" si="6"/>
        <v>0.2719641466102099</v>
      </c>
      <c r="CV49" s="66">
        <f t="shared" si="7"/>
        <v>13663.025210084033</v>
      </c>
      <c r="CW49" s="66">
        <f t="shared" si="8"/>
        <v>2595.9747899159665</v>
      </c>
      <c r="CX49" s="109">
        <f t="shared" si="28"/>
        <v>16259</v>
      </c>
      <c r="CY49" s="109">
        <f t="shared" si="29"/>
        <v>162590</v>
      </c>
      <c r="CZ49" s="110" t="s">
        <v>902</v>
      </c>
    </row>
    <row r="50" spans="1:104" ht="34" x14ac:dyDescent="0.2">
      <c r="A50" s="63">
        <v>45</v>
      </c>
      <c r="B50" s="149" t="s">
        <v>430</v>
      </c>
      <c r="C50" s="111" t="s">
        <v>431</v>
      </c>
      <c r="D50" s="105" t="s">
        <v>7</v>
      </c>
      <c r="E50" s="105">
        <v>2</v>
      </c>
      <c r="F50" s="13">
        <v>1547000</v>
      </c>
      <c r="G50" s="132">
        <f t="shared" si="25"/>
        <v>1625897</v>
      </c>
      <c r="H50" s="13">
        <v>1494640</v>
      </c>
      <c r="I50" s="132">
        <f t="shared" si="25"/>
        <v>1570866.64</v>
      </c>
      <c r="J50" s="13">
        <v>1963500</v>
      </c>
      <c r="K50" s="132">
        <f t="shared" si="25"/>
        <v>2063638.5</v>
      </c>
      <c r="L50" s="27"/>
      <c r="M50" s="27"/>
      <c r="N50" s="27"/>
      <c r="O50" s="27"/>
      <c r="P50" s="27"/>
      <c r="Q50" s="27"/>
      <c r="R50" s="27"/>
      <c r="S50" s="27"/>
      <c r="T50" s="27"/>
      <c r="U50" s="27"/>
      <c r="V50" s="27"/>
      <c r="W50" s="27"/>
      <c r="X50" s="27"/>
      <c r="Y50" s="27"/>
      <c r="Z50" s="27"/>
      <c r="AA50" s="27"/>
      <c r="AB50" s="27"/>
      <c r="AC50" s="27"/>
      <c r="AD50" s="27"/>
      <c r="AE50" s="27"/>
      <c r="AF50" s="27"/>
      <c r="AG50" s="27"/>
      <c r="AH50" s="27"/>
      <c r="AI50" s="27"/>
      <c r="AJ50" s="27"/>
      <c r="AK50" s="27"/>
      <c r="AL50" s="27"/>
      <c r="AM50" s="27"/>
      <c r="AN50" s="27"/>
      <c r="AO50" s="27"/>
      <c r="AP50" s="27"/>
      <c r="AQ50" s="27"/>
      <c r="AR50" s="27"/>
      <c r="AS50" s="27"/>
      <c r="AT50" s="27"/>
      <c r="AU50" s="27"/>
      <c r="AV50" s="27"/>
      <c r="AW50" s="27"/>
      <c r="AX50" s="27"/>
      <c r="AY50" s="27"/>
      <c r="AZ50" s="27"/>
      <c r="BA50" s="27"/>
      <c r="BB50" s="27"/>
      <c r="BC50" s="27"/>
      <c r="BD50" s="27"/>
      <c r="BE50" s="27"/>
      <c r="BF50" s="27"/>
      <c r="BG50" s="27"/>
      <c r="BH50" s="27"/>
      <c r="BI50" s="27"/>
      <c r="BJ50" s="27"/>
      <c r="BK50" s="27"/>
      <c r="BL50" s="27"/>
      <c r="BM50" s="27"/>
      <c r="BN50" s="27"/>
      <c r="BO50" s="27"/>
      <c r="BP50" s="27"/>
      <c r="BQ50" s="27"/>
      <c r="BR50" s="27"/>
      <c r="BS50" s="27"/>
      <c r="BT50" s="27"/>
      <c r="BU50" s="27"/>
      <c r="BV50" s="27"/>
      <c r="BW50" s="27"/>
      <c r="BX50" s="27"/>
      <c r="BY50" s="27"/>
      <c r="BZ50" s="27"/>
      <c r="CA50" s="156"/>
      <c r="CB50" s="156"/>
      <c r="CC50" s="156"/>
      <c r="CD50" s="156"/>
      <c r="CE50" s="156"/>
      <c r="CF50" s="156"/>
      <c r="CG50" s="156"/>
      <c r="CH50" s="156"/>
      <c r="CI50" s="156"/>
      <c r="CJ50" s="156"/>
      <c r="CK50" s="156"/>
      <c r="CL50" s="156"/>
      <c r="CM50" s="156"/>
      <c r="CN50" s="156"/>
      <c r="CO50" s="156"/>
      <c r="CP50" s="156"/>
      <c r="CQ50" s="156"/>
      <c r="CR50" s="107">
        <f t="shared" si="22"/>
        <v>1625897</v>
      </c>
      <c r="CS50" s="107">
        <f t="shared" si="23"/>
        <v>1753467.38</v>
      </c>
      <c r="CT50" s="108">
        <f t="shared" si="24"/>
        <v>270021.62485988718</v>
      </c>
      <c r="CU50" s="65">
        <f t="shared" si="6"/>
        <v>0.15399295586547335</v>
      </c>
      <c r="CV50" s="66">
        <f t="shared" si="7"/>
        <v>1366300</v>
      </c>
      <c r="CW50" s="66">
        <f t="shared" si="8"/>
        <v>259597</v>
      </c>
      <c r="CX50" s="109">
        <f t="shared" si="28"/>
        <v>1625897</v>
      </c>
      <c r="CY50" s="109">
        <f t="shared" si="29"/>
        <v>3251794</v>
      </c>
      <c r="CZ50" s="110" t="s">
        <v>903</v>
      </c>
    </row>
    <row r="51" spans="1:104" ht="51" x14ac:dyDescent="0.2">
      <c r="A51" s="63">
        <v>46</v>
      </c>
      <c r="B51" s="149" t="s">
        <v>432</v>
      </c>
      <c r="C51" s="111" t="s">
        <v>433</v>
      </c>
      <c r="D51" s="105" t="s">
        <v>7</v>
      </c>
      <c r="E51" s="105">
        <v>2</v>
      </c>
      <c r="F51" s="13">
        <v>121975</v>
      </c>
      <c r="G51" s="132">
        <f t="shared" si="25"/>
        <v>128195.72500000001</v>
      </c>
      <c r="H51" s="13">
        <v>117215</v>
      </c>
      <c r="I51" s="132">
        <f t="shared" si="25"/>
        <v>123192.965</v>
      </c>
      <c r="J51" s="13">
        <v>169575</v>
      </c>
      <c r="K51" s="132">
        <f t="shared" si="25"/>
        <v>178223.32500000001</v>
      </c>
      <c r="L51" s="27"/>
      <c r="M51" s="27"/>
      <c r="N51" s="27"/>
      <c r="O51" s="27"/>
      <c r="P51" s="27"/>
      <c r="Q51" s="27"/>
      <c r="R51" s="27"/>
      <c r="S51" s="27"/>
      <c r="T51" s="27"/>
      <c r="U51" s="27"/>
      <c r="V51" s="27"/>
      <c r="W51" s="27"/>
      <c r="X51" s="27"/>
      <c r="Y51" s="27"/>
      <c r="Z51" s="27"/>
      <c r="AA51" s="27"/>
      <c r="AB51" s="27"/>
      <c r="AC51" s="27"/>
      <c r="AD51" s="27"/>
      <c r="AE51" s="27"/>
      <c r="AF51" s="27"/>
      <c r="AG51" s="27"/>
      <c r="AH51" s="27"/>
      <c r="AI51" s="27"/>
      <c r="AJ51" s="27"/>
      <c r="AK51" s="27"/>
      <c r="AL51" s="27"/>
      <c r="AM51" s="27"/>
      <c r="AN51" s="27"/>
      <c r="AO51" s="27"/>
      <c r="AP51" s="27"/>
      <c r="AQ51" s="27"/>
      <c r="AR51" s="27"/>
      <c r="AS51" s="27"/>
      <c r="AT51" s="27"/>
      <c r="AU51" s="27"/>
      <c r="AV51" s="27"/>
      <c r="AW51" s="27"/>
      <c r="AX51" s="27"/>
      <c r="AY51" s="27"/>
      <c r="AZ51" s="27"/>
      <c r="BA51" s="27"/>
      <c r="BB51" s="27"/>
      <c r="BC51" s="27"/>
      <c r="BD51" s="27"/>
      <c r="BE51" s="27"/>
      <c r="BF51" s="27"/>
      <c r="BG51" s="27"/>
      <c r="BH51" s="27"/>
      <c r="BI51" s="27"/>
      <c r="BJ51" s="27"/>
      <c r="BK51" s="27"/>
      <c r="BL51" s="27"/>
      <c r="BM51" s="27"/>
      <c r="BN51" s="27"/>
      <c r="BO51" s="27"/>
      <c r="BP51" s="27"/>
      <c r="BQ51" s="27"/>
      <c r="BR51" s="27"/>
      <c r="BS51" s="27"/>
      <c r="BT51" s="27"/>
      <c r="BU51" s="27"/>
      <c r="BV51" s="27"/>
      <c r="BW51" s="27"/>
      <c r="BX51" s="27"/>
      <c r="BY51" s="27"/>
      <c r="BZ51" s="27"/>
      <c r="CA51" s="156"/>
      <c r="CB51" s="156"/>
      <c r="CC51" s="156"/>
      <c r="CD51" s="156"/>
      <c r="CE51" s="156"/>
      <c r="CF51" s="156"/>
      <c r="CG51" s="156"/>
      <c r="CH51" s="156"/>
      <c r="CI51" s="156"/>
      <c r="CJ51" s="156"/>
      <c r="CK51" s="156"/>
      <c r="CL51" s="156"/>
      <c r="CM51" s="156"/>
      <c r="CN51" s="156"/>
      <c r="CO51" s="156"/>
      <c r="CP51" s="156"/>
      <c r="CQ51" s="156"/>
      <c r="CR51" s="107">
        <f t="shared" si="22"/>
        <v>128195.72500000001</v>
      </c>
      <c r="CS51" s="107">
        <f t="shared" si="23"/>
        <v>143204.005</v>
      </c>
      <c r="CT51" s="108">
        <f t="shared" si="24"/>
        <v>30430.601076074723</v>
      </c>
      <c r="CU51" s="65">
        <f t="shared" si="6"/>
        <v>0.21249825433356226</v>
      </c>
      <c r="CV51" s="66">
        <f t="shared" si="7"/>
        <v>107727.73109243698</v>
      </c>
      <c r="CW51" s="66">
        <f t="shared" si="8"/>
        <v>20468.268907563026</v>
      </c>
      <c r="CX51" s="109">
        <f t="shared" si="28"/>
        <v>128196</v>
      </c>
      <c r="CY51" s="109">
        <f t="shared" si="29"/>
        <v>256392</v>
      </c>
      <c r="CZ51" s="110" t="s">
        <v>902</v>
      </c>
    </row>
    <row r="52" spans="1:104" s="100" customFormat="1" ht="34" x14ac:dyDescent="0.2">
      <c r="A52" s="63">
        <v>47</v>
      </c>
      <c r="B52" s="149" t="s">
        <v>434</v>
      </c>
      <c r="C52" s="111" t="s">
        <v>1292</v>
      </c>
      <c r="D52" s="105" t="s">
        <v>395</v>
      </c>
      <c r="E52" s="105">
        <v>2</v>
      </c>
      <c r="F52" s="13"/>
      <c r="G52" s="132"/>
      <c r="H52" s="13"/>
      <c r="I52" s="132"/>
      <c r="J52" s="13"/>
      <c r="K52" s="132"/>
      <c r="L52" s="27"/>
      <c r="M52" s="27"/>
      <c r="N52" s="27"/>
      <c r="O52" s="27"/>
      <c r="P52" s="27"/>
      <c r="Q52" s="27"/>
      <c r="R52" s="27"/>
      <c r="S52" s="27"/>
      <c r="T52" s="27"/>
      <c r="U52" s="27"/>
      <c r="V52" s="27"/>
      <c r="W52" s="27"/>
      <c r="X52" s="27"/>
      <c r="Y52" s="27"/>
      <c r="Z52" s="27"/>
      <c r="AA52" s="27"/>
      <c r="AB52" s="27"/>
      <c r="AC52" s="27"/>
      <c r="AD52" s="27"/>
      <c r="AE52" s="27"/>
      <c r="AF52" s="27"/>
      <c r="AG52" s="27"/>
      <c r="AH52" s="27"/>
      <c r="AI52" s="27"/>
      <c r="AJ52" s="27"/>
      <c r="AK52" s="27"/>
      <c r="AL52" s="27"/>
      <c r="AM52" s="27"/>
      <c r="AN52" s="27"/>
      <c r="AO52" s="27"/>
      <c r="AP52" s="27"/>
      <c r="AQ52" s="27"/>
      <c r="AR52" s="27"/>
      <c r="AS52" s="27"/>
      <c r="AT52" s="27"/>
      <c r="AU52" s="27"/>
      <c r="AV52" s="27"/>
      <c r="AW52" s="27"/>
      <c r="AX52" s="27"/>
      <c r="AY52" s="27"/>
      <c r="AZ52" s="27"/>
      <c r="BA52" s="27"/>
      <c r="BB52" s="27"/>
      <c r="BC52" s="27"/>
      <c r="BD52" s="27"/>
      <c r="BE52" s="27"/>
      <c r="BF52" s="27"/>
      <c r="BG52" s="27"/>
      <c r="BH52" s="27"/>
      <c r="BI52" s="27"/>
      <c r="BJ52" s="27"/>
      <c r="BK52" s="27"/>
      <c r="BL52" s="27"/>
      <c r="BM52" s="27"/>
      <c r="BN52" s="27"/>
      <c r="BO52" s="27"/>
      <c r="BP52" s="27"/>
      <c r="BQ52" s="27"/>
      <c r="BR52" s="27"/>
      <c r="BS52" s="27"/>
      <c r="BT52" s="27"/>
      <c r="BU52" s="27"/>
      <c r="BV52" s="27"/>
      <c r="BW52" s="27"/>
      <c r="BX52" s="27"/>
      <c r="BY52" s="27"/>
      <c r="BZ52" s="27"/>
      <c r="CA52" s="156"/>
      <c r="CB52" s="156"/>
      <c r="CC52" s="156"/>
      <c r="CD52" s="156"/>
      <c r="CE52" s="156"/>
      <c r="CF52" s="156"/>
      <c r="CG52" s="156"/>
      <c r="CH52" s="156"/>
      <c r="CI52" s="156"/>
      <c r="CJ52" s="156"/>
      <c r="CK52" s="156"/>
      <c r="CL52" s="156">
        <v>420000</v>
      </c>
      <c r="CM52" s="156">
        <f>+CL52/1.19</f>
        <v>352941.17647058825</v>
      </c>
      <c r="CN52" s="156">
        <f>+(CM52*36%)+CM52</f>
        <v>480000</v>
      </c>
      <c r="CO52" s="156">
        <v>356000</v>
      </c>
      <c r="CP52" s="156">
        <f>+CO52/1.19</f>
        <v>299159.66386554623</v>
      </c>
      <c r="CQ52" s="156">
        <f>+(CP52*36%)+CP52</f>
        <v>406857.14285714284</v>
      </c>
      <c r="CR52" s="107">
        <f t="shared" si="22"/>
        <v>443428.57142857142</v>
      </c>
      <c r="CS52" s="107">
        <f t="shared" si="23"/>
        <v>443428.57142857142</v>
      </c>
      <c r="CT52" s="108">
        <f t="shared" si="24"/>
        <v>51719.810281073202</v>
      </c>
      <c r="CU52" s="65">
        <f t="shared" si="6"/>
        <v>0.11663617009262642</v>
      </c>
      <c r="CV52" s="66">
        <f t="shared" si="7"/>
        <v>372629.4117647059</v>
      </c>
      <c r="CW52" s="66">
        <f t="shared" si="8"/>
        <v>70799.588235294126</v>
      </c>
      <c r="CX52" s="109">
        <f t="shared" si="28"/>
        <v>443429</v>
      </c>
      <c r="CY52" s="109">
        <f t="shared" si="29"/>
        <v>886858</v>
      </c>
      <c r="CZ52" s="110" t="s">
        <v>903</v>
      </c>
    </row>
    <row r="53" spans="1:104" ht="51" x14ac:dyDescent="0.2">
      <c r="A53" s="63">
        <v>48</v>
      </c>
      <c r="B53" s="149" t="s">
        <v>435</v>
      </c>
      <c r="C53" s="111" t="s">
        <v>436</v>
      </c>
      <c r="D53" s="105" t="s">
        <v>7</v>
      </c>
      <c r="E53" s="105">
        <v>2</v>
      </c>
      <c r="F53" s="27"/>
      <c r="G53" s="27"/>
      <c r="H53" s="27"/>
      <c r="I53" s="27"/>
      <c r="J53" s="27"/>
      <c r="K53" s="27"/>
      <c r="L53" s="27"/>
      <c r="M53" s="27"/>
      <c r="N53" s="27"/>
      <c r="O53" s="27"/>
      <c r="P53" s="27"/>
      <c r="Q53" s="27"/>
      <c r="R53" s="27"/>
      <c r="S53" s="27"/>
      <c r="T53" s="27"/>
      <c r="U53" s="27"/>
      <c r="V53" s="27"/>
      <c r="W53" s="27"/>
      <c r="X53" s="27"/>
      <c r="Y53" s="27"/>
      <c r="Z53" s="27"/>
      <c r="AA53" s="27"/>
      <c r="AB53" s="27"/>
      <c r="AC53" s="27"/>
      <c r="AD53" s="27"/>
      <c r="AE53" s="27"/>
      <c r="AF53" s="27"/>
      <c r="AG53" s="27"/>
      <c r="AH53" s="27"/>
      <c r="AI53" s="27"/>
      <c r="AJ53" s="27"/>
      <c r="AK53" s="27"/>
      <c r="AL53" s="27"/>
      <c r="AM53" s="27"/>
      <c r="AN53" s="27"/>
      <c r="AO53" s="27"/>
      <c r="AP53" s="27"/>
      <c r="AQ53" s="27"/>
      <c r="AR53" s="27"/>
      <c r="AS53" s="27"/>
      <c r="AT53" s="27"/>
      <c r="AU53" s="27"/>
      <c r="AV53" s="27"/>
      <c r="AW53" s="27"/>
      <c r="AX53" s="27"/>
      <c r="AY53" s="27"/>
      <c r="AZ53" s="27"/>
      <c r="BA53" s="27"/>
      <c r="BB53" s="27"/>
      <c r="BC53" s="27"/>
      <c r="BD53" s="27"/>
      <c r="BE53" s="27"/>
      <c r="BF53" s="27"/>
      <c r="BG53" s="27"/>
      <c r="BH53" s="27"/>
      <c r="BI53" s="27"/>
      <c r="BJ53" s="27"/>
      <c r="BK53" s="27"/>
      <c r="BL53" s="45">
        <v>220150</v>
      </c>
      <c r="BM53" s="45"/>
      <c r="BN53" s="45"/>
      <c r="BO53" s="45"/>
      <c r="BP53" s="45"/>
      <c r="BQ53" s="45"/>
      <c r="BR53" s="45"/>
      <c r="BS53" s="45"/>
      <c r="BT53" s="45"/>
      <c r="BU53" s="45"/>
      <c r="BV53" s="45"/>
      <c r="BW53" s="45"/>
      <c r="BX53" s="45">
        <v>205335</v>
      </c>
      <c r="BY53" s="45">
        <v>192780</v>
      </c>
      <c r="BZ53" s="45"/>
      <c r="CA53" s="101"/>
      <c r="CB53" s="101"/>
      <c r="CC53" s="101"/>
      <c r="CD53" s="101"/>
      <c r="CE53" s="101"/>
      <c r="CF53" s="101"/>
      <c r="CG53" s="101"/>
      <c r="CH53" s="101"/>
      <c r="CI53" s="101"/>
      <c r="CJ53" s="101"/>
      <c r="CK53" s="101"/>
      <c r="CL53" s="101"/>
      <c r="CM53" s="101"/>
      <c r="CN53" s="101"/>
      <c r="CO53" s="101"/>
      <c r="CP53" s="101"/>
      <c r="CQ53" s="101"/>
      <c r="CR53" s="107">
        <f t="shared" si="22"/>
        <v>205335</v>
      </c>
      <c r="CS53" s="107">
        <f t="shared" si="23"/>
        <v>206088.33333333334</v>
      </c>
      <c r="CT53" s="108">
        <f t="shared" si="24"/>
        <v>13700.542264207405</v>
      </c>
      <c r="CU53" s="65">
        <f t="shared" si="6"/>
        <v>6.6478980360560949E-2</v>
      </c>
      <c r="CV53" s="66">
        <f t="shared" si="7"/>
        <v>173184.03361344538</v>
      </c>
      <c r="CW53" s="66">
        <f t="shared" si="8"/>
        <v>32904.966386554624</v>
      </c>
      <c r="CX53" s="109">
        <f t="shared" si="28"/>
        <v>206089</v>
      </c>
      <c r="CY53" s="109">
        <f t="shared" si="29"/>
        <v>412178</v>
      </c>
      <c r="CZ53" s="110" t="s">
        <v>903</v>
      </c>
    </row>
    <row r="54" spans="1:104" ht="51" x14ac:dyDescent="0.2">
      <c r="A54" s="63">
        <v>49</v>
      </c>
      <c r="B54" s="150" t="s">
        <v>437</v>
      </c>
      <c r="C54" s="122" t="s">
        <v>438</v>
      </c>
      <c r="D54" s="105" t="s">
        <v>439</v>
      </c>
      <c r="E54" s="105">
        <v>11</v>
      </c>
      <c r="F54" s="27"/>
      <c r="G54" s="27"/>
      <c r="H54" s="27"/>
      <c r="I54" s="27"/>
      <c r="J54" s="27"/>
      <c r="K54" s="27"/>
      <c r="L54" s="27"/>
      <c r="M54" s="27"/>
      <c r="N54" s="27"/>
      <c r="O54" s="27"/>
      <c r="P54" s="27"/>
      <c r="Q54" s="27"/>
      <c r="R54" s="27"/>
      <c r="S54" s="27"/>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7"/>
      <c r="AR54" s="27"/>
      <c r="AS54" s="27"/>
      <c r="AT54" s="27"/>
      <c r="AU54" s="27"/>
      <c r="AV54" s="27"/>
      <c r="AW54" s="27"/>
      <c r="AX54" s="27"/>
      <c r="AY54" s="27"/>
      <c r="AZ54" s="27"/>
      <c r="BA54" s="27"/>
      <c r="BB54" s="27"/>
      <c r="BC54" s="27"/>
      <c r="BD54" s="27"/>
      <c r="BE54" s="27"/>
      <c r="BF54" s="27"/>
      <c r="BG54" s="27"/>
      <c r="BH54" s="27"/>
      <c r="BI54" s="27"/>
      <c r="BJ54" s="27"/>
      <c r="BK54" s="27"/>
      <c r="BL54" s="27"/>
      <c r="BM54" s="27"/>
      <c r="BN54" s="45">
        <f>1428*100</f>
        <v>142800</v>
      </c>
      <c r="BO54" s="45"/>
      <c r="BP54" s="45"/>
      <c r="BQ54" s="45"/>
      <c r="BR54" s="45"/>
      <c r="BS54" s="45"/>
      <c r="BT54" s="45"/>
      <c r="BU54" s="45"/>
      <c r="BV54" s="45"/>
      <c r="BW54" s="45"/>
      <c r="BX54" s="45">
        <v>261978.5</v>
      </c>
      <c r="BY54" s="45">
        <v>249900</v>
      </c>
      <c r="BZ54" s="45"/>
      <c r="CA54" s="101"/>
      <c r="CB54" s="101"/>
      <c r="CC54" s="101"/>
      <c r="CD54" s="101"/>
      <c r="CE54" s="101"/>
      <c r="CF54" s="101"/>
      <c r="CG54" s="101"/>
      <c r="CH54" s="101"/>
      <c r="CI54" s="101"/>
      <c r="CJ54" s="101"/>
      <c r="CK54" s="101"/>
      <c r="CL54" s="101"/>
      <c r="CM54" s="101"/>
      <c r="CN54" s="101"/>
      <c r="CO54" s="101"/>
      <c r="CP54" s="101"/>
      <c r="CQ54" s="101"/>
      <c r="CR54" s="107">
        <f t="shared" si="22"/>
        <v>249900</v>
      </c>
      <c r="CS54" s="107">
        <f t="shared" si="23"/>
        <v>218226.16666666666</v>
      </c>
      <c r="CT54" s="108">
        <f t="shared" si="24"/>
        <v>65599.561767464023</v>
      </c>
      <c r="CU54" s="65">
        <f t="shared" si="6"/>
        <v>0.30060355625301899</v>
      </c>
      <c r="CV54" s="66">
        <f t="shared" si="7"/>
        <v>210000</v>
      </c>
      <c r="CW54" s="66">
        <f t="shared" si="8"/>
        <v>39900</v>
      </c>
      <c r="CX54" s="109">
        <f t="shared" si="28"/>
        <v>249900</v>
      </c>
      <c r="CY54" s="109">
        <f t="shared" si="29"/>
        <v>2748900</v>
      </c>
      <c r="CZ54" s="110" t="s">
        <v>902</v>
      </c>
    </row>
    <row r="55" spans="1:104" ht="34" x14ac:dyDescent="0.2">
      <c r="A55" s="63">
        <v>50</v>
      </c>
      <c r="B55" s="150" t="s">
        <v>440</v>
      </c>
      <c r="C55" s="122" t="s">
        <v>441</v>
      </c>
      <c r="D55" s="105" t="s">
        <v>7</v>
      </c>
      <c r="E55" s="105">
        <v>1</v>
      </c>
      <c r="F55" s="27"/>
      <c r="G55" s="27"/>
      <c r="H55" s="27"/>
      <c r="I55" s="27"/>
      <c r="J55" s="27"/>
      <c r="K55" s="27"/>
      <c r="L55" s="27"/>
      <c r="M55" s="27"/>
      <c r="N55" s="27"/>
      <c r="O55" s="27"/>
      <c r="P55" s="27"/>
      <c r="Q55" s="27"/>
      <c r="R55" s="27"/>
      <c r="S55" s="27"/>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c r="AT55" s="27"/>
      <c r="AU55" s="27"/>
      <c r="AV55" s="27"/>
      <c r="AW55" s="27"/>
      <c r="AX55" s="27"/>
      <c r="AY55" s="27"/>
      <c r="AZ55" s="27"/>
      <c r="BA55" s="27"/>
      <c r="BB55" s="27"/>
      <c r="BC55" s="27"/>
      <c r="BD55" s="27"/>
      <c r="BE55" s="27"/>
      <c r="BF55" s="27"/>
      <c r="BG55" s="27"/>
      <c r="BH55" s="27"/>
      <c r="BI55" s="27"/>
      <c r="BJ55" s="27"/>
      <c r="BK55" s="27"/>
      <c r="BL55" s="27"/>
      <c r="BM55" s="45"/>
      <c r="BN55" s="45"/>
      <c r="BO55" s="45"/>
      <c r="BP55" s="45"/>
      <c r="BQ55" s="45"/>
      <c r="BR55" s="45"/>
      <c r="BS55" s="45"/>
      <c r="BT55" s="45"/>
      <c r="BU55" s="45"/>
      <c r="BV55" s="45"/>
      <c r="BW55" s="45"/>
      <c r="BX55" s="45">
        <v>63724.5</v>
      </c>
      <c r="BY55" s="45">
        <v>62237</v>
      </c>
      <c r="BZ55" s="45"/>
      <c r="CA55" s="101"/>
      <c r="CB55" s="101"/>
      <c r="CC55" s="101"/>
      <c r="CD55" s="101"/>
      <c r="CE55" s="101"/>
      <c r="CF55" s="101"/>
      <c r="CG55" s="101"/>
      <c r="CH55" s="101"/>
      <c r="CI55" s="101"/>
      <c r="CJ55" s="101"/>
      <c r="CK55" s="101"/>
      <c r="CL55" s="101"/>
      <c r="CM55" s="101"/>
      <c r="CN55" s="101"/>
      <c r="CO55" s="101"/>
      <c r="CP55" s="101"/>
      <c r="CQ55" s="101"/>
      <c r="CR55" s="107">
        <f t="shared" si="22"/>
        <v>62980.75</v>
      </c>
      <c r="CS55" s="107">
        <f t="shared" si="23"/>
        <v>62980.75</v>
      </c>
      <c r="CT55" s="108">
        <f t="shared" si="24"/>
        <v>1051.8213370149895</v>
      </c>
      <c r="CU55" s="65">
        <f t="shared" si="6"/>
        <v>1.6700679763498996E-2</v>
      </c>
      <c r="CV55" s="66">
        <f t="shared" si="7"/>
        <v>52925.210084033613</v>
      </c>
      <c r="CW55" s="66">
        <f t="shared" si="8"/>
        <v>10055.789915966387</v>
      </c>
      <c r="CX55" s="109">
        <f t="shared" si="28"/>
        <v>62981</v>
      </c>
      <c r="CY55" s="109">
        <f t="shared" si="29"/>
        <v>62981</v>
      </c>
      <c r="CZ55" s="110" t="s">
        <v>903</v>
      </c>
    </row>
    <row r="56" spans="1:104" ht="51" x14ac:dyDescent="0.2">
      <c r="A56" s="63">
        <v>51</v>
      </c>
      <c r="B56" s="150" t="s">
        <v>442</v>
      </c>
      <c r="C56" s="122" t="s">
        <v>443</v>
      </c>
      <c r="D56" s="105" t="s">
        <v>7</v>
      </c>
      <c r="E56" s="105">
        <v>1</v>
      </c>
      <c r="F56" s="27"/>
      <c r="G56" s="27"/>
      <c r="H56" s="27"/>
      <c r="I56" s="27"/>
      <c r="J56" s="27"/>
      <c r="K56" s="27"/>
      <c r="L56" s="27"/>
      <c r="M56" s="27"/>
      <c r="N56" s="27"/>
      <c r="O56" s="27"/>
      <c r="P56" s="27"/>
      <c r="Q56" s="27"/>
      <c r="R56" s="27"/>
      <c r="S56" s="27"/>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c r="AS56" s="27"/>
      <c r="AT56" s="27"/>
      <c r="AU56" s="27"/>
      <c r="AV56" s="27"/>
      <c r="AW56" s="27"/>
      <c r="AX56" s="27"/>
      <c r="AY56" s="27"/>
      <c r="AZ56" s="27"/>
      <c r="BA56" s="27"/>
      <c r="BB56" s="27"/>
      <c r="BC56" s="27"/>
      <c r="BD56" s="27"/>
      <c r="BE56" s="27"/>
      <c r="BF56" s="27"/>
      <c r="BG56" s="45">
        <v>771750</v>
      </c>
      <c r="BH56" s="45">
        <v>864000</v>
      </c>
      <c r="BI56" s="45">
        <v>690000</v>
      </c>
      <c r="BJ56" s="45"/>
      <c r="BK56" s="45"/>
      <c r="BL56" s="45"/>
      <c r="BM56" s="45"/>
      <c r="BN56" s="45"/>
      <c r="BO56" s="45"/>
      <c r="BP56" s="45"/>
      <c r="BQ56" s="45"/>
      <c r="BR56" s="45"/>
      <c r="BS56" s="45"/>
      <c r="BT56" s="45"/>
      <c r="BU56" s="45"/>
      <c r="BV56" s="45"/>
      <c r="BW56" s="45"/>
      <c r="BX56" s="45"/>
      <c r="BY56" s="45"/>
      <c r="BZ56" s="45"/>
      <c r="CA56" s="101"/>
      <c r="CB56" s="101"/>
      <c r="CC56" s="101"/>
      <c r="CD56" s="101"/>
      <c r="CE56" s="101"/>
      <c r="CF56" s="101"/>
      <c r="CG56" s="101"/>
      <c r="CH56" s="101"/>
      <c r="CI56" s="101"/>
      <c r="CJ56" s="101"/>
      <c r="CK56" s="101"/>
      <c r="CL56" s="101"/>
      <c r="CM56" s="101"/>
      <c r="CN56" s="101"/>
      <c r="CO56" s="101"/>
      <c r="CP56" s="101"/>
      <c r="CQ56" s="101"/>
      <c r="CR56" s="107">
        <f t="shared" si="22"/>
        <v>771750</v>
      </c>
      <c r="CS56" s="107">
        <f t="shared" si="23"/>
        <v>775250</v>
      </c>
      <c r="CT56" s="108">
        <f t="shared" si="24"/>
        <v>87052.785710739889</v>
      </c>
      <c r="CU56" s="65">
        <f t="shared" si="6"/>
        <v>0.11228995254529492</v>
      </c>
      <c r="CV56" s="66">
        <f t="shared" si="7"/>
        <v>651470.5882352941</v>
      </c>
      <c r="CW56" s="66">
        <f t="shared" si="8"/>
        <v>123779.41176470587</v>
      </c>
      <c r="CX56" s="109">
        <f t="shared" si="28"/>
        <v>775250</v>
      </c>
      <c r="CY56" s="109">
        <f t="shared" si="29"/>
        <v>775250</v>
      </c>
      <c r="CZ56" s="110" t="s">
        <v>903</v>
      </c>
    </row>
    <row r="57" spans="1:104" ht="34" x14ac:dyDescent="0.2">
      <c r="A57" s="63">
        <v>52</v>
      </c>
      <c r="B57" s="150" t="s">
        <v>444</v>
      </c>
      <c r="C57" s="122" t="s">
        <v>445</v>
      </c>
      <c r="D57" s="105" t="s">
        <v>7</v>
      </c>
      <c r="E57" s="105">
        <v>5</v>
      </c>
      <c r="F57" s="17">
        <v>84371</v>
      </c>
      <c r="G57" s="132">
        <f t="shared" ref="G57:G58" si="30">((F57*5.1%)+F57)</f>
        <v>88673.921000000002</v>
      </c>
      <c r="H57" s="17">
        <v>83895</v>
      </c>
      <c r="I57" s="132">
        <f t="shared" ref="I57:I58" si="31">((H57*5.1%)+H57)</f>
        <v>88173.645000000004</v>
      </c>
      <c r="J57" s="27"/>
      <c r="K57" s="27"/>
      <c r="L57" s="27"/>
      <c r="M57" s="27"/>
      <c r="N57" s="27"/>
      <c r="O57" s="27"/>
      <c r="P57" s="27"/>
      <c r="Q57" s="27"/>
      <c r="R57" s="27"/>
      <c r="S57" s="27"/>
      <c r="T57" s="27"/>
      <c r="U57" s="27"/>
      <c r="V57" s="27"/>
      <c r="W57" s="27"/>
      <c r="X57" s="27"/>
      <c r="Y57" s="27"/>
      <c r="Z57" s="27"/>
      <c r="AA57" s="27"/>
      <c r="AB57" s="27"/>
      <c r="AC57" s="27"/>
      <c r="AD57" s="27"/>
      <c r="AE57" s="27"/>
      <c r="AF57" s="17">
        <v>86275</v>
      </c>
      <c r="AG57" s="132">
        <f t="shared" ref="AG57:AK61" si="32">((AF57*5.1%)+AF57)</f>
        <v>90675.024999999994</v>
      </c>
      <c r="AH57" s="27"/>
      <c r="AI57" s="27"/>
      <c r="AJ57" s="27"/>
      <c r="AK57" s="27"/>
      <c r="AL57" s="27"/>
      <c r="AM57" s="27"/>
      <c r="AN57" s="27"/>
      <c r="AO57" s="27"/>
      <c r="AP57" s="27"/>
      <c r="AQ57" s="27"/>
      <c r="AR57" s="27"/>
      <c r="AS57" s="27"/>
      <c r="AT57" s="27"/>
      <c r="AU57" s="27"/>
      <c r="AV57" s="27"/>
      <c r="AW57" s="27"/>
      <c r="AX57" s="27"/>
      <c r="AY57" s="27"/>
      <c r="AZ57" s="27"/>
      <c r="BA57" s="27"/>
      <c r="BB57" s="27"/>
      <c r="BC57" s="27"/>
      <c r="BD57" s="27"/>
      <c r="BE57" s="27"/>
      <c r="BF57" s="27"/>
      <c r="BG57" s="27"/>
      <c r="BH57" s="27"/>
      <c r="BI57" s="27"/>
      <c r="BJ57" s="27"/>
      <c r="BK57" s="27"/>
      <c r="BL57" s="27"/>
      <c r="BM57" s="27"/>
      <c r="BN57" s="27"/>
      <c r="BO57" s="27"/>
      <c r="BP57" s="27"/>
      <c r="BQ57" s="27"/>
      <c r="BR57" s="27"/>
      <c r="BS57" s="27"/>
      <c r="BT57" s="27"/>
      <c r="BU57" s="27"/>
      <c r="BV57" s="27"/>
      <c r="BW57" s="27"/>
      <c r="BX57" s="27"/>
      <c r="BY57" s="27"/>
      <c r="BZ57" s="27"/>
      <c r="CA57" s="156"/>
      <c r="CB57" s="156"/>
      <c r="CC57" s="156"/>
      <c r="CD57" s="156"/>
      <c r="CE57" s="156"/>
      <c r="CF57" s="156"/>
      <c r="CG57" s="156"/>
      <c r="CH57" s="156"/>
      <c r="CI57" s="156"/>
      <c r="CJ57" s="156"/>
      <c r="CK57" s="156"/>
      <c r="CL57" s="156"/>
      <c r="CM57" s="156"/>
      <c r="CN57" s="156"/>
      <c r="CO57" s="156"/>
      <c r="CP57" s="156"/>
      <c r="CQ57" s="156"/>
      <c r="CR57" s="107">
        <f t="shared" si="22"/>
        <v>88673.921000000002</v>
      </c>
      <c r="CS57" s="107">
        <f t="shared" si="23"/>
        <v>89174.197</v>
      </c>
      <c r="CT57" s="108">
        <f t="shared" si="24"/>
        <v>1323.6058828941439</v>
      </c>
      <c r="CU57" s="65">
        <f t="shared" si="6"/>
        <v>1.4842924606252904E-2</v>
      </c>
      <c r="CV57" s="66">
        <f t="shared" si="7"/>
        <v>74936.97478991597</v>
      </c>
      <c r="CW57" s="66">
        <f t="shared" si="8"/>
        <v>14238.025210084035</v>
      </c>
      <c r="CX57" s="109">
        <f t="shared" si="28"/>
        <v>89175</v>
      </c>
      <c r="CY57" s="109">
        <f t="shared" si="29"/>
        <v>445875</v>
      </c>
      <c r="CZ57" s="110" t="s">
        <v>903</v>
      </c>
    </row>
    <row r="58" spans="1:104" ht="34" x14ac:dyDescent="0.2">
      <c r="A58" s="63">
        <v>53</v>
      </c>
      <c r="B58" s="150" t="s">
        <v>446</v>
      </c>
      <c r="C58" s="122" t="s">
        <v>447</v>
      </c>
      <c r="D58" s="105" t="s">
        <v>7</v>
      </c>
      <c r="E58" s="105">
        <v>7</v>
      </c>
      <c r="F58" s="17">
        <v>108885</v>
      </c>
      <c r="G58" s="132">
        <f t="shared" si="30"/>
        <v>114438.13499999999</v>
      </c>
      <c r="H58" s="17">
        <v>101864</v>
      </c>
      <c r="I58" s="132">
        <f t="shared" si="31"/>
        <v>107059.064</v>
      </c>
      <c r="J58" s="27"/>
      <c r="K58" s="27"/>
      <c r="L58" s="27"/>
      <c r="M58" s="27"/>
      <c r="N58" s="27"/>
      <c r="O58" s="27"/>
      <c r="P58" s="27"/>
      <c r="Q58" s="27"/>
      <c r="R58" s="27"/>
      <c r="S58" s="27"/>
      <c r="T58" s="27"/>
      <c r="U58" s="27"/>
      <c r="V58" s="27"/>
      <c r="W58" s="27"/>
      <c r="X58" s="27"/>
      <c r="Y58" s="27"/>
      <c r="Z58" s="27"/>
      <c r="AA58" s="27"/>
      <c r="AB58" s="27"/>
      <c r="AC58" s="27"/>
      <c r="AD58" s="27"/>
      <c r="AE58" s="27"/>
      <c r="AF58" s="17">
        <v>107695</v>
      </c>
      <c r="AG58" s="27"/>
      <c r="AH58" s="27"/>
      <c r="AI58" s="27"/>
      <c r="AJ58" s="27"/>
      <c r="AK58" s="27"/>
      <c r="AL58" s="27"/>
      <c r="AM58" s="27"/>
      <c r="AN58" s="27"/>
      <c r="AO58" s="27"/>
      <c r="AP58" s="27"/>
      <c r="AQ58" s="27"/>
      <c r="AR58" s="27"/>
      <c r="AS58" s="27"/>
      <c r="AT58" s="27"/>
      <c r="AU58" s="27"/>
      <c r="AV58" s="27"/>
      <c r="AW58" s="27"/>
      <c r="AX58" s="27"/>
      <c r="AY58" s="27"/>
      <c r="AZ58" s="27"/>
      <c r="BA58" s="27"/>
      <c r="BB58" s="27"/>
      <c r="BC58" s="27"/>
      <c r="BD58" s="27"/>
      <c r="BE58" s="27"/>
      <c r="BF58" s="27"/>
      <c r="BG58" s="27"/>
      <c r="BH58" s="27"/>
      <c r="BI58" s="27"/>
      <c r="BJ58" s="27"/>
      <c r="BK58" s="27"/>
      <c r="BL58" s="27"/>
      <c r="BM58" s="27"/>
      <c r="BN58" s="27"/>
      <c r="BO58" s="27"/>
      <c r="BP58" s="27"/>
      <c r="BQ58" s="27"/>
      <c r="BR58" s="27"/>
      <c r="BS58" s="27"/>
      <c r="BT58" s="27"/>
      <c r="BU58" s="27"/>
      <c r="BV58" s="27"/>
      <c r="BW58" s="27"/>
      <c r="BX58" s="27"/>
      <c r="BY58" s="27"/>
      <c r="BZ58" s="27"/>
      <c r="CA58" s="156"/>
      <c r="CB58" s="156"/>
      <c r="CC58" s="156"/>
      <c r="CD58" s="156"/>
      <c r="CE58" s="156"/>
      <c r="CF58" s="156"/>
      <c r="CG58" s="156"/>
      <c r="CH58" s="156"/>
      <c r="CI58" s="156"/>
      <c r="CJ58" s="156"/>
      <c r="CK58" s="156"/>
      <c r="CL58" s="156"/>
      <c r="CM58" s="156"/>
      <c r="CN58" s="156"/>
      <c r="CO58" s="156"/>
      <c r="CP58" s="156"/>
      <c r="CQ58" s="156"/>
      <c r="CR58" s="107">
        <f t="shared" si="22"/>
        <v>110748.5995</v>
      </c>
      <c r="CS58" s="107">
        <f t="shared" si="23"/>
        <v>110748.5995</v>
      </c>
      <c r="CT58" s="108">
        <f t="shared" si="24"/>
        <v>5217.7911429569958</v>
      </c>
      <c r="CU58" s="65">
        <f t="shared" si="6"/>
        <v>4.7113834093739454E-2</v>
      </c>
      <c r="CV58" s="66">
        <f t="shared" si="7"/>
        <v>93066.386554621859</v>
      </c>
      <c r="CW58" s="66">
        <f t="shared" si="8"/>
        <v>17682.613445378152</v>
      </c>
      <c r="CX58" s="109">
        <f t="shared" si="28"/>
        <v>110749</v>
      </c>
      <c r="CY58" s="109">
        <f t="shared" si="29"/>
        <v>775243</v>
      </c>
      <c r="CZ58" s="110" t="s">
        <v>903</v>
      </c>
    </row>
    <row r="59" spans="1:104" ht="248.5" customHeight="1" x14ac:dyDescent="0.2">
      <c r="A59" s="63">
        <v>54</v>
      </c>
      <c r="B59" s="150" t="s">
        <v>448</v>
      </c>
      <c r="C59" s="122" t="s">
        <v>449</v>
      </c>
      <c r="D59" s="105" t="s">
        <v>7</v>
      </c>
      <c r="E59" s="105">
        <v>2</v>
      </c>
      <c r="F59" s="27"/>
      <c r="G59" s="27"/>
      <c r="H59" s="27"/>
      <c r="I59" s="27"/>
      <c r="J59" s="27"/>
      <c r="K59" s="27"/>
      <c r="L59" s="27"/>
      <c r="M59" s="27"/>
      <c r="N59" s="27"/>
      <c r="O59" s="27"/>
      <c r="P59" s="27"/>
      <c r="Q59" s="27"/>
      <c r="R59" s="27"/>
      <c r="S59" s="27"/>
      <c r="T59" s="27"/>
      <c r="U59" s="27"/>
      <c r="V59" s="27"/>
      <c r="W59" s="27"/>
      <c r="X59" s="27"/>
      <c r="Y59" s="27"/>
      <c r="Z59" s="27"/>
      <c r="AA59" s="27"/>
      <c r="AB59" s="27"/>
      <c r="AC59" s="27"/>
      <c r="AD59" s="27"/>
      <c r="AE59" s="27"/>
      <c r="AF59" s="27"/>
      <c r="AG59" s="27"/>
      <c r="AH59" s="73">
        <v>1500000</v>
      </c>
      <c r="AI59" s="132">
        <f t="shared" si="32"/>
        <v>1576500</v>
      </c>
      <c r="AJ59" s="73">
        <v>1280000</v>
      </c>
      <c r="AK59" s="132">
        <f t="shared" si="32"/>
        <v>1345280</v>
      </c>
      <c r="AL59" s="27"/>
      <c r="AM59" s="27"/>
      <c r="AN59" s="27"/>
      <c r="AO59" s="27"/>
      <c r="AP59" s="27"/>
      <c r="AQ59" s="27"/>
      <c r="AR59" s="27"/>
      <c r="AS59" s="27"/>
      <c r="AT59" s="27"/>
      <c r="AU59" s="27"/>
      <c r="AV59" s="27"/>
      <c r="AW59" s="27"/>
      <c r="AX59" s="27"/>
      <c r="AY59" s="27"/>
      <c r="AZ59" s="27"/>
      <c r="BA59" s="27"/>
      <c r="BB59" s="27"/>
      <c r="BC59" s="27"/>
      <c r="BD59" s="27"/>
      <c r="BE59" s="27"/>
      <c r="BF59" s="27"/>
      <c r="BG59" s="27"/>
      <c r="BH59" s="27"/>
      <c r="BI59" s="27"/>
      <c r="BJ59" s="27"/>
      <c r="BK59" s="27"/>
      <c r="BL59" s="27"/>
      <c r="BM59" s="27"/>
      <c r="BN59" s="27"/>
      <c r="BO59" s="27"/>
      <c r="BP59" s="27"/>
      <c r="BQ59" s="27"/>
      <c r="BR59" s="27"/>
      <c r="BS59" s="27"/>
      <c r="BT59" s="27"/>
      <c r="BU59" s="27"/>
      <c r="BV59" s="27"/>
      <c r="BW59" s="27"/>
      <c r="BX59" s="27"/>
      <c r="BY59" s="27"/>
      <c r="BZ59" s="27"/>
      <c r="CA59" s="156"/>
      <c r="CB59" s="156"/>
      <c r="CC59" s="156"/>
      <c r="CD59" s="156"/>
      <c r="CE59" s="156"/>
      <c r="CF59" s="156"/>
      <c r="CG59" s="156"/>
      <c r="CH59" s="156"/>
      <c r="CI59" s="156"/>
      <c r="CJ59" s="156"/>
      <c r="CK59" s="156"/>
      <c r="CL59" s="156"/>
      <c r="CM59" s="156"/>
      <c r="CN59" s="156"/>
      <c r="CO59" s="156"/>
      <c r="CP59" s="156"/>
      <c r="CQ59" s="156"/>
      <c r="CR59" s="107">
        <f t="shared" si="22"/>
        <v>1460890</v>
      </c>
      <c r="CS59" s="107">
        <f t="shared" si="23"/>
        <v>1460890</v>
      </c>
      <c r="CT59" s="108">
        <f t="shared" si="24"/>
        <v>163497.22994595353</v>
      </c>
      <c r="CU59" s="65">
        <f t="shared" si="6"/>
        <v>0.11191618119499314</v>
      </c>
      <c r="CV59" s="66">
        <f t="shared" si="7"/>
        <v>1227638.6554621849</v>
      </c>
      <c r="CW59" s="66">
        <f t="shared" si="8"/>
        <v>233251.34453781514</v>
      </c>
      <c r="CX59" s="109">
        <f t="shared" si="28"/>
        <v>1460890</v>
      </c>
      <c r="CY59" s="109">
        <f t="shared" si="29"/>
        <v>2921780</v>
      </c>
      <c r="CZ59" s="110" t="s">
        <v>903</v>
      </c>
    </row>
    <row r="60" spans="1:104" ht="34" x14ac:dyDescent="0.2">
      <c r="A60" s="63">
        <v>55</v>
      </c>
      <c r="B60" s="150" t="s">
        <v>450</v>
      </c>
      <c r="C60" s="122" t="s">
        <v>451</v>
      </c>
      <c r="D60" s="105" t="s">
        <v>7</v>
      </c>
      <c r="E60" s="105">
        <v>3</v>
      </c>
      <c r="F60" s="17">
        <v>1094800</v>
      </c>
      <c r="G60" s="132">
        <f t="shared" ref="G60" si="33">((F60*5.1%)+F60)</f>
        <v>1150634.8</v>
      </c>
      <c r="H60" s="17">
        <v>1018640</v>
      </c>
      <c r="I60" s="132">
        <f t="shared" ref="I60" si="34">((H60*5.1%)+H60)</f>
        <v>1070590.6399999999</v>
      </c>
      <c r="J60" s="27"/>
      <c r="K60" s="27"/>
      <c r="L60" s="27"/>
      <c r="M60" s="27"/>
      <c r="N60" s="27"/>
      <c r="O60" s="27"/>
      <c r="P60" s="27"/>
      <c r="Q60" s="27"/>
      <c r="R60" s="27"/>
      <c r="S60" s="27"/>
      <c r="T60" s="27"/>
      <c r="U60" s="27"/>
      <c r="V60" s="27"/>
      <c r="W60" s="27"/>
      <c r="X60" s="27"/>
      <c r="Y60" s="27"/>
      <c r="Z60" s="27"/>
      <c r="AA60" s="27"/>
      <c r="AB60" s="27"/>
      <c r="AC60" s="27"/>
      <c r="AD60" s="27"/>
      <c r="AE60" s="27"/>
      <c r="AF60" s="17">
        <v>1071000</v>
      </c>
      <c r="AG60" s="132">
        <f t="shared" si="32"/>
        <v>1125621</v>
      </c>
      <c r="AH60" s="27"/>
      <c r="AI60" s="27"/>
      <c r="AJ60" s="27"/>
      <c r="AK60" s="27"/>
      <c r="AL60" s="27"/>
      <c r="AM60" s="27"/>
      <c r="AN60" s="27"/>
      <c r="AO60" s="27"/>
      <c r="AP60" s="27"/>
      <c r="AQ60" s="27"/>
      <c r="AR60" s="27"/>
      <c r="AS60" s="27"/>
      <c r="AT60" s="27"/>
      <c r="AU60" s="27"/>
      <c r="AV60" s="27"/>
      <c r="AW60" s="27"/>
      <c r="AX60" s="27"/>
      <c r="AY60" s="27"/>
      <c r="AZ60" s="27"/>
      <c r="BA60" s="27"/>
      <c r="BB60" s="27"/>
      <c r="BC60" s="27"/>
      <c r="BD60" s="27"/>
      <c r="BE60" s="27"/>
      <c r="BF60" s="27"/>
      <c r="BG60" s="27"/>
      <c r="BH60" s="27"/>
      <c r="BI60" s="27"/>
      <c r="BJ60" s="27"/>
      <c r="BK60" s="27"/>
      <c r="BL60" s="27"/>
      <c r="BM60" s="27"/>
      <c r="BN60" s="27"/>
      <c r="BO60" s="27"/>
      <c r="BP60" s="27"/>
      <c r="BQ60" s="27"/>
      <c r="BR60" s="27"/>
      <c r="BS60" s="27"/>
      <c r="BT60" s="27"/>
      <c r="BU60" s="27"/>
      <c r="BV60" s="27"/>
      <c r="BW60" s="27"/>
      <c r="BX60" s="27"/>
      <c r="BY60" s="27"/>
      <c r="BZ60" s="27"/>
      <c r="CA60" s="156"/>
      <c r="CB60" s="156"/>
      <c r="CC60" s="156"/>
      <c r="CD60" s="156"/>
      <c r="CE60" s="156"/>
      <c r="CF60" s="156"/>
      <c r="CG60" s="156"/>
      <c r="CH60" s="156"/>
      <c r="CI60" s="156"/>
      <c r="CJ60" s="156"/>
      <c r="CK60" s="156"/>
      <c r="CL60" s="156"/>
      <c r="CM60" s="156"/>
      <c r="CN60" s="156"/>
      <c r="CO60" s="156"/>
      <c r="CP60" s="156"/>
      <c r="CQ60" s="156"/>
      <c r="CR60" s="107">
        <f t="shared" si="22"/>
        <v>1125621</v>
      </c>
      <c r="CS60" s="107">
        <f t="shared" si="23"/>
        <v>1115615.48</v>
      </c>
      <c r="CT60" s="108">
        <f t="shared" si="24"/>
        <v>40949.355433012694</v>
      </c>
      <c r="CU60" s="65">
        <f t="shared" si="6"/>
        <v>3.670561781108729E-2</v>
      </c>
      <c r="CV60" s="66">
        <f t="shared" si="7"/>
        <v>937492.43697478995</v>
      </c>
      <c r="CW60" s="66">
        <f t="shared" si="8"/>
        <v>178123.56302521008</v>
      </c>
      <c r="CX60" s="109">
        <f t="shared" si="28"/>
        <v>1115616</v>
      </c>
      <c r="CY60" s="109">
        <f t="shared" si="29"/>
        <v>3346848</v>
      </c>
      <c r="CZ60" s="110" t="s">
        <v>903</v>
      </c>
    </row>
    <row r="61" spans="1:104" ht="153" x14ac:dyDescent="0.2">
      <c r="A61" s="63">
        <v>56</v>
      </c>
      <c r="B61" s="150" t="s">
        <v>452</v>
      </c>
      <c r="C61" s="122" t="s">
        <v>453</v>
      </c>
      <c r="D61" s="105" t="s">
        <v>7</v>
      </c>
      <c r="E61" s="105">
        <v>1</v>
      </c>
      <c r="F61" s="27"/>
      <c r="G61" s="27"/>
      <c r="H61" s="27"/>
      <c r="I61" s="27"/>
      <c r="J61" s="27"/>
      <c r="K61" s="27"/>
      <c r="L61" s="27"/>
      <c r="M61" s="27"/>
      <c r="N61" s="27"/>
      <c r="O61" s="27"/>
      <c r="P61" s="27"/>
      <c r="Q61" s="27"/>
      <c r="R61" s="27"/>
      <c r="S61" s="27"/>
      <c r="T61" s="27"/>
      <c r="U61" s="27"/>
      <c r="V61" s="27"/>
      <c r="W61" s="27"/>
      <c r="X61" s="27"/>
      <c r="Y61" s="27"/>
      <c r="Z61" s="27"/>
      <c r="AA61" s="27"/>
      <c r="AB61" s="27"/>
      <c r="AC61" s="27"/>
      <c r="AD61" s="27"/>
      <c r="AE61" s="27"/>
      <c r="AF61" s="27"/>
      <c r="AG61" s="27"/>
      <c r="AH61" s="27"/>
      <c r="AI61" s="27"/>
      <c r="AJ61" s="73">
        <v>3645000</v>
      </c>
      <c r="AK61" s="132">
        <f t="shared" si="32"/>
        <v>3830895</v>
      </c>
      <c r="AL61" s="73">
        <v>4000000</v>
      </c>
      <c r="AM61" s="132">
        <f t="shared" ref="AM61:AO61" si="35">((AL61*5.1%)+AL61)</f>
        <v>4204000</v>
      </c>
      <c r="AN61" s="73">
        <v>3800000</v>
      </c>
      <c r="AO61" s="132">
        <f t="shared" si="35"/>
        <v>3993800</v>
      </c>
      <c r="AP61" s="27"/>
      <c r="AQ61" s="27"/>
      <c r="AR61" s="27"/>
      <c r="AS61" s="27"/>
      <c r="AT61" s="27"/>
      <c r="AU61" s="27"/>
      <c r="AV61" s="27"/>
      <c r="AW61" s="27"/>
      <c r="AX61" s="27"/>
      <c r="AY61" s="27"/>
      <c r="AZ61" s="27"/>
      <c r="BA61" s="27"/>
      <c r="BB61" s="27"/>
      <c r="BC61" s="27"/>
      <c r="BD61" s="27"/>
      <c r="BE61" s="27"/>
      <c r="BF61" s="27"/>
      <c r="BG61" s="27"/>
      <c r="BH61" s="27"/>
      <c r="BI61" s="27"/>
      <c r="BJ61" s="27"/>
      <c r="BK61" s="27"/>
      <c r="BL61" s="27"/>
      <c r="BM61" s="27"/>
      <c r="BN61" s="27"/>
      <c r="BO61" s="27"/>
      <c r="BP61" s="27"/>
      <c r="BQ61" s="27"/>
      <c r="BR61" s="27"/>
      <c r="BS61" s="27"/>
      <c r="BT61" s="27"/>
      <c r="BU61" s="27"/>
      <c r="BV61" s="27"/>
      <c r="BW61" s="27"/>
      <c r="BX61" s="27"/>
      <c r="BY61" s="27"/>
      <c r="BZ61" s="27"/>
      <c r="CA61" s="156"/>
      <c r="CB61" s="156"/>
      <c r="CC61" s="156"/>
      <c r="CD61" s="156"/>
      <c r="CE61" s="156"/>
      <c r="CF61" s="156"/>
      <c r="CG61" s="156"/>
      <c r="CH61" s="156"/>
      <c r="CI61" s="156"/>
      <c r="CJ61" s="156"/>
      <c r="CK61" s="156"/>
      <c r="CL61" s="156"/>
      <c r="CM61" s="156"/>
      <c r="CN61" s="156"/>
      <c r="CO61" s="156"/>
      <c r="CP61" s="156"/>
      <c r="CQ61" s="156"/>
      <c r="CR61" s="107">
        <f t="shared" si="22"/>
        <v>3993800</v>
      </c>
      <c r="CS61" s="107">
        <f t="shared" si="23"/>
        <v>4009565</v>
      </c>
      <c r="CT61" s="108">
        <f t="shared" si="24"/>
        <v>187051.42788816127</v>
      </c>
      <c r="CU61" s="65">
        <f t="shared" si="6"/>
        <v>4.6651302046022768E-2</v>
      </c>
      <c r="CV61" s="66">
        <f t="shared" si="7"/>
        <v>3369382.3529411769</v>
      </c>
      <c r="CW61" s="66">
        <f t="shared" si="8"/>
        <v>640182.64705882361</v>
      </c>
      <c r="CX61" s="109">
        <f t="shared" si="28"/>
        <v>4009565</v>
      </c>
      <c r="CY61" s="109">
        <f t="shared" si="29"/>
        <v>4009565</v>
      </c>
      <c r="CZ61" s="110" t="s">
        <v>903</v>
      </c>
    </row>
    <row r="62" spans="1:104" ht="68" x14ac:dyDescent="0.2">
      <c r="A62" s="63">
        <v>57</v>
      </c>
      <c r="B62" s="150" t="s">
        <v>454</v>
      </c>
      <c r="C62" s="122" t="s">
        <v>455</v>
      </c>
      <c r="D62" s="105" t="s">
        <v>7</v>
      </c>
      <c r="E62" s="105">
        <v>13</v>
      </c>
      <c r="F62" s="17">
        <v>11305</v>
      </c>
      <c r="G62" s="132">
        <f t="shared" ref="G62:I64" si="36">((F62*5.1%)+F62)</f>
        <v>11881.555</v>
      </c>
      <c r="H62" s="17">
        <v>10115</v>
      </c>
      <c r="I62" s="132">
        <f t="shared" ref="I62" si="37">((H62*5.1%)+H62)</f>
        <v>10630.865</v>
      </c>
      <c r="J62" s="27"/>
      <c r="K62" s="27"/>
      <c r="L62" s="27"/>
      <c r="M62" s="27"/>
      <c r="N62" s="27"/>
      <c r="O62" s="27"/>
      <c r="P62" s="27"/>
      <c r="Q62" s="27"/>
      <c r="R62" s="27"/>
      <c r="S62" s="27"/>
      <c r="T62" s="27"/>
      <c r="U62" s="27"/>
      <c r="V62" s="27"/>
      <c r="W62" s="27"/>
      <c r="X62" s="27"/>
      <c r="Y62" s="27"/>
      <c r="Z62" s="27"/>
      <c r="AA62" s="27"/>
      <c r="AB62" s="27"/>
      <c r="AC62" s="27"/>
      <c r="AD62" s="27"/>
      <c r="AE62" s="27"/>
      <c r="AF62" s="17">
        <v>10710</v>
      </c>
      <c r="AG62" s="132">
        <f t="shared" ref="AG62:AK69" si="38">((AF62*5.1%)+AF62)</f>
        <v>11256.21</v>
      </c>
      <c r="AH62" s="27"/>
      <c r="AI62" s="27"/>
      <c r="AJ62" s="27"/>
      <c r="AK62" s="27"/>
      <c r="AL62" s="27"/>
      <c r="AM62" s="27"/>
      <c r="AN62" s="27"/>
      <c r="AO62" s="27"/>
      <c r="AP62" s="27"/>
      <c r="AQ62" s="27"/>
      <c r="AR62" s="27"/>
      <c r="AS62" s="27"/>
      <c r="AT62" s="27"/>
      <c r="AU62" s="27"/>
      <c r="AV62" s="27"/>
      <c r="AW62" s="27"/>
      <c r="AX62" s="27"/>
      <c r="AY62" s="27"/>
      <c r="AZ62" s="27"/>
      <c r="BA62" s="27"/>
      <c r="BB62" s="27"/>
      <c r="BC62" s="27"/>
      <c r="BD62" s="27"/>
      <c r="BE62" s="27"/>
      <c r="BF62" s="27"/>
      <c r="BG62" s="27"/>
      <c r="BH62" s="27"/>
      <c r="BI62" s="27"/>
      <c r="BJ62" s="27"/>
      <c r="BK62" s="27"/>
      <c r="BL62" s="27"/>
      <c r="BM62" s="27"/>
      <c r="BN62" s="27"/>
      <c r="BO62" s="27"/>
      <c r="BP62" s="27"/>
      <c r="BQ62" s="27"/>
      <c r="BR62" s="27"/>
      <c r="BS62" s="27"/>
      <c r="BT62" s="27"/>
      <c r="BU62" s="27"/>
      <c r="BV62" s="27"/>
      <c r="BW62" s="27"/>
      <c r="BX62" s="27"/>
      <c r="BY62" s="27"/>
      <c r="BZ62" s="27"/>
      <c r="CA62" s="156"/>
      <c r="CB62" s="156"/>
      <c r="CC62" s="156"/>
      <c r="CD62" s="156"/>
      <c r="CE62" s="156"/>
      <c r="CF62" s="156"/>
      <c r="CG62" s="156"/>
      <c r="CH62" s="156"/>
      <c r="CI62" s="156"/>
      <c r="CJ62" s="156"/>
      <c r="CK62" s="156"/>
      <c r="CL62" s="156"/>
      <c r="CM62" s="156"/>
      <c r="CN62" s="156"/>
      <c r="CO62" s="156"/>
      <c r="CP62" s="156"/>
      <c r="CQ62" s="156"/>
      <c r="CR62" s="107">
        <f t="shared" si="22"/>
        <v>11256.21</v>
      </c>
      <c r="CS62" s="107">
        <f t="shared" si="23"/>
        <v>11256.21</v>
      </c>
      <c r="CT62" s="108">
        <f t="shared" si="24"/>
        <v>625.34500000000025</v>
      </c>
      <c r="CU62" s="65">
        <f t="shared" si="6"/>
        <v>5.555555555555558E-2</v>
      </c>
      <c r="CV62" s="66">
        <f t="shared" si="7"/>
        <v>9459.6638655462193</v>
      </c>
      <c r="CW62" s="66">
        <f t="shared" si="8"/>
        <v>1797.3361344537816</v>
      </c>
      <c r="CX62" s="109">
        <f t="shared" si="28"/>
        <v>11257</v>
      </c>
      <c r="CY62" s="109">
        <f t="shared" si="29"/>
        <v>146341</v>
      </c>
      <c r="CZ62" s="110" t="s">
        <v>903</v>
      </c>
    </row>
    <row r="63" spans="1:104" ht="51" x14ac:dyDescent="0.2">
      <c r="A63" s="63">
        <v>58</v>
      </c>
      <c r="B63" s="150" t="s">
        <v>456</v>
      </c>
      <c r="C63" s="122" t="s">
        <v>457</v>
      </c>
      <c r="D63" s="105" t="s">
        <v>162</v>
      </c>
      <c r="E63" s="105">
        <v>7</v>
      </c>
      <c r="F63" s="17">
        <v>115000</v>
      </c>
      <c r="G63" s="132">
        <f t="shared" si="36"/>
        <v>120865</v>
      </c>
      <c r="H63" s="17">
        <v>98500</v>
      </c>
      <c r="I63" s="132">
        <f t="shared" si="36"/>
        <v>103523.5</v>
      </c>
      <c r="J63" s="27"/>
      <c r="K63" s="27"/>
      <c r="L63" s="27"/>
      <c r="M63" s="27"/>
      <c r="N63" s="27"/>
      <c r="O63" s="27"/>
      <c r="P63" s="27"/>
      <c r="Q63" s="27"/>
      <c r="R63" s="27"/>
      <c r="S63" s="27"/>
      <c r="T63" s="27"/>
      <c r="U63" s="27"/>
      <c r="V63" s="27"/>
      <c r="W63" s="27"/>
      <c r="X63" s="27"/>
      <c r="Y63" s="27"/>
      <c r="Z63" s="27"/>
      <c r="AA63" s="27"/>
      <c r="AB63" s="27"/>
      <c r="AC63" s="27"/>
      <c r="AD63" s="27"/>
      <c r="AE63" s="27"/>
      <c r="AF63" s="17">
        <v>100000</v>
      </c>
      <c r="AG63" s="132">
        <f t="shared" si="38"/>
        <v>105100</v>
      </c>
      <c r="AH63" s="27"/>
      <c r="AI63" s="27"/>
      <c r="AJ63" s="27"/>
      <c r="AK63" s="27"/>
      <c r="AL63" s="27"/>
      <c r="AM63" s="27"/>
      <c r="AN63" s="27"/>
      <c r="AO63" s="27"/>
      <c r="AP63" s="27"/>
      <c r="AQ63" s="27"/>
      <c r="AR63" s="27"/>
      <c r="AS63" s="27"/>
      <c r="AT63" s="27"/>
      <c r="AU63" s="27"/>
      <c r="AV63" s="27"/>
      <c r="AW63" s="27"/>
      <c r="AX63" s="27"/>
      <c r="AY63" s="27"/>
      <c r="AZ63" s="27"/>
      <c r="BA63" s="27"/>
      <c r="BB63" s="27"/>
      <c r="BC63" s="27"/>
      <c r="BD63" s="27"/>
      <c r="BE63" s="27"/>
      <c r="BF63" s="27"/>
      <c r="BG63" s="27"/>
      <c r="BH63" s="27"/>
      <c r="BI63" s="27"/>
      <c r="BJ63" s="27"/>
      <c r="BK63" s="27"/>
      <c r="BL63" s="27"/>
      <c r="BM63" s="27"/>
      <c r="BN63" s="27"/>
      <c r="BO63" s="27"/>
      <c r="BP63" s="27"/>
      <c r="BQ63" s="27"/>
      <c r="BR63" s="27"/>
      <c r="BS63" s="27"/>
      <c r="BT63" s="27"/>
      <c r="BU63" s="27"/>
      <c r="BV63" s="27"/>
      <c r="BW63" s="27"/>
      <c r="BX63" s="27"/>
      <c r="BY63" s="27"/>
      <c r="BZ63" s="27"/>
      <c r="CA63" s="156"/>
      <c r="CB63" s="156"/>
      <c r="CC63" s="156"/>
      <c r="CD63" s="156"/>
      <c r="CE63" s="156"/>
      <c r="CF63" s="156"/>
      <c r="CG63" s="156"/>
      <c r="CH63" s="156"/>
      <c r="CI63" s="156"/>
      <c r="CJ63" s="156"/>
      <c r="CK63" s="156"/>
      <c r="CL63" s="156"/>
      <c r="CM63" s="156"/>
      <c r="CN63" s="156"/>
      <c r="CO63" s="156"/>
      <c r="CP63" s="156"/>
      <c r="CQ63" s="156"/>
      <c r="CR63" s="107">
        <f t="shared" si="22"/>
        <v>105100</v>
      </c>
      <c r="CS63" s="107">
        <f t="shared" si="23"/>
        <v>109829.5</v>
      </c>
      <c r="CT63" s="108">
        <f t="shared" si="24"/>
        <v>9589.4751290151435</v>
      </c>
      <c r="CU63" s="65">
        <f t="shared" si="6"/>
        <v>8.7312380817677795E-2</v>
      </c>
      <c r="CV63" s="66">
        <f t="shared" si="7"/>
        <v>92294.117647058825</v>
      </c>
      <c r="CW63" s="66">
        <f t="shared" si="8"/>
        <v>17535.882352941178</v>
      </c>
      <c r="CX63" s="109">
        <f t="shared" si="28"/>
        <v>109830</v>
      </c>
      <c r="CY63" s="109">
        <f t="shared" si="29"/>
        <v>768810</v>
      </c>
      <c r="CZ63" s="110" t="s">
        <v>903</v>
      </c>
    </row>
    <row r="64" spans="1:104" ht="51" x14ac:dyDescent="0.2">
      <c r="A64" s="63">
        <v>59</v>
      </c>
      <c r="B64" s="150" t="s">
        <v>458</v>
      </c>
      <c r="C64" s="122" t="s">
        <v>459</v>
      </c>
      <c r="D64" s="105" t="s">
        <v>162</v>
      </c>
      <c r="E64" s="105">
        <v>3</v>
      </c>
      <c r="F64" s="17">
        <v>154500</v>
      </c>
      <c r="G64" s="132">
        <f t="shared" si="36"/>
        <v>162379.5</v>
      </c>
      <c r="H64" s="17">
        <v>132500</v>
      </c>
      <c r="I64" s="132">
        <f t="shared" si="36"/>
        <v>139257.5</v>
      </c>
      <c r="J64" s="27"/>
      <c r="K64" s="27"/>
      <c r="L64" s="27"/>
      <c r="M64" s="27"/>
      <c r="N64" s="27"/>
      <c r="O64" s="27"/>
      <c r="P64" s="27"/>
      <c r="Q64" s="27"/>
      <c r="R64" s="27"/>
      <c r="S64" s="27"/>
      <c r="T64" s="27"/>
      <c r="U64" s="27"/>
      <c r="V64" s="27"/>
      <c r="W64" s="27"/>
      <c r="X64" s="27"/>
      <c r="Y64" s="27"/>
      <c r="Z64" s="27"/>
      <c r="AA64" s="27"/>
      <c r="AB64" s="27"/>
      <c r="AC64" s="27"/>
      <c r="AD64" s="27"/>
      <c r="AE64" s="27"/>
      <c r="AF64" s="17">
        <v>145000</v>
      </c>
      <c r="AG64" s="132">
        <f t="shared" si="38"/>
        <v>152395</v>
      </c>
      <c r="AH64" s="27"/>
      <c r="AI64" s="27"/>
      <c r="AJ64" s="27"/>
      <c r="AK64" s="27"/>
      <c r="AL64" s="27"/>
      <c r="AM64" s="27"/>
      <c r="AN64" s="27"/>
      <c r="AO64" s="27"/>
      <c r="AP64" s="27"/>
      <c r="AQ64" s="27"/>
      <c r="AR64" s="27"/>
      <c r="AS64" s="27"/>
      <c r="AT64" s="27"/>
      <c r="AU64" s="27"/>
      <c r="AV64" s="27"/>
      <c r="AW64" s="27"/>
      <c r="AX64" s="27"/>
      <c r="AY64" s="27"/>
      <c r="AZ64" s="27"/>
      <c r="BA64" s="27"/>
      <c r="BB64" s="27"/>
      <c r="BC64" s="27"/>
      <c r="BD64" s="27"/>
      <c r="BE64" s="27"/>
      <c r="BF64" s="27"/>
      <c r="BG64" s="27"/>
      <c r="BH64" s="27"/>
      <c r="BI64" s="27"/>
      <c r="BJ64" s="27"/>
      <c r="BK64" s="27"/>
      <c r="BL64" s="27"/>
      <c r="BM64" s="27"/>
      <c r="BN64" s="27"/>
      <c r="BO64" s="27"/>
      <c r="BP64" s="27"/>
      <c r="BQ64" s="27"/>
      <c r="BR64" s="27"/>
      <c r="BS64" s="27"/>
      <c r="BT64" s="27"/>
      <c r="BU64" s="27"/>
      <c r="BV64" s="27"/>
      <c r="BW64" s="27"/>
      <c r="BX64" s="27"/>
      <c r="BY64" s="27"/>
      <c r="BZ64" s="27"/>
      <c r="CA64" s="156"/>
      <c r="CB64" s="156"/>
      <c r="CC64" s="156"/>
      <c r="CD64" s="156"/>
      <c r="CE64" s="156"/>
      <c r="CF64" s="156"/>
      <c r="CG64" s="156"/>
      <c r="CH64" s="156"/>
      <c r="CI64" s="156"/>
      <c r="CJ64" s="156"/>
      <c r="CK64" s="156"/>
      <c r="CL64" s="156"/>
      <c r="CM64" s="156"/>
      <c r="CN64" s="156"/>
      <c r="CO64" s="156"/>
      <c r="CP64" s="156"/>
      <c r="CQ64" s="156"/>
      <c r="CR64" s="107">
        <f t="shared" si="22"/>
        <v>152395</v>
      </c>
      <c r="CS64" s="107">
        <f t="shared" si="23"/>
        <v>151344</v>
      </c>
      <c r="CT64" s="108">
        <f t="shared" si="24"/>
        <v>11596.774195870161</v>
      </c>
      <c r="CU64" s="65">
        <f t="shared" si="6"/>
        <v>7.6625265592756633E-2</v>
      </c>
      <c r="CV64" s="66">
        <f t="shared" si="7"/>
        <v>127179.83193277312</v>
      </c>
      <c r="CW64" s="66">
        <f t="shared" si="8"/>
        <v>24164.168067226892</v>
      </c>
      <c r="CX64" s="109">
        <f t="shared" si="28"/>
        <v>151344</v>
      </c>
      <c r="CY64" s="109">
        <f t="shared" si="29"/>
        <v>454032</v>
      </c>
      <c r="CZ64" s="110" t="s">
        <v>903</v>
      </c>
    </row>
    <row r="65" spans="1:104" ht="36" customHeight="1" x14ac:dyDescent="0.2">
      <c r="A65" s="63">
        <v>60</v>
      </c>
      <c r="B65" s="150" t="s">
        <v>460</v>
      </c>
      <c r="C65" s="122" t="s">
        <v>461</v>
      </c>
      <c r="D65" s="105" t="s">
        <v>462</v>
      </c>
      <c r="E65" s="105">
        <v>2</v>
      </c>
      <c r="F65" s="27"/>
      <c r="G65" s="27"/>
      <c r="H65" s="27"/>
      <c r="I65" s="27"/>
      <c r="J65" s="27"/>
      <c r="K65" s="27"/>
      <c r="L65" s="27"/>
      <c r="M65" s="27"/>
      <c r="N65" s="27"/>
      <c r="O65" s="27"/>
      <c r="P65" s="27"/>
      <c r="Q65" s="27"/>
      <c r="R65" s="27"/>
      <c r="S65" s="27"/>
      <c r="T65" s="27"/>
      <c r="U65" s="27"/>
      <c r="V65" s="27"/>
      <c r="W65" s="27"/>
      <c r="X65" s="27"/>
      <c r="Y65" s="27"/>
      <c r="Z65" s="27"/>
      <c r="AA65" s="27"/>
      <c r="AB65" s="27"/>
      <c r="AC65" s="27"/>
      <c r="AD65" s="27"/>
      <c r="AE65" s="27"/>
      <c r="AF65" s="27"/>
      <c r="AG65" s="27"/>
      <c r="AH65" s="86">
        <v>6000000</v>
      </c>
      <c r="AI65" s="132">
        <f t="shared" si="38"/>
        <v>6306000</v>
      </c>
      <c r="AJ65" s="27"/>
      <c r="AK65" s="27"/>
      <c r="AL65" s="27"/>
      <c r="AM65" s="27"/>
      <c r="AN65" s="27"/>
      <c r="AO65" s="27"/>
      <c r="AP65" s="86">
        <v>6200000</v>
      </c>
      <c r="AQ65" s="132">
        <f t="shared" ref="AQ65:AY66" si="39">((AP65*5.1%)+AP65)</f>
        <v>6516200</v>
      </c>
      <c r="AR65" s="27"/>
      <c r="AS65" s="27"/>
      <c r="AT65" s="27"/>
      <c r="AU65" s="27"/>
      <c r="AV65" s="27"/>
      <c r="AW65" s="27"/>
      <c r="AX65" s="27"/>
      <c r="AY65" s="27"/>
      <c r="AZ65" s="27"/>
      <c r="BA65" s="27"/>
      <c r="BB65" s="27"/>
      <c r="BC65" s="27"/>
      <c r="BD65" s="27"/>
      <c r="BE65" s="27"/>
      <c r="BF65" s="27"/>
      <c r="BG65" s="27"/>
      <c r="BH65" s="27"/>
      <c r="BI65" s="27"/>
      <c r="BJ65" s="27"/>
      <c r="BK65" s="27"/>
      <c r="BL65" s="27"/>
      <c r="BM65" s="27"/>
      <c r="BN65" s="27"/>
      <c r="BO65" s="27"/>
      <c r="BP65" s="27"/>
      <c r="BQ65" s="27"/>
      <c r="BR65" s="27"/>
      <c r="BS65" s="27"/>
      <c r="BT65" s="27"/>
      <c r="BU65" s="27"/>
      <c r="BV65" s="27"/>
      <c r="BW65" s="27"/>
      <c r="BX65" s="27"/>
      <c r="BY65" s="27"/>
      <c r="BZ65" s="27"/>
      <c r="CA65" s="156"/>
      <c r="CB65" s="156"/>
      <c r="CC65" s="156"/>
      <c r="CD65" s="156"/>
      <c r="CE65" s="156"/>
      <c r="CF65" s="156"/>
      <c r="CG65" s="156"/>
      <c r="CH65" s="156"/>
      <c r="CI65" s="156"/>
      <c r="CJ65" s="156"/>
      <c r="CK65" s="156"/>
      <c r="CL65" s="156"/>
      <c r="CM65" s="156"/>
      <c r="CN65" s="156"/>
      <c r="CO65" s="156"/>
      <c r="CP65" s="156"/>
      <c r="CQ65" s="156"/>
      <c r="CR65" s="107">
        <f t="shared" si="22"/>
        <v>6411100</v>
      </c>
      <c r="CS65" s="107">
        <f t="shared" si="23"/>
        <v>6411100</v>
      </c>
      <c r="CT65" s="108">
        <f t="shared" si="24"/>
        <v>148633.84540541228</v>
      </c>
      <c r="CU65" s="65">
        <f t="shared" si="6"/>
        <v>2.3183828891362213E-2</v>
      </c>
      <c r="CV65" s="66">
        <f t="shared" si="7"/>
        <v>5387478.9915966392</v>
      </c>
      <c r="CW65" s="66">
        <f t="shared" si="8"/>
        <v>1023621.0084033614</v>
      </c>
      <c r="CX65" s="109">
        <f t="shared" si="28"/>
        <v>6411100</v>
      </c>
      <c r="CY65" s="109">
        <f t="shared" si="29"/>
        <v>12822200</v>
      </c>
      <c r="CZ65" s="110" t="s">
        <v>903</v>
      </c>
    </row>
    <row r="66" spans="1:104" ht="34" x14ac:dyDescent="0.2">
      <c r="A66" s="63">
        <v>61</v>
      </c>
      <c r="B66" s="150" t="s">
        <v>463</v>
      </c>
      <c r="C66" s="122" t="s">
        <v>464</v>
      </c>
      <c r="D66" s="105" t="s">
        <v>462</v>
      </c>
      <c r="E66" s="105">
        <v>1</v>
      </c>
      <c r="F66" s="27"/>
      <c r="G66" s="27"/>
      <c r="H66" s="27"/>
      <c r="I66" s="27"/>
      <c r="J66" s="27"/>
      <c r="K66" s="27"/>
      <c r="L66" s="27"/>
      <c r="M66" s="27"/>
      <c r="N66" s="27"/>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c r="AN66" s="27"/>
      <c r="AO66" s="27"/>
      <c r="AP66" s="27"/>
      <c r="AQ66" s="27"/>
      <c r="AR66" s="86">
        <v>24500000</v>
      </c>
      <c r="AS66" s="132">
        <f t="shared" si="39"/>
        <v>25749500</v>
      </c>
      <c r="AT66" s="86">
        <v>28000000</v>
      </c>
      <c r="AU66" s="132">
        <f t="shared" si="39"/>
        <v>29428000</v>
      </c>
      <c r="AV66" s="86">
        <v>29000000</v>
      </c>
      <c r="AW66" s="132">
        <f t="shared" si="39"/>
        <v>30479000</v>
      </c>
      <c r="AX66" s="86">
        <v>22610000</v>
      </c>
      <c r="AY66" s="132">
        <f t="shared" si="39"/>
        <v>23763110</v>
      </c>
      <c r="AZ66" s="27"/>
      <c r="BA66" s="27"/>
      <c r="BB66" s="27"/>
      <c r="BC66" s="27"/>
      <c r="BD66" s="27"/>
      <c r="BE66" s="27"/>
      <c r="BF66" s="27"/>
      <c r="BG66" s="27"/>
      <c r="BH66" s="27"/>
      <c r="BI66" s="27"/>
      <c r="BJ66" s="27"/>
      <c r="BK66" s="27"/>
      <c r="BL66" s="27"/>
      <c r="BM66" s="27"/>
      <c r="BN66" s="27"/>
      <c r="BO66" s="27"/>
      <c r="BP66" s="27"/>
      <c r="BQ66" s="27"/>
      <c r="BR66" s="27"/>
      <c r="BS66" s="27"/>
      <c r="BT66" s="27"/>
      <c r="BU66" s="27"/>
      <c r="BV66" s="27"/>
      <c r="BW66" s="27"/>
      <c r="BX66" s="27"/>
      <c r="BY66" s="27"/>
      <c r="BZ66" s="27"/>
      <c r="CA66" s="156"/>
      <c r="CB66" s="156"/>
      <c r="CC66" s="156"/>
      <c r="CD66" s="156"/>
      <c r="CE66" s="156"/>
      <c r="CF66" s="156"/>
      <c r="CG66" s="156"/>
      <c r="CH66" s="156"/>
      <c r="CI66" s="156"/>
      <c r="CJ66" s="156"/>
      <c r="CK66" s="156"/>
      <c r="CL66" s="156"/>
      <c r="CM66" s="156"/>
      <c r="CN66" s="156"/>
      <c r="CO66" s="156"/>
      <c r="CP66" s="156"/>
      <c r="CQ66" s="156"/>
      <c r="CR66" s="107">
        <f t="shared" si="22"/>
        <v>27588750</v>
      </c>
      <c r="CS66" s="107">
        <f t="shared" si="23"/>
        <v>27354902.5</v>
      </c>
      <c r="CT66" s="108">
        <f t="shared" si="24"/>
        <v>3137727.892603978</v>
      </c>
      <c r="CU66" s="65">
        <f t="shared" si="6"/>
        <v>0.11470440783343966</v>
      </c>
      <c r="CV66" s="66">
        <f t="shared" si="7"/>
        <v>22987313.445378151</v>
      </c>
      <c r="CW66" s="66">
        <f t="shared" si="8"/>
        <v>4367589.5546218483</v>
      </c>
      <c r="CX66" s="109">
        <f t="shared" si="28"/>
        <v>27354903</v>
      </c>
      <c r="CY66" s="109">
        <f t="shared" si="29"/>
        <v>27354903</v>
      </c>
      <c r="CZ66" s="110" t="s">
        <v>903</v>
      </c>
    </row>
    <row r="67" spans="1:104" ht="68" x14ac:dyDescent="0.2">
      <c r="A67" s="63">
        <v>62</v>
      </c>
      <c r="B67" s="150" t="s">
        <v>465</v>
      </c>
      <c r="C67" s="122" t="s">
        <v>466</v>
      </c>
      <c r="D67" s="105" t="s">
        <v>462</v>
      </c>
      <c r="E67" s="105">
        <v>2</v>
      </c>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86">
        <v>9000000</v>
      </c>
      <c r="AK67" s="132">
        <f t="shared" si="38"/>
        <v>9459000</v>
      </c>
      <c r="AL67" s="73">
        <v>7490000</v>
      </c>
      <c r="AM67" s="132">
        <f t="shared" ref="AM67:AM69" si="40">((AL67*5.1%)+AL67)</f>
        <v>7871990</v>
      </c>
      <c r="AN67" s="27"/>
      <c r="AO67" s="27"/>
      <c r="AP67" s="27"/>
      <c r="AQ67" s="27"/>
      <c r="AR67" s="27"/>
      <c r="AS67" s="27"/>
      <c r="AT67" s="27"/>
      <c r="AU67" s="27"/>
      <c r="AV67" s="27"/>
      <c r="AW67" s="27"/>
      <c r="AX67" s="27"/>
      <c r="AY67" s="27"/>
      <c r="AZ67" s="27"/>
      <c r="BA67" s="27"/>
      <c r="BB67" s="27"/>
      <c r="BC67" s="27"/>
      <c r="BD67" s="27"/>
      <c r="BE67" s="27"/>
      <c r="BF67" s="27"/>
      <c r="BG67" s="27"/>
      <c r="BH67" s="27"/>
      <c r="BI67" s="27"/>
      <c r="BJ67" s="27"/>
      <c r="BK67" s="27"/>
      <c r="BL67" s="27"/>
      <c r="BM67" s="27"/>
      <c r="BN67" s="27"/>
      <c r="BO67" s="27"/>
      <c r="BP67" s="27"/>
      <c r="BQ67" s="27"/>
      <c r="BR67" s="27"/>
      <c r="BS67" s="27"/>
      <c r="BT67" s="27"/>
      <c r="BU67" s="27"/>
      <c r="BV67" s="27"/>
      <c r="BW67" s="27"/>
      <c r="BX67" s="27"/>
      <c r="BY67" s="27"/>
      <c r="BZ67" s="27"/>
      <c r="CA67" s="156"/>
      <c r="CB67" s="156"/>
      <c r="CC67" s="156"/>
      <c r="CD67" s="156"/>
      <c r="CE67" s="156"/>
      <c r="CF67" s="156"/>
      <c r="CG67" s="156"/>
      <c r="CH67" s="156"/>
      <c r="CI67" s="156"/>
      <c r="CJ67" s="156"/>
      <c r="CK67" s="156"/>
      <c r="CL67" s="156"/>
      <c r="CM67" s="156"/>
      <c r="CN67" s="156"/>
      <c r="CO67" s="156"/>
      <c r="CP67" s="156"/>
      <c r="CQ67" s="156"/>
      <c r="CR67" s="107">
        <f t="shared" si="22"/>
        <v>8665495</v>
      </c>
      <c r="CS67" s="107">
        <f t="shared" si="23"/>
        <v>8665495</v>
      </c>
      <c r="CT67" s="108">
        <f t="shared" si="24"/>
        <v>1122185.5328108629</v>
      </c>
      <c r="CU67" s="65">
        <f t="shared" si="6"/>
        <v>0.12950045355872492</v>
      </c>
      <c r="CV67" s="66">
        <f t="shared" si="7"/>
        <v>7281928.5714285718</v>
      </c>
      <c r="CW67" s="66">
        <f t="shared" si="8"/>
        <v>1383566.4285714286</v>
      </c>
      <c r="CX67" s="109">
        <f t="shared" si="28"/>
        <v>8665495</v>
      </c>
      <c r="CY67" s="109">
        <f t="shared" si="29"/>
        <v>17330990</v>
      </c>
      <c r="CZ67" s="110" t="s">
        <v>903</v>
      </c>
    </row>
    <row r="68" spans="1:104" ht="72.75" customHeight="1" x14ac:dyDescent="0.2">
      <c r="A68" s="63">
        <v>63</v>
      </c>
      <c r="B68" s="150" t="s">
        <v>467</v>
      </c>
      <c r="C68" s="122" t="s">
        <v>468</v>
      </c>
      <c r="D68" s="105" t="s">
        <v>469</v>
      </c>
      <c r="E68" s="105">
        <v>2</v>
      </c>
      <c r="F68" s="27"/>
      <c r="G68" s="27"/>
      <c r="H68" s="27"/>
      <c r="I68" s="27"/>
      <c r="J68" s="27"/>
      <c r="K68" s="27"/>
      <c r="L68" s="27"/>
      <c r="M68" s="27"/>
      <c r="N68" s="27"/>
      <c r="O68" s="27"/>
      <c r="P68" s="27"/>
      <c r="Q68" s="27"/>
      <c r="R68" s="27"/>
      <c r="S68" s="27"/>
      <c r="T68" s="27"/>
      <c r="U68" s="27"/>
      <c r="V68" s="27"/>
      <c r="W68" s="27"/>
      <c r="X68" s="27"/>
      <c r="Y68" s="27"/>
      <c r="Z68" s="27"/>
      <c r="AA68" s="27"/>
      <c r="AB68" s="27"/>
      <c r="AC68" s="27"/>
      <c r="AD68" s="27"/>
      <c r="AE68" s="27"/>
      <c r="AF68" s="27"/>
      <c r="AG68" s="27"/>
      <c r="AH68" s="27"/>
      <c r="AI68" s="27"/>
      <c r="AJ68" s="86">
        <v>1725000</v>
      </c>
      <c r="AK68" s="132">
        <f t="shared" si="38"/>
        <v>1812975</v>
      </c>
      <c r="AL68" s="86">
        <v>1320000</v>
      </c>
      <c r="AM68" s="132">
        <f t="shared" si="40"/>
        <v>1387320</v>
      </c>
      <c r="AN68" s="27"/>
      <c r="AO68" s="27"/>
      <c r="AP68" s="27"/>
      <c r="AQ68" s="27"/>
      <c r="AR68" s="27"/>
      <c r="AS68" s="27"/>
      <c r="AT68" s="27"/>
      <c r="AU68" s="27"/>
      <c r="AV68" s="27"/>
      <c r="AW68" s="27"/>
      <c r="AX68" s="27"/>
      <c r="AY68" s="27"/>
      <c r="AZ68" s="27"/>
      <c r="BA68" s="27"/>
      <c r="BB68" s="27"/>
      <c r="BC68" s="27"/>
      <c r="BD68" s="27"/>
      <c r="BE68" s="27"/>
      <c r="BF68" s="27"/>
      <c r="BG68" s="27"/>
      <c r="BH68" s="27"/>
      <c r="BI68" s="27"/>
      <c r="BJ68" s="27"/>
      <c r="BK68" s="27"/>
      <c r="BL68" s="27"/>
      <c r="BM68" s="27"/>
      <c r="BN68" s="27"/>
      <c r="BO68" s="27"/>
      <c r="BP68" s="27"/>
      <c r="BQ68" s="27"/>
      <c r="BR68" s="27"/>
      <c r="BS68" s="27"/>
      <c r="BT68" s="27"/>
      <c r="BU68" s="27"/>
      <c r="BV68" s="27"/>
      <c r="BW68" s="27"/>
      <c r="BX68" s="27"/>
      <c r="BY68" s="27"/>
      <c r="BZ68" s="27"/>
      <c r="CA68" s="156"/>
      <c r="CB68" s="156"/>
      <c r="CC68" s="156"/>
      <c r="CD68" s="156"/>
      <c r="CE68" s="156"/>
      <c r="CF68" s="156"/>
      <c r="CG68" s="156"/>
      <c r="CH68" s="156"/>
      <c r="CI68" s="156"/>
      <c r="CJ68" s="156"/>
      <c r="CK68" s="156"/>
      <c r="CL68" s="156"/>
      <c r="CM68" s="156"/>
      <c r="CN68" s="156"/>
      <c r="CO68" s="156"/>
      <c r="CP68" s="156"/>
      <c r="CQ68" s="156"/>
      <c r="CR68" s="107">
        <f t="shared" si="22"/>
        <v>1600147.5</v>
      </c>
      <c r="CS68" s="107">
        <f t="shared" si="23"/>
        <v>1600147.5</v>
      </c>
      <c r="CT68" s="108">
        <f t="shared" si="24"/>
        <v>300983.5369459599</v>
      </c>
      <c r="CU68" s="65">
        <f t="shared" si="6"/>
        <v>0.18809737036489443</v>
      </c>
      <c r="CV68" s="66">
        <f t="shared" si="7"/>
        <v>1344662.1848739497</v>
      </c>
      <c r="CW68" s="66">
        <f t="shared" si="8"/>
        <v>255485.81512605047</v>
      </c>
      <c r="CX68" s="109">
        <f t="shared" si="28"/>
        <v>1600148</v>
      </c>
      <c r="CY68" s="109">
        <f t="shared" si="29"/>
        <v>3200296</v>
      </c>
      <c r="CZ68" s="110" t="s">
        <v>902</v>
      </c>
    </row>
    <row r="69" spans="1:104" ht="51" x14ac:dyDescent="0.2">
      <c r="A69" s="63">
        <v>64</v>
      </c>
      <c r="B69" s="150" t="s">
        <v>470</v>
      </c>
      <c r="C69" s="122" t="s">
        <v>471</v>
      </c>
      <c r="D69" s="105" t="s">
        <v>462</v>
      </c>
      <c r="E69" s="105">
        <v>1</v>
      </c>
      <c r="F69" s="27"/>
      <c r="G69" s="27"/>
      <c r="H69" s="27"/>
      <c r="I69" s="27"/>
      <c r="J69" s="27"/>
      <c r="K69" s="27"/>
      <c r="L69" s="27"/>
      <c r="M69" s="27"/>
      <c r="N69" s="27"/>
      <c r="O69" s="27"/>
      <c r="P69" s="27"/>
      <c r="Q69" s="27"/>
      <c r="R69" s="27"/>
      <c r="S69" s="27"/>
      <c r="T69" s="27"/>
      <c r="U69" s="27"/>
      <c r="V69" s="27"/>
      <c r="W69" s="27"/>
      <c r="X69" s="27"/>
      <c r="Y69" s="27"/>
      <c r="Z69" s="27"/>
      <c r="AA69" s="27"/>
      <c r="AB69" s="27"/>
      <c r="AC69" s="27"/>
      <c r="AD69" s="27"/>
      <c r="AE69" s="27"/>
      <c r="AF69" s="27"/>
      <c r="AG69" s="27"/>
      <c r="AH69" s="27"/>
      <c r="AI69" s="27"/>
      <c r="AJ69" s="73">
        <v>12500000</v>
      </c>
      <c r="AK69" s="132">
        <f t="shared" si="38"/>
        <v>13137500</v>
      </c>
      <c r="AL69" s="73">
        <v>11000000</v>
      </c>
      <c r="AM69" s="132">
        <f t="shared" si="40"/>
        <v>11561000</v>
      </c>
      <c r="AN69" s="27"/>
      <c r="AO69" s="27"/>
      <c r="AP69" s="27"/>
      <c r="AQ69" s="27"/>
      <c r="AR69" s="27"/>
      <c r="AS69" s="27"/>
      <c r="AT69" s="27"/>
      <c r="AU69" s="27"/>
      <c r="AV69" s="27"/>
      <c r="AW69" s="27"/>
      <c r="AX69" s="27"/>
      <c r="AY69" s="27"/>
      <c r="AZ69" s="27"/>
      <c r="BA69" s="27"/>
      <c r="BB69" s="27"/>
      <c r="BC69" s="27"/>
      <c r="BD69" s="27"/>
      <c r="BE69" s="27"/>
      <c r="BF69" s="27"/>
      <c r="BG69" s="27"/>
      <c r="BH69" s="27"/>
      <c r="BI69" s="27"/>
      <c r="BJ69" s="27"/>
      <c r="BK69" s="27"/>
      <c r="BL69" s="27"/>
      <c r="BM69" s="27"/>
      <c r="BN69" s="27"/>
      <c r="BO69" s="27"/>
      <c r="BP69" s="27"/>
      <c r="BQ69" s="27"/>
      <c r="BR69" s="27"/>
      <c r="BS69" s="27"/>
      <c r="BT69" s="27"/>
      <c r="BU69" s="27"/>
      <c r="BV69" s="27"/>
      <c r="BW69" s="27"/>
      <c r="BX69" s="27"/>
      <c r="BY69" s="27"/>
      <c r="BZ69" s="27"/>
      <c r="CA69" s="156"/>
      <c r="CB69" s="156"/>
      <c r="CC69" s="156"/>
      <c r="CD69" s="156"/>
      <c r="CE69" s="156"/>
      <c r="CF69" s="156"/>
      <c r="CG69" s="156"/>
      <c r="CH69" s="156"/>
      <c r="CI69" s="156"/>
      <c r="CJ69" s="156"/>
      <c r="CK69" s="156"/>
      <c r="CL69" s="156"/>
      <c r="CM69" s="156"/>
      <c r="CN69" s="156"/>
      <c r="CO69" s="156"/>
      <c r="CP69" s="156"/>
      <c r="CQ69" s="156"/>
      <c r="CR69" s="107">
        <f t="shared" si="22"/>
        <v>12349250</v>
      </c>
      <c r="CS69" s="107">
        <f t="shared" si="23"/>
        <v>12349250</v>
      </c>
      <c r="CT69" s="108">
        <f t="shared" si="24"/>
        <v>1114753.8405405921</v>
      </c>
      <c r="CU69" s="65">
        <f t="shared" si="6"/>
        <v>9.0268950789772012E-2</v>
      </c>
      <c r="CV69" s="66">
        <f t="shared" si="7"/>
        <v>10377521.008403363</v>
      </c>
      <c r="CW69" s="66">
        <f t="shared" si="8"/>
        <v>1971728.9915966389</v>
      </c>
      <c r="CX69" s="109">
        <f t="shared" si="28"/>
        <v>12349250</v>
      </c>
      <c r="CY69" s="109">
        <f t="shared" si="29"/>
        <v>12349250</v>
      </c>
      <c r="CZ69" s="110" t="s">
        <v>903</v>
      </c>
    </row>
    <row r="70" spans="1:104" ht="34" x14ac:dyDescent="0.2">
      <c r="A70" s="63">
        <v>65</v>
      </c>
      <c r="B70" s="150" t="s">
        <v>472</v>
      </c>
      <c r="C70" s="122" t="s">
        <v>473</v>
      </c>
      <c r="D70" s="105" t="s">
        <v>223</v>
      </c>
      <c r="E70" s="105">
        <v>1</v>
      </c>
      <c r="F70" s="27"/>
      <c r="G70" s="27"/>
      <c r="H70" s="27"/>
      <c r="I70" s="27"/>
      <c r="J70" s="27"/>
      <c r="K70" s="27"/>
      <c r="L70" s="27"/>
      <c r="M70" s="27"/>
      <c r="N70" s="27"/>
      <c r="O70" s="27"/>
      <c r="P70" s="27"/>
      <c r="Q70" s="27"/>
      <c r="R70" s="27"/>
      <c r="S70" s="27"/>
      <c r="T70" s="27"/>
      <c r="U70" s="27"/>
      <c r="V70" s="27"/>
      <c r="W70" s="27"/>
      <c r="X70" s="27"/>
      <c r="Y70" s="27"/>
      <c r="Z70" s="27"/>
      <c r="AA70" s="27"/>
      <c r="AB70" s="27"/>
      <c r="AC70" s="27"/>
      <c r="AD70" s="27"/>
      <c r="AE70" s="27"/>
      <c r="AF70" s="27"/>
      <c r="AG70" s="27"/>
      <c r="AH70" s="27"/>
      <c r="AI70" s="27"/>
      <c r="AJ70" s="27"/>
      <c r="AK70" s="27"/>
      <c r="AL70" s="27"/>
      <c r="AM70" s="27"/>
      <c r="AN70" s="27"/>
      <c r="AO70" s="27"/>
      <c r="AP70" s="27"/>
      <c r="AQ70" s="27"/>
      <c r="AR70" s="27"/>
      <c r="AS70" s="27"/>
      <c r="AT70" s="27"/>
      <c r="AU70" s="27"/>
      <c r="AV70" s="27"/>
      <c r="AW70" s="27"/>
      <c r="AX70" s="27"/>
      <c r="AY70" s="27"/>
      <c r="AZ70" s="27"/>
      <c r="BA70" s="27"/>
      <c r="BB70" s="27"/>
      <c r="BC70" s="27"/>
      <c r="BD70" s="27"/>
      <c r="BE70" s="27"/>
      <c r="BF70" s="45">
        <v>1229000</v>
      </c>
      <c r="BG70" s="27"/>
      <c r="BH70" s="27"/>
      <c r="BI70" s="27"/>
      <c r="BJ70" s="45"/>
      <c r="BK70" s="45"/>
      <c r="BL70" s="45"/>
      <c r="BM70" s="45"/>
      <c r="BN70" s="45"/>
      <c r="BO70" s="45"/>
      <c r="BP70" s="45"/>
      <c r="BQ70" s="45"/>
      <c r="BR70" s="45"/>
      <c r="BS70" s="45"/>
      <c r="BT70" s="45"/>
      <c r="BU70" s="45"/>
      <c r="BV70" s="45"/>
      <c r="BW70" s="45"/>
      <c r="BX70" s="45">
        <v>1770125</v>
      </c>
      <c r="BY70" s="45">
        <v>1785000</v>
      </c>
      <c r="BZ70" s="45"/>
      <c r="CA70" s="101"/>
      <c r="CB70" s="101"/>
      <c r="CC70" s="101"/>
      <c r="CD70" s="101"/>
      <c r="CE70" s="101"/>
      <c r="CF70" s="101"/>
      <c r="CG70" s="101"/>
      <c r="CH70" s="101"/>
      <c r="CI70" s="101"/>
      <c r="CJ70" s="101"/>
      <c r="CK70" s="101"/>
      <c r="CL70" s="101"/>
      <c r="CM70" s="101"/>
      <c r="CN70" s="101"/>
      <c r="CO70" s="101"/>
      <c r="CP70" s="101"/>
      <c r="CQ70" s="101"/>
      <c r="CR70" s="107">
        <f t="shared" si="22"/>
        <v>1770125</v>
      </c>
      <c r="CS70" s="107">
        <f t="shared" si="23"/>
        <v>1594708.3333333333</v>
      </c>
      <c r="CT70" s="108">
        <f t="shared" si="24"/>
        <v>316800.0240030507</v>
      </c>
      <c r="CU70" s="65">
        <f t="shared" si="6"/>
        <v>0.19865703174753005</v>
      </c>
      <c r="CV70" s="66">
        <f t="shared" si="7"/>
        <v>1487500</v>
      </c>
      <c r="CW70" s="66">
        <f t="shared" si="8"/>
        <v>282625</v>
      </c>
      <c r="CX70" s="109">
        <f t="shared" si="28"/>
        <v>1770125</v>
      </c>
      <c r="CY70" s="109">
        <f t="shared" si="29"/>
        <v>1770125</v>
      </c>
      <c r="CZ70" s="110" t="s">
        <v>902</v>
      </c>
    </row>
    <row r="71" spans="1:104" ht="85" x14ac:dyDescent="0.2">
      <c r="A71" s="63">
        <v>66</v>
      </c>
      <c r="B71" s="150" t="s">
        <v>474</v>
      </c>
      <c r="C71" s="122" t="s">
        <v>475</v>
      </c>
      <c r="D71" s="105" t="s">
        <v>232</v>
      </c>
      <c r="E71" s="105">
        <v>1</v>
      </c>
      <c r="F71" s="27"/>
      <c r="G71" s="27"/>
      <c r="H71" s="27"/>
      <c r="I71" s="27"/>
      <c r="J71" s="27"/>
      <c r="K71" s="27"/>
      <c r="L71" s="27"/>
      <c r="M71" s="27"/>
      <c r="N71" s="27"/>
      <c r="O71" s="27"/>
      <c r="P71" s="27"/>
      <c r="Q71" s="27"/>
      <c r="R71" s="27"/>
      <c r="S71" s="27"/>
      <c r="T71" s="27"/>
      <c r="U71" s="27"/>
      <c r="V71" s="27"/>
      <c r="W71" s="27"/>
      <c r="X71" s="27"/>
      <c r="Y71" s="27"/>
      <c r="Z71" s="27"/>
      <c r="AA71" s="27"/>
      <c r="AB71" s="27"/>
      <c r="AC71" s="27"/>
      <c r="AD71" s="27"/>
      <c r="AE71" s="27"/>
      <c r="AF71" s="27"/>
      <c r="AG71" s="27"/>
      <c r="AH71" s="27"/>
      <c r="AI71" s="27"/>
      <c r="AJ71" s="27"/>
      <c r="AK71" s="27"/>
      <c r="AL71" s="27"/>
      <c r="AM71" s="27"/>
      <c r="AN71" s="27"/>
      <c r="AO71" s="27"/>
      <c r="AP71" s="27"/>
      <c r="AQ71" s="27"/>
      <c r="AR71" s="27"/>
      <c r="AS71" s="27"/>
      <c r="AT71" s="27"/>
      <c r="AU71" s="27"/>
      <c r="AV71" s="27"/>
      <c r="AW71" s="27"/>
      <c r="AX71" s="27"/>
      <c r="AY71" s="27"/>
      <c r="AZ71" s="27"/>
      <c r="BA71" s="27"/>
      <c r="BB71" s="27"/>
      <c r="BC71" s="27"/>
      <c r="BD71" s="27"/>
      <c r="BE71" s="27"/>
      <c r="BF71" s="45">
        <v>609000</v>
      </c>
      <c r="BG71" s="27"/>
      <c r="BH71" s="27"/>
      <c r="BI71" s="27"/>
      <c r="BJ71" s="27"/>
      <c r="BK71" s="27"/>
      <c r="BL71" s="27"/>
      <c r="BM71" s="27"/>
      <c r="BN71" s="27"/>
      <c r="BO71" s="45">
        <v>730900</v>
      </c>
      <c r="BP71" s="45"/>
      <c r="BQ71" s="45"/>
      <c r="BR71" s="45"/>
      <c r="BS71" s="45"/>
      <c r="BT71" s="45"/>
      <c r="BU71" s="45"/>
      <c r="BV71" s="45"/>
      <c r="BW71" s="45"/>
      <c r="BX71" s="45">
        <v>545198.5</v>
      </c>
      <c r="BY71" s="45">
        <v>549780</v>
      </c>
      <c r="BZ71" s="45"/>
      <c r="CA71" s="101"/>
      <c r="CB71" s="101"/>
      <c r="CC71" s="101"/>
      <c r="CD71" s="101"/>
      <c r="CE71" s="101"/>
      <c r="CF71" s="101"/>
      <c r="CG71" s="101"/>
      <c r="CH71" s="101"/>
      <c r="CI71" s="101"/>
      <c r="CJ71" s="101"/>
      <c r="CK71" s="101"/>
      <c r="CL71" s="101"/>
      <c r="CM71" s="101"/>
      <c r="CN71" s="101"/>
      <c r="CO71" s="101"/>
      <c r="CP71" s="101"/>
      <c r="CQ71" s="101"/>
      <c r="CR71" s="107">
        <f t="shared" si="22"/>
        <v>579390</v>
      </c>
      <c r="CS71" s="107">
        <f t="shared" si="23"/>
        <v>608719.625</v>
      </c>
      <c r="CT71" s="108">
        <f t="shared" si="24"/>
        <v>86481.087261295645</v>
      </c>
      <c r="CU71" s="65">
        <f t="shared" ref="CU71:CU93" si="41">CT71/CS71</f>
        <v>0.1420704766357675</v>
      </c>
      <c r="CV71" s="66">
        <f t="shared" ref="CV71:CV93" si="42">CX71/1.19</f>
        <v>511529.4117647059</v>
      </c>
      <c r="CW71" s="66">
        <f t="shared" ref="CW71:CW93" si="43">CV71*19%</f>
        <v>97190.588235294126</v>
      </c>
      <c r="CX71" s="109">
        <f t="shared" si="28"/>
        <v>608720</v>
      </c>
      <c r="CY71" s="109">
        <f t="shared" si="29"/>
        <v>608720</v>
      </c>
      <c r="CZ71" s="110" t="s">
        <v>903</v>
      </c>
    </row>
    <row r="72" spans="1:104" ht="68" x14ac:dyDescent="0.2">
      <c r="A72" s="63">
        <v>67</v>
      </c>
      <c r="B72" s="150" t="s">
        <v>476</v>
      </c>
      <c r="C72" s="122" t="s">
        <v>477</v>
      </c>
      <c r="D72" s="105" t="s">
        <v>232</v>
      </c>
      <c r="E72" s="105">
        <v>1</v>
      </c>
      <c r="F72" s="27"/>
      <c r="G72" s="27"/>
      <c r="H72" s="27"/>
      <c r="I72" s="27"/>
      <c r="J72" s="27"/>
      <c r="K72" s="27"/>
      <c r="L72" s="27"/>
      <c r="M72" s="27"/>
      <c r="N72" s="27"/>
      <c r="O72" s="27"/>
      <c r="P72" s="27"/>
      <c r="Q72" s="27"/>
      <c r="R72" s="27"/>
      <c r="S72" s="27"/>
      <c r="T72" s="27"/>
      <c r="U72" s="27"/>
      <c r="V72" s="27"/>
      <c r="W72" s="27"/>
      <c r="X72" s="27"/>
      <c r="Y72" s="27"/>
      <c r="Z72" s="27"/>
      <c r="AA72" s="27"/>
      <c r="AB72" s="27"/>
      <c r="AC72" s="27"/>
      <c r="AD72" s="27"/>
      <c r="AE72" s="27"/>
      <c r="AF72" s="27"/>
      <c r="AG72" s="27"/>
      <c r="AH72" s="27"/>
      <c r="AI72" s="27"/>
      <c r="AJ72" s="27"/>
      <c r="AK72" s="27"/>
      <c r="AL72" s="27"/>
      <c r="AM72" s="27"/>
      <c r="AN72" s="27"/>
      <c r="AO72" s="27"/>
      <c r="AP72" s="27"/>
      <c r="AQ72" s="27"/>
      <c r="AR72" s="27"/>
      <c r="AS72" s="27"/>
      <c r="AT72" s="27"/>
      <c r="AU72" s="27"/>
      <c r="AV72" s="27"/>
      <c r="AW72" s="27"/>
      <c r="AX72" s="27"/>
      <c r="AY72" s="27"/>
      <c r="AZ72" s="27"/>
      <c r="BA72" s="27"/>
      <c r="BB72" s="27"/>
      <c r="BC72" s="27"/>
      <c r="BD72" s="27"/>
      <c r="BE72" s="27"/>
      <c r="BF72" s="45">
        <v>399000</v>
      </c>
      <c r="BG72" s="27"/>
      <c r="BH72" s="27"/>
      <c r="BI72" s="27"/>
      <c r="BJ72" s="27"/>
      <c r="BK72" s="45">
        <v>380000</v>
      </c>
      <c r="BL72" s="45"/>
      <c r="BM72" s="45"/>
      <c r="BN72" s="45"/>
      <c r="BO72" s="45"/>
      <c r="BP72" s="45"/>
      <c r="BQ72" s="45"/>
      <c r="BR72" s="45"/>
      <c r="BS72" s="45"/>
      <c r="BT72" s="45"/>
      <c r="BU72" s="45"/>
      <c r="BV72" s="45"/>
      <c r="BW72" s="45"/>
      <c r="BX72" s="45" t="s">
        <v>1031</v>
      </c>
      <c r="BY72" s="45"/>
      <c r="BZ72" s="45"/>
      <c r="CA72" s="101"/>
      <c r="CB72" s="101"/>
      <c r="CC72" s="101"/>
      <c r="CD72" s="101"/>
      <c r="CE72" s="101"/>
      <c r="CF72" s="101"/>
      <c r="CG72" s="101"/>
      <c r="CH72" s="101"/>
      <c r="CI72" s="101"/>
      <c r="CJ72" s="101"/>
      <c r="CK72" s="101"/>
      <c r="CL72" s="101"/>
      <c r="CM72" s="101"/>
      <c r="CN72" s="101"/>
      <c r="CO72" s="101"/>
      <c r="CP72" s="101"/>
      <c r="CQ72" s="101"/>
      <c r="CR72" s="107">
        <f t="shared" si="22"/>
        <v>389500</v>
      </c>
      <c r="CS72" s="107">
        <f t="shared" si="23"/>
        <v>389500</v>
      </c>
      <c r="CT72" s="108">
        <f t="shared" si="24"/>
        <v>13435.028842544403</v>
      </c>
      <c r="CU72" s="65">
        <f t="shared" si="41"/>
        <v>3.4493013716416956E-2</v>
      </c>
      <c r="CV72" s="66">
        <f t="shared" si="42"/>
        <v>327310.92436974793</v>
      </c>
      <c r="CW72" s="66">
        <f t="shared" si="43"/>
        <v>62189.075630252104</v>
      </c>
      <c r="CX72" s="109">
        <f t="shared" si="28"/>
        <v>389500</v>
      </c>
      <c r="CY72" s="109">
        <f t="shared" si="29"/>
        <v>389500</v>
      </c>
      <c r="CZ72" s="110" t="s">
        <v>903</v>
      </c>
    </row>
    <row r="73" spans="1:104" ht="102" x14ac:dyDescent="0.2">
      <c r="A73" s="63">
        <v>68</v>
      </c>
      <c r="B73" s="150" t="s">
        <v>478</v>
      </c>
      <c r="C73" s="122" t="s">
        <v>479</v>
      </c>
      <c r="D73" s="105" t="s">
        <v>232</v>
      </c>
      <c r="E73" s="105">
        <v>1</v>
      </c>
      <c r="F73" s="27"/>
      <c r="G73" s="27"/>
      <c r="H73" s="27"/>
      <c r="I73" s="27"/>
      <c r="J73" s="27"/>
      <c r="K73" s="27"/>
      <c r="L73" s="27"/>
      <c r="M73" s="27"/>
      <c r="N73" s="27"/>
      <c r="O73" s="27"/>
      <c r="P73" s="27"/>
      <c r="Q73" s="27"/>
      <c r="R73" s="27"/>
      <c r="S73" s="27"/>
      <c r="T73" s="27"/>
      <c r="U73" s="27"/>
      <c r="V73" s="27"/>
      <c r="W73" s="27"/>
      <c r="X73" s="27"/>
      <c r="Y73" s="27"/>
      <c r="Z73" s="27"/>
      <c r="AA73" s="27"/>
      <c r="AB73" s="27"/>
      <c r="AC73" s="27"/>
      <c r="AD73" s="27"/>
      <c r="AE73" s="27"/>
      <c r="AF73" s="27"/>
      <c r="AG73" s="27"/>
      <c r="AH73" s="27"/>
      <c r="AI73" s="27"/>
      <c r="AJ73" s="27"/>
      <c r="AK73" s="27"/>
      <c r="AL73" s="27"/>
      <c r="AM73" s="27"/>
      <c r="AN73" s="27"/>
      <c r="AO73" s="27"/>
      <c r="AP73" s="27"/>
      <c r="AQ73" s="27"/>
      <c r="AR73" s="27"/>
      <c r="AS73" s="27"/>
      <c r="AT73" s="27"/>
      <c r="AU73" s="27"/>
      <c r="AV73" s="27"/>
      <c r="AW73" s="27"/>
      <c r="AX73" s="27"/>
      <c r="AY73" s="27"/>
      <c r="AZ73" s="27"/>
      <c r="BA73" s="27"/>
      <c r="BB73" s="27"/>
      <c r="BC73" s="27"/>
      <c r="BD73" s="27"/>
      <c r="BE73" s="27"/>
      <c r="BF73" s="27"/>
      <c r="BG73" s="27"/>
      <c r="BH73" s="27"/>
      <c r="BI73" s="27"/>
      <c r="BJ73" s="27"/>
      <c r="BK73" s="27"/>
      <c r="BL73" s="27"/>
      <c r="BM73" s="27"/>
      <c r="BN73" s="27"/>
      <c r="BO73" s="27"/>
      <c r="BP73" s="27"/>
      <c r="BQ73" s="27"/>
      <c r="BR73" s="27"/>
      <c r="BS73" s="27"/>
      <c r="BT73" s="27"/>
      <c r="BU73" s="45"/>
      <c r="BV73" s="45"/>
      <c r="BW73" s="45"/>
      <c r="BX73" s="45">
        <v>2619785</v>
      </c>
      <c r="BY73" s="45">
        <v>2558500</v>
      </c>
      <c r="BZ73" s="45"/>
      <c r="CA73" s="101"/>
      <c r="CB73" s="101"/>
      <c r="CC73" s="101"/>
      <c r="CD73" s="101"/>
      <c r="CE73" s="101"/>
      <c r="CF73" s="101"/>
      <c r="CG73" s="101"/>
      <c r="CH73" s="101"/>
      <c r="CI73" s="101"/>
      <c r="CJ73" s="101"/>
      <c r="CK73" s="101"/>
      <c r="CL73" s="101"/>
      <c r="CM73" s="101"/>
      <c r="CN73" s="101"/>
      <c r="CO73" s="101"/>
      <c r="CP73" s="101"/>
      <c r="CQ73" s="101"/>
      <c r="CR73" s="107">
        <f t="shared" si="22"/>
        <v>2589142.5</v>
      </c>
      <c r="CS73" s="107">
        <f t="shared" si="23"/>
        <v>2589142.5</v>
      </c>
      <c r="CT73" s="108">
        <f t="shared" si="24"/>
        <v>43335.039085017568</v>
      </c>
      <c r="CU73" s="65">
        <f t="shared" si="41"/>
        <v>1.6737216698199334E-2</v>
      </c>
      <c r="CV73" s="66">
        <f t="shared" si="42"/>
        <v>2175750.4201680673</v>
      </c>
      <c r="CW73" s="66">
        <f t="shared" si="43"/>
        <v>413392.57983193279</v>
      </c>
      <c r="CX73" s="109">
        <f t="shared" si="28"/>
        <v>2589143</v>
      </c>
      <c r="CY73" s="109">
        <f t="shared" si="29"/>
        <v>2589143</v>
      </c>
      <c r="CZ73" s="110" t="s">
        <v>903</v>
      </c>
    </row>
    <row r="74" spans="1:104" ht="85" x14ac:dyDescent="0.2">
      <c r="A74" s="63">
        <v>69</v>
      </c>
      <c r="B74" s="150" t="s">
        <v>480</v>
      </c>
      <c r="C74" s="122" t="s">
        <v>1029</v>
      </c>
      <c r="D74" s="105" t="s">
        <v>232</v>
      </c>
      <c r="E74" s="105">
        <v>2</v>
      </c>
      <c r="F74" s="27"/>
      <c r="G74" s="27"/>
      <c r="H74" s="27"/>
      <c r="I74" s="27"/>
      <c r="J74" s="27"/>
      <c r="K74" s="27"/>
      <c r="L74" s="27"/>
      <c r="M74" s="27"/>
      <c r="N74" s="27"/>
      <c r="O74" s="27"/>
      <c r="P74" s="27"/>
      <c r="Q74" s="27"/>
      <c r="R74" s="27"/>
      <c r="S74" s="27"/>
      <c r="T74" s="27"/>
      <c r="U74" s="27"/>
      <c r="V74" s="27"/>
      <c r="W74" s="27"/>
      <c r="X74" s="27"/>
      <c r="Y74" s="27"/>
      <c r="Z74" s="27"/>
      <c r="AA74" s="27"/>
      <c r="AB74" s="27"/>
      <c r="AC74" s="27"/>
      <c r="AD74" s="27"/>
      <c r="AE74" s="27"/>
      <c r="AF74" s="27"/>
      <c r="AG74" s="27"/>
      <c r="AH74" s="27"/>
      <c r="AI74" s="27"/>
      <c r="AJ74" s="27"/>
      <c r="AK74" s="27"/>
      <c r="AL74" s="27"/>
      <c r="AM74" s="27"/>
      <c r="AN74" s="27"/>
      <c r="AO74" s="27"/>
      <c r="AP74" s="27"/>
      <c r="AQ74" s="27"/>
      <c r="AR74" s="27"/>
      <c r="AS74" s="27"/>
      <c r="AT74" s="27"/>
      <c r="AU74" s="27"/>
      <c r="AV74" s="27"/>
      <c r="AW74" s="27"/>
      <c r="AX74" s="27"/>
      <c r="AY74" s="27"/>
      <c r="AZ74" s="27"/>
      <c r="BA74" s="27"/>
      <c r="BB74" s="27"/>
      <c r="BC74" s="27"/>
      <c r="BD74" s="27"/>
      <c r="BE74" s="27"/>
      <c r="BF74" s="27"/>
      <c r="BG74" s="27"/>
      <c r="BH74" s="27"/>
      <c r="BI74" s="27"/>
      <c r="BJ74" s="27"/>
      <c r="BK74" s="27"/>
      <c r="BL74" s="27"/>
      <c r="BM74" s="27"/>
      <c r="BN74" s="27"/>
      <c r="BO74" s="27"/>
      <c r="BP74" s="27"/>
      <c r="BQ74" s="27"/>
      <c r="BR74" s="27"/>
      <c r="BS74" s="27"/>
      <c r="BT74" s="27"/>
      <c r="BU74" s="45">
        <v>4193277</v>
      </c>
      <c r="BV74" s="45"/>
      <c r="BW74" s="45">
        <f>5900000*1.19</f>
        <v>7021000</v>
      </c>
      <c r="BX74" s="45">
        <v>4531520</v>
      </c>
      <c r="BY74" s="45">
        <v>4403000</v>
      </c>
      <c r="BZ74" s="45"/>
      <c r="CA74" s="101"/>
      <c r="CB74" s="101"/>
      <c r="CC74" s="101"/>
      <c r="CD74" s="101"/>
      <c r="CE74" s="101"/>
      <c r="CF74" s="101"/>
      <c r="CG74" s="101"/>
      <c r="CH74" s="101"/>
      <c r="CI74" s="101"/>
      <c r="CJ74" s="101"/>
      <c r="CK74" s="101"/>
      <c r="CL74" s="101"/>
      <c r="CM74" s="101"/>
      <c r="CN74" s="101"/>
      <c r="CO74" s="101"/>
      <c r="CP74" s="101"/>
      <c r="CQ74" s="101"/>
      <c r="CR74" s="107">
        <f t="shared" si="22"/>
        <v>4467260</v>
      </c>
      <c r="CS74" s="107">
        <f t="shared" si="23"/>
        <v>5037199.25</v>
      </c>
      <c r="CT74" s="108">
        <f t="shared" si="24"/>
        <v>1329860.9416434926</v>
      </c>
      <c r="CU74" s="65">
        <f t="shared" si="41"/>
        <v>0.2640080083477922</v>
      </c>
      <c r="CV74" s="66">
        <f t="shared" si="42"/>
        <v>3754000</v>
      </c>
      <c r="CW74" s="66">
        <f t="shared" si="43"/>
        <v>713260</v>
      </c>
      <c r="CX74" s="109">
        <f t="shared" si="28"/>
        <v>4467260</v>
      </c>
      <c r="CY74" s="109">
        <f t="shared" ref="CY74:CY105" si="44">CX74*E74</f>
        <v>8934520</v>
      </c>
      <c r="CZ74" s="110" t="s">
        <v>902</v>
      </c>
    </row>
    <row r="75" spans="1:104" ht="153" x14ac:dyDescent="0.2">
      <c r="A75" s="63">
        <v>70</v>
      </c>
      <c r="B75" s="150" t="s">
        <v>1125</v>
      </c>
      <c r="C75" s="122" t="s">
        <v>1050</v>
      </c>
      <c r="D75" s="105" t="s">
        <v>232</v>
      </c>
      <c r="E75" s="105">
        <v>1</v>
      </c>
      <c r="F75" s="27"/>
      <c r="G75" s="27"/>
      <c r="H75" s="27"/>
      <c r="I75" s="27"/>
      <c r="J75" s="27"/>
      <c r="K75" s="27"/>
      <c r="L75" s="27"/>
      <c r="M75" s="27"/>
      <c r="N75" s="27"/>
      <c r="O75" s="27"/>
      <c r="P75" s="27"/>
      <c r="Q75" s="27"/>
      <c r="R75" s="27"/>
      <c r="S75" s="27"/>
      <c r="T75" s="27"/>
      <c r="U75" s="27"/>
      <c r="V75" s="27"/>
      <c r="W75" s="27"/>
      <c r="X75" s="27"/>
      <c r="Y75" s="27"/>
      <c r="Z75" s="27"/>
      <c r="AA75" s="27"/>
      <c r="AB75" s="27"/>
      <c r="AC75" s="27"/>
      <c r="AD75" s="27"/>
      <c r="AE75" s="27"/>
      <c r="AF75" s="27"/>
      <c r="AG75" s="27"/>
      <c r="AH75" s="27"/>
      <c r="AI75" s="27"/>
      <c r="AJ75" s="27"/>
      <c r="AK75" s="27"/>
      <c r="AL75" s="27"/>
      <c r="AM75" s="27"/>
      <c r="AN75" s="27"/>
      <c r="AO75" s="27"/>
      <c r="AP75" s="27"/>
      <c r="AQ75" s="27"/>
      <c r="AR75" s="27"/>
      <c r="AS75" s="27"/>
      <c r="AT75" s="27"/>
      <c r="AU75" s="27"/>
      <c r="AV75" s="27"/>
      <c r="AW75" s="27"/>
      <c r="AX75" s="27"/>
      <c r="AY75" s="27"/>
      <c r="AZ75" s="27"/>
      <c r="BA75" s="27"/>
      <c r="BB75" s="27"/>
      <c r="BC75" s="27"/>
      <c r="BD75" s="27"/>
      <c r="BE75" s="27"/>
      <c r="BF75" s="45">
        <v>6959000</v>
      </c>
      <c r="BG75" s="27"/>
      <c r="BH75" s="27"/>
      <c r="BI75" s="27"/>
      <c r="BJ75" s="27"/>
      <c r="BK75" s="27"/>
      <c r="BL75" s="27"/>
      <c r="BM75" s="27"/>
      <c r="BN75" s="27"/>
      <c r="BO75" s="27"/>
      <c r="BP75" s="27"/>
      <c r="BQ75" s="27"/>
      <c r="BR75" s="27"/>
      <c r="BS75" s="27"/>
      <c r="BT75" s="27"/>
      <c r="BU75" s="27"/>
      <c r="BV75" s="27"/>
      <c r="BW75" s="27"/>
      <c r="BX75" s="45">
        <v>7140000</v>
      </c>
      <c r="BY75" s="45">
        <v>6545000</v>
      </c>
      <c r="BZ75" s="45"/>
      <c r="CA75" s="101"/>
      <c r="CB75" s="101"/>
      <c r="CC75" s="101"/>
      <c r="CD75" s="101"/>
      <c r="CE75" s="101"/>
      <c r="CF75" s="101"/>
      <c r="CG75" s="101"/>
      <c r="CH75" s="101"/>
      <c r="CI75" s="101"/>
      <c r="CJ75" s="101"/>
      <c r="CK75" s="101"/>
      <c r="CL75" s="101"/>
      <c r="CM75" s="101"/>
      <c r="CN75" s="101"/>
      <c r="CO75" s="101"/>
      <c r="CP75" s="101"/>
      <c r="CQ75" s="101"/>
      <c r="CR75" s="107">
        <f t="shared" si="22"/>
        <v>6959000</v>
      </c>
      <c r="CS75" s="107">
        <f t="shared" si="23"/>
        <v>6881333.333333333</v>
      </c>
      <c r="CT75" s="108">
        <f t="shared" si="24"/>
        <v>305008.74304408609</v>
      </c>
      <c r="CU75" s="65">
        <f t="shared" si="41"/>
        <v>4.4324076202880175E-2</v>
      </c>
      <c r="CV75" s="66">
        <f t="shared" si="42"/>
        <v>5782633.6134453788</v>
      </c>
      <c r="CW75" s="66">
        <f t="shared" si="43"/>
        <v>1098700.3865546221</v>
      </c>
      <c r="CX75" s="109">
        <f t="shared" si="28"/>
        <v>6881334</v>
      </c>
      <c r="CY75" s="109">
        <f t="shared" si="44"/>
        <v>6881334</v>
      </c>
      <c r="CZ75" s="110" t="s">
        <v>903</v>
      </c>
    </row>
    <row r="76" spans="1:104" ht="119" x14ac:dyDescent="0.2">
      <c r="A76" s="63">
        <v>71</v>
      </c>
      <c r="B76" s="150" t="s">
        <v>481</v>
      </c>
      <c r="C76" s="122" t="s">
        <v>1051</v>
      </c>
      <c r="D76" s="105" t="s">
        <v>232</v>
      </c>
      <c r="E76" s="105">
        <v>1</v>
      </c>
      <c r="F76" s="27"/>
      <c r="G76" s="27"/>
      <c r="H76" s="27"/>
      <c r="I76" s="27"/>
      <c r="J76" s="27"/>
      <c r="K76" s="27"/>
      <c r="L76" s="27"/>
      <c r="M76" s="27"/>
      <c r="N76" s="27"/>
      <c r="O76" s="27"/>
      <c r="P76" s="27"/>
      <c r="Q76" s="27"/>
      <c r="R76" s="27"/>
      <c r="S76" s="27"/>
      <c r="T76" s="27"/>
      <c r="U76" s="27"/>
      <c r="V76" s="27"/>
      <c r="W76" s="27"/>
      <c r="X76" s="27"/>
      <c r="Y76" s="27"/>
      <c r="Z76" s="27"/>
      <c r="AA76" s="27"/>
      <c r="AB76" s="27"/>
      <c r="AC76" s="27"/>
      <c r="AD76" s="27"/>
      <c r="AE76" s="27"/>
      <c r="AF76" s="27"/>
      <c r="AG76" s="27"/>
      <c r="AH76" s="27"/>
      <c r="AI76" s="27"/>
      <c r="AJ76" s="27"/>
      <c r="AK76" s="27"/>
      <c r="AL76" s="27"/>
      <c r="AM76" s="27"/>
      <c r="AN76" s="27"/>
      <c r="AO76" s="27"/>
      <c r="AP76" s="27"/>
      <c r="AQ76" s="27"/>
      <c r="AR76" s="27"/>
      <c r="AS76" s="27"/>
      <c r="AT76" s="27"/>
      <c r="AU76" s="27"/>
      <c r="AV76" s="27"/>
      <c r="AW76" s="27"/>
      <c r="AX76" s="27"/>
      <c r="AY76" s="27"/>
      <c r="AZ76" s="27"/>
      <c r="BA76" s="27"/>
      <c r="BB76" s="27"/>
      <c r="BC76" s="27"/>
      <c r="BD76" s="27"/>
      <c r="BE76" s="27"/>
      <c r="BF76" s="27"/>
      <c r="BG76" s="27"/>
      <c r="BH76" s="27"/>
      <c r="BI76" s="27"/>
      <c r="BJ76" s="27"/>
      <c r="BK76" s="27"/>
      <c r="BL76" s="27"/>
      <c r="BM76" s="27"/>
      <c r="BN76" s="27"/>
      <c r="BO76" s="27"/>
      <c r="BP76" s="27"/>
      <c r="BQ76" s="27"/>
      <c r="BR76" s="27"/>
      <c r="BS76" s="27"/>
      <c r="BT76" s="27"/>
      <c r="BU76" s="27"/>
      <c r="BV76" s="27"/>
      <c r="BW76" s="27"/>
      <c r="BX76" s="45">
        <v>6797280</v>
      </c>
      <c r="BY76" s="45">
        <v>6854400</v>
      </c>
      <c r="BZ76" s="45"/>
      <c r="CA76" s="101"/>
      <c r="CB76" s="101"/>
      <c r="CC76" s="101"/>
      <c r="CD76" s="101"/>
      <c r="CE76" s="101"/>
      <c r="CF76" s="101"/>
      <c r="CG76" s="101"/>
      <c r="CH76" s="101"/>
      <c r="CI76" s="101"/>
      <c r="CJ76" s="101"/>
      <c r="CK76" s="101"/>
      <c r="CL76" s="101"/>
      <c r="CM76" s="101"/>
      <c r="CN76" s="101"/>
      <c r="CO76" s="101"/>
      <c r="CP76" s="101"/>
      <c r="CQ76" s="101"/>
      <c r="CR76" s="107">
        <f t="shared" si="22"/>
        <v>6825840</v>
      </c>
      <c r="CS76" s="107">
        <f t="shared" si="23"/>
        <v>6825840</v>
      </c>
      <c r="CT76" s="108">
        <f t="shared" si="24"/>
        <v>40389.939341375597</v>
      </c>
      <c r="CU76" s="65">
        <f t="shared" si="41"/>
        <v>5.9172115580464228E-3</v>
      </c>
      <c r="CV76" s="66">
        <f t="shared" si="42"/>
        <v>5736000</v>
      </c>
      <c r="CW76" s="66">
        <f t="shared" si="43"/>
        <v>1089840</v>
      </c>
      <c r="CX76" s="109">
        <f t="shared" si="28"/>
        <v>6825840</v>
      </c>
      <c r="CY76" s="109">
        <f t="shared" si="44"/>
        <v>6825840</v>
      </c>
      <c r="CZ76" s="110" t="s">
        <v>903</v>
      </c>
    </row>
    <row r="77" spans="1:104" ht="85" x14ac:dyDescent="0.2">
      <c r="A77" s="63">
        <v>72</v>
      </c>
      <c r="B77" s="150" t="s">
        <v>1032</v>
      </c>
      <c r="C77" s="122" t="s">
        <v>1052</v>
      </c>
      <c r="D77" s="105" t="s">
        <v>232</v>
      </c>
      <c r="E77" s="105">
        <v>1</v>
      </c>
      <c r="F77" s="27"/>
      <c r="G77" s="27"/>
      <c r="H77" s="27"/>
      <c r="I77" s="27"/>
      <c r="J77" s="27"/>
      <c r="K77" s="27"/>
      <c r="L77" s="27"/>
      <c r="M77" s="27"/>
      <c r="N77" s="27"/>
      <c r="O77" s="27"/>
      <c r="P77" s="27"/>
      <c r="Q77" s="27"/>
      <c r="R77" s="27"/>
      <c r="S77" s="27"/>
      <c r="T77" s="27"/>
      <c r="U77" s="27"/>
      <c r="V77" s="27"/>
      <c r="W77" s="27"/>
      <c r="X77" s="27"/>
      <c r="Y77" s="27"/>
      <c r="Z77" s="27"/>
      <c r="AA77" s="27"/>
      <c r="AB77" s="27"/>
      <c r="AC77" s="27"/>
      <c r="AD77" s="27"/>
      <c r="AE77" s="27"/>
      <c r="AF77" s="27"/>
      <c r="AG77" s="27"/>
      <c r="AH77" s="27"/>
      <c r="AI77" s="27"/>
      <c r="AJ77" s="27"/>
      <c r="AK77" s="27"/>
      <c r="AL77" s="27"/>
      <c r="AM77" s="27"/>
      <c r="AN77" s="27"/>
      <c r="AO77" s="27"/>
      <c r="AP77" s="27"/>
      <c r="AQ77" s="27"/>
      <c r="AR77" s="27"/>
      <c r="AS77" s="27"/>
      <c r="AT77" s="27"/>
      <c r="AU77" s="27"/>
      <c r="AV77" s="27"/>
      <c r="AW77" s="27"/>
      <c r="AX77" s="27"/>
      <c r="AY77" s="27"/>
      <c r="AZ77" s="27"/>
      <c r="BA77" s="27"/>
      <c r="BB77" s="27"/>
      <c r="BC77" s="27"/>
      <c r="BD77" s="27"/>
      <c r="BE77" s="27"/>
      <c r="BF77" s="45">
        <v>2589000</v>
      </c>
      <c r="BG77" s="27"/>
      <c r="BH77" s="27"/>
      <c r="BI77" s="27"/>
      <c r="BJ77" s="45"/>
      <c r="BK77" s="45">
        <v>2500000</v>
      </c>
      <c r="BL77" s="45"/>
      <c r="BM77" s="45"/>
      <c r="BN77" s="45"/>
      <c r="BO77" s="45">
        <v>1450000</v>
      </c>
      <c r="BP77" s="45"/>
      <c r="BQ77" s="45"/>
      <c r="BR77" s="45"/>
      <c r="BS77" s="45"/>
      <c r="BT77" s="45"/>
      <c r="BU77" s="45"/>
      <c r="BV77" s="45"/>
      <c r="BW77" s="45"/>
      <c r="BX77" s="45">
        <v>2320500</v>
      </c>
      <c r="BY77" s="45">
        <v>2380000</v>
      </c>
      <c r="BZ77" s="45"/>
      <c r="CA77" s="101"/>
      <c r="CB77" s="101"/>
      <c r="CC77" s="101"/>
      <c r="CD77" s="101"/>
      <c r="CE77" s="101"/>
      <c r="CF77" s="101"/>
      <c r="CG77" s="101"/>
      <c r="CH77" s="101"/>
      <c r="CI77" s="101"/>
      <c r="CJ77" s="101"/>
      <c r="CK77" s="101"/>
      <c r="CL77" s="101"/>
      <c r="CM77" s="101"/>
      <c r="CN77" s="101"/>
      <c r="CO77" s="101"/>
      <c r="CP77" s="101"/>
      <c r="CQ77" s="101"/>
      <c r="CR77" s="107">
        <f t="shared" si="22"/>
        <v>2380000</v>
      </c>
      <c r="CS77" s="107">
        <f t="shared" si="23"/>
        <v>2247900</v>
      </c>
      <c r="CT77" s="108">
        <f t="shared" si="24"/>
        <v>458058.1840770886</v>
      </c>
      <c r="CU77" s="65">
        <f t="shared" si="41"/>
        <v>0.20377160197388167</v>
      </c>
      <c r="CV77" s="66">
        <f t="shared" si="42"/>
        <v>2000000</v>
      </c>
      <c r="CW77" s="66">
        <f t="shared" si="43"/>
        <v>380000</v>
      </c>
      <c r="CX77" s="109">
        <f t="shared" si="28"/>
        <v>2380000</v>
      </c>
      <c r="CY77" s="109">
        <f t="shared" si="44"/>
        <v>2380000</v>
      </c>
      <c r="CZ77" s="110" t="s">
        <v>902</v>
      </c>
    </row>
    <row r="78" spans="1:104" ht="153" x14ac:dyDescent="0.2">
      <c r="A78" s="63">
        <v>73</v>
      </c>
      <c r="B78" s="150" t="s">
        <v>482</v>
      </c>
      <c r="C78" s="122" t="s">
        <v>1053</v>
      </c>
      <c r="D78" s="105" t="s">
        <v>232</v>
      </c>
      <c r="E78" s="105">
        <v>5</v>
      </c>
      <c r="F78" s="27"/>
      <c r="G78" s="27"/>
      <c r="H78" s="27"/>
      <c r="I78" s="27"/>
      <c r="J78" s="27"/>
      <c r="K78" s="27"/>
      <c r="L78" s="27"/>
      <c r="M78" s="27"/>
      <c r="N78" s="27"/>
      <c r="O78" s="27"/>
      <c r="P78" s="27"/>
      <c r="Q78" s="27"/>
      <c r="R78" s="27"/>
      <c r="S78" s="27"/>
      <c r="T78" s="27"/>
      <c r="U78" s="27"/>
      <c r="V78" s="27"/>
      <c r="W78" s="27"/>
      <c r="X78" s="27"/>
      <c r="Y78" s="27"/>
      <c r="Z78" s="27"/>
      <c r="AA78" s="27"/>
      <c r="AB78" s="27"/>
      <c r="AC78" s="27"/>
      <c r="AD78" s="27"/>
      <c r="AE78" s="27"/>
      <c r="AF78" s="27"/>
      <c r="AG78" s="27"/>
      <c r="AH78" s="27"/>
      <c r="AI78" s="27"/>
      <c r="AJ78" s="27"/>
      <c r="AK78" s="27"/>
      <c r="AL78" s="27"/>
      <c r="AM78" s="27"/>
      <c r="AN78" s="27"/>
      <c r="AO78" s="27"/>
      <c r="AP78" s="27"/>
      <c r="AQ78" s="27"/>
      <c r="AR78" s="27"/>
      <c r="AS78" s="27"/>
      <c r="AT78" s="27"/>
      <c r="AU78" s="27"/>
      <c r="AV78" s="27"/>
      <c r="AW78" s="27"/>
      <c r="AX78" s="27"/>
      <c r="AY78" s="27"/>
      <c r="AZ78" s="27"/>
      <c r="BA78" s="27"/>
      <c r="BB78" s="27"/>
      <c r="BC78" s="27"/>
      <c r="BD78" s="27"/>
      <c r="BE78" s="27"/>
      <c r="BF78" s="45"/>
      <c r="BG78" s="27"/>
      <c r="BH78" s="27"/>
      <c r="BI78" s="27"/>
      <c r="BJ78" s="45">
        <f>203782*1.05</f>
        <v>213971.1</v>
      </c>
      <c r="BK78" s="45">
        <v>280000</v>
      </c>
      <c r="BL78" s="45"/>
      <c r="BM78" s="45"/>
      <c r="BN78" s="45"/>
      <c r="BO78" s="45"/>
      <c r="BP78" s="45"/>
      <c r="BQ78" s="45"/>
      <c r="BR78" s="45"/>
      <c r="BS78" s="45"/>
      <c r="BT78" s="45"/>
      <c r="BU78" s="45"/>
      <c r="BV78" s="45"/>
      <c r="BW78" s="45"/>
      <c r="BX78" s="45">
        <v>205334.5</v>
      </c>
      <c r="BY78" s="45">
        <v>192780</v>
      </c>
      <c r="BZ78" s="45"/>
      <c r="CA78" s="101"/>
      <c r="CB78" s="101"/>
      <c r="CC78" s="101"/>
      <c r="CD78" s="101"/>
      <c r="CE78" s="101"/>
      <c r="CF78" s="101"/>
      <c r="CG78" s="101"/>
      <c r="CH78" s="101"/>
      <c r="CI78" s="101"/>
      <c r="CJ78" s="101"/>
      <c r="CK78" s="101"/>
      <c r="CL78" s="101"/>
      <c r="CM78" s="101"/>
      <c r="CN78" s="101"/>
      <c r="CO78" s="101"/>
      <c r="CP78" s="101"/>
      <c r="CQ78" s="101"/>
      <c r="CR78" s="107">
        <f t="shared" si="22"/>
        <v>209652.8</v>
      </c>
      <c r="CS78" s="107">
        <f t="shared" si="23"/>
        <v>223021.4</v>
      </c>
      <c r="CT78" s="108">
        <f t="shared" si="24"/>
        <v>38969.378977260232</v>
      </c>
      <c r="CU78" s="65">
        <f t="shared" si="41"/>
        <v>0.17473381019606296</v>
      </c>
      <c r="CV78" s="66">
        <f t="shared" si="42"/>
        <v>176178.99159663866</v>
      </c>
      <c r="CW78" s="66">
        <f t="shared" si="43"/>
        <v>33474.008403361346</v>
      </c>
      <c r="CX78" s="109">
        <f t="shared" si="28"/>
        <v>209653</v>
      </c>
      <c r="CY78" s="109">
        <f t="shared" si="44"/>
        <v>1048265</v>
      </c>
      <c r="CZ78" s="110" t="s">
        <v>902</v>
      </c>
    </row>
    <row r="79" spans="1:104" ht="153" x14ac:dyDescent="0.2">
      <c r="A79" s="63">
        <v>74</v>
      </c>
      <c r="B79" s="150" t="s">
        <v>483</v>
      </c>
      <c r="C79" s="122" t="s">
        <v>484</v>
      </c>
      <c r="D79" s="105" t="s">
        <v>232</v>
      </c>
      <c r="E79" s="105">
        <v>5</v>
      </c>
      <c r="F79" s="27"/>
      <c r="G79" s="27"/>
      <c r="H79" s="27"/>
      <c r="I79" s="27"/>
      <c r="J79" s="27"/>
      <c r="K79" s="27"/>
      <c r="L79" s="27"/>
      <c r="M79" s="27"/>
      <c r="N79" s="27"/>
      <c r="O79" s="27"/>
      <c r="P79" s="27"/>
      <c r="Q79" s="27"/>
      <c r="R79" s="27"/>
      <c r="S79" s="27"/>
      <c r="T79" s="27"/>
      <c r="U79" s="27"/>
      <c r="V79" s="27"/>
      <c r="W79" s="27"/>
      <c r="X79" s="27"/>
      <c r="Y79" s="27"/>
      <c r="Z79" s="27"/>
      <c r="AA79" s="27"/>
      <c r="AB79" s="27"/>
      <c r="AC79" s="27"/>
      <c r="AD79" s="27"/>
      <c r="AE79" s="27"/>
      <c r="AF79" s="27"/>
      <c r="AG79" s="27"/>
      <c r="AH79" s="27"/>
      <c r="AI79" s="27"/>
      <c r="AJ79" s="27"/>
      <c r="AK79" s="27"/>
      <c r="AL79" s="27"/>
      <c r="AM79" s="27"/>
      <c r="AN79" s="27"/>
      <c r="AO79" s="27"/>
      <c r="AP79" s="27"/>
      <c r="AQ79" s="27"/>
      <c r="AR79" s="27"/>
      <c r="AS79" s="27"/>
      <c r="AT79" s="27"/>
      <c r="AU79" s="27"/>
      <c r="AV79" s="27"/>
      <c r="AW79" s="27"/>
      <c r="AX79" s="27"/>
      <c r="AY79" s="27"/>
      <c r="AZ79" s="27"/>
      <c r="BA79" s="27"/>
      <c r="BB79" s="27"/>
      <c r="BC79" s="27"/>
      <c r="BD79" s="27"/>
      <c r="BE79" s="27"/>
      <c r="BF79" s="27"/>
      <c r="BG79" s="27"/>
      <c r="BH79" s="27"/>
      <c r="BI79" s="27"/>
      <c r="BJ79" s="27"/>
      <c r="BK79" s="27"/>
      <c r="BL79" s="27"/>
      <c r="BM79" s="27"/>
      <c r="BN79" s="27"/>
      <c r="BO79" s="27"/>
      <c r="BP79" s="27"/>
      <c r="BQ79" s="27"/>
      <c r="BR79" s="27"/>
      <c r="BS79" s="54">
        <v>110670</v>
      </c>
      <c r="BT79" s="54"/>
      <c r="BU79" s="54"/>
      <c r="BV79" s="54"/>
      <c r="BW79" s="54"/>
      <c r="BX79" s="54">
        <v>92046.5</v>
      </c>
      <c r="BY79" s="54">
        <v>86870</v>
      </c>
      <c r="BZ79" s="54"/>
      <c r="CA79" s="102"/>
      <c r="CB79" s="102"/>
      <c r="CC79" s="102"/>
      <c r="CD79" s="102"/>
      <c r="CE79" s="102"/>
      <c r="CF79" s="102"/>
      <c r="CG79" s="102"/>
      <c r="CH79" s="102"/>
      <c r="CI79" s="102"/>
      <c r="CJ79" s="102"/>
      <c r="CK79" s="102"/>
      <c r="CL79" s="102"/>
      <c r="CM79" s="102"/>
      <c r="CN79" s="102"/>
      <c r="CO79" s="102"/>
      <c r="CP79" s="102"/>
      <c r="CQ79" s="102"/>
      <c r="CR79" s="107">
        <f t="shared" si="22"/>
        <v>92046.5</v>
      </c>
      <c r="CS79" s="107">
        <f t="shared" si="23"/>
        <v>96528.833333333328</v>
      </c>
      <c r="CT79" s="108">
        <f t="shared" si="24"/>
        <v>12517.127629106208</v>
      </c>
      <c r="CU79" s="65">
        <f t="shared" si="41"/>
        <v>0.12967242218583611</v>
      </c>
      <c r="CV79" s="66">
        <f t="shared" si="42"/>
        <v>81116.806722689085</v>
      </c>
      <c r="CW79" s="66">
        <f t="shared" si="43"/>
        <v>15412.193277310926</v>
      </c>
      <c r="CX79" s="109">
        <f t="shared" si="28"/>
        <v>96529</v>
      </c>
      <c r="CY79" s="109">
        <f t="shared" si="44"/>
        <v>482645</v>
      </c>
      <c r="CZ79" s="110" t="s">
        <v>903</v>
      </c>
    </row>
    <row r="80" spans="1:104" ht="79.25" customHeight="1" x14ac:dyDescent="0.2">
      <c r="A80" s="63">
        <v>75</v>
      </c>
      <c r="B80" s="150" t="s">
        <v>485</v>
      </c>
      <c r="C80" s="122" t="s">
        <v>1054</v>
      </c>
      <c r="D80" s="105" t="s">
        <v>232</v>
      </c>
      <c r="E80" s="105">
        <v>8</v>
      </c>
      <c r="F80" s="27"/>
      <c r="G80" s="27"/>
      <c r="H80" s="27"/>
      <c r="I80" s="27"/>
      <c r="J80" s="27"/>
      <c r="K80" s="27"/>
      <c r="L80" s="27"/>
      <c r="M80" s="27"/>
      <c r="N80" s="27"/>
      <c r="O80" s="27"/>
      <c r="P80" s="27"/>
      <c r="Q80" s="27"/>
      <c r="R80" s="27"/>
      <c r="S80" s="27"/>
      <c r="T80" s="27"/>
      <c r="U80" s="27"/>
      <c r="V80" s="27"/>
      <c r="W80" s="27"/>
      <c r="X80" s="27"/>
      <c r="Y80" s="27"/>
      <c r="Z80" s="27"/>
      <c r="AA80" s="27"/>
      <c r="AB80" s="27"/>
      <c r="AC80" s="27"/>
      <c r="AD80" s="27"/>
      <c r="AE80" s="27"/>
      <c r="AF80" s="27"/>
      <c r="AG80" s="27"/>
      <c r="AH80" s="27"/>
      <c r="AI80" s="27"/>
      <c r="AJ80" s="27"/>
      <c r="AK80" s="27"/>
      <c r="AL80" s="27"/>
      <c r="AM80" s="27"/>
      <c r="AN80" s="27"/>
      <c r="AO80" s="27"/>
      <c r="AP80" s="27"/>
      <c r="AQ80" s="27"/>
      <c r="AR80" s="27"/>
      <c r="AS80" s="27"/>
      <c r="AT80" s="27"/>
      <c r="AU80" s="27"/>
      <c r="AV80" s="27"/>
      <c r="AW80" s="27"/>
      <c r="AX80" s="27"/>
      <c r="AY80" s="27"/>
      <c r="AZ80" s="27"/>
      <c r="BA80" s="27"/>
      <c r="BB80" s="27"/>
      <c r="BC80" s="27"/>
      <c r="BD80" s="27"/>
      <c r="BE80" s="27"/>
      <c r="BF80" s="27"/>
      <c r="BG80" s="27"/>
      <c r="BH80" s="27"/>
      <c r="BI80" s="27"/>
      <c r="BJ80" s="27"/>
      <c r="BK80" s="27"/>
      <c r="BL80" s="27"/>
      <c r="BM80" s="27"/>
      <c r="BN80" s="27"/>
      <c r="BO80" s="27"/>
      <c r="BP80" s="27"/>
      <c r="BQ80" s="27"/>
      <c r="BR80" s="27"/>
      <c r="BS80" s="27"/>
      <c r="BT80" s="45">
        <f>22080*1.19</f>
        <v>26275.199999999997</v>
      </c>
      <c r="BU80" s="45"/>
      <c r="BV80" s="45"/>
      <c r="BW80" s="45"/>
      <c r="BX80" s="45">
        <v>39650.799999999996</v>
      </c>
      <c r="BY80" s="45">
        <v>39270</v>
      </c>
      <c r="BZ80" s="45"/>
      <c r="CA80" s="101"/>
      <c r="CB80" s="101"/>
      <c r="CC80" s="101"/>
      <c r="CD80" s="101"/>
      <c r="CE80" s="101"/>
      <c r="CF80" s="101"/>
      <c r="CG80" s="101"/>
      <c r="CH80" s="101"/>
      <c r="CI80" s="101"/>
      <c r="CJ80" s="101"/>
      <c r="CK80" s="101"/>
      <c r="CL80" s="101"/>
      <c r="CM80" s="101"/>
      <c r="CN80" s="101"/>
      <c r="CO80" s="101"/>
      <c r="CP80" s="101"/>
      <c r="CQ80" s="101"/>
      <c r="CR80" s="107">
        <f t="shared" si="22"/>
        <v>39270</v>
      </c>
      <c r="CS80" s="107">
        <f t="shared" si="23"/>
        <v>35065.333333333336</v>
      </c>
      <c r="CT80" s="108">
        <f t="shared" si="24"/>
        <v>7614.8594979377613</v>
      </c>
      <c r="CU80" s="65">
        <f t="shared" si="41"/>
        <v>0.21716204507598466</v>
      </c>
      <c r="CV80" s="66">
        <f t="shared" si="42"/>
        <v>33000</v>
      </c>
      <c r="CW80" s="66">
        <f t="shared" si="43"/>
        <v>6270</v>
      </c>
      <c r="CX80" s="109">
        <f t="shared" si="28"/>
        <v>39270</v>
      </c>
      <c r="CY80" s="109">
        <f t="shared" si="44"/>
        <v>314160</v>
      </c>
      <c r="CZ80" s="110" t="s">
        <v>902</v>
      </c>
    </row>
    <row r="81" spans="1:104" ht="68" x14ac:dyDescent="0.2">
      <c r="A81" s="63">
        <v>76</v>
      </c>
      <c r="B81" s="150" t="s">
        <v>486</v>
      </c>
      <c r="C81" s="122" t="s">
        <v>487</v>
      </c>
      <c r="D81" s="105" t="s">
        <v>232</v>
      </c>
      <c r="E81" s="105">
        <v>10</v>
      </c>
      <c r="F81" s="27"/>
      <c r="G81" s="27"/>
      <c r="H81" s="27"/>
      <c r="I81" s="27"/>
      <c r="J81" s="27"/>
      <c r="K81" s="27"/>
      <c r="L81" s="27"/>
      <c r="M81" s="27"/>
      <c r="N81" s="27"/>
      <c r="O81" s="27"/>
      <c r="P81" s="27"/>
      <c r="Q81" s="27"/>
      <c r="R81" s="27"/>
      <c r="S81" s="27"/>
      <c r="T81" s="27"/>
      <c r="U81" s="27"/>
      <c r="V81" s="27"/>
      <c r="W81" s="27"/>
      <c r="X81" s="27"/>
      <c r="Y81" s="27"/>
      <c r="Z81" s="27"/>
      <c r="AA81" s="27"/>
      <c r="AB81" s="27"/>
      <c r="AC81" s="27"/>
      <c r="AD81" s="27"/>
      <c r="AE81" s="27"/>
      <c r="AF81" s="27"/>
      <c r="AG81" s="27"/>
      <c r="AH81" s="27"/>
      <c r="AI81" s="27"/>
      <c r="AJ81" s="27"/>
      <c r="AK81" s="27"/>
      <c r="AL81" s="27"/>
      <c r="AM81" s="27"/>
      <c r="AN81" s="27"/>
      <c r="AO81" s="27"/>
      <c r="AP81" s="27"/>
      <c r="AQ81" s="27"/>
      <c r="AR81" s="27"/>
      <c r="AS81" s="27"/>
      <c r="AT81" s="27"/>
      <c r="AU81" s="27"/>
      <c r="AV81" s="27"/>
      <c r="AW81" s="27"/>
      <c r="AX81" s="27"/>
      <c r="AY81" s="27"/>
      <c r="AZ81" s="138">
        <v>253000</v>
      </c>
      <c r="BA81" s="13">
        <f t="shared" ref="BA81:BE81" si="45">((AZ81*5.1%)+AZ81)</f>
        <v>265903</v>
      </c>
      <c r="BB81" s="138">
        <v>275000</v>
      </c>
      <c r="BC81" s="13">
        <f t="shared" si="45"/>
        <v>289025</v>
      </c>
      <c r="BD81" s="137">
        <v>320000</v>
      </c>
      <c r="BE81" s="13">
        <f t="shared" si="45"/>
        <v>336320</v>
      </c>
      <c r="BF81" s="13"/>
      <c r="BG81" s="13"/>
      <c r="BH81" s="13"/>
      <c r="BI81" s="13"/>
      <c r="BJ81" s="13"/>
      <c r="BK81" s="13"/>
      <c r="BL81" s="13"/>
      <c r="BM81" s="13"/>
      <c r="BN81" s="13"/>
      <c r="BO81" s="13"/>
      <c r="BP81" s="13"/>
      <c r="BQ81" s="13"/>
      <c r="BR81" s="13"/>
      <c r="BS81" s="13"/>
      <c r="BT81" s="13"/>
      <c r="BU81" s="13"/>
      <c r="BV81" s="13"/>
      <c r="BW81" s="13"/>
      <c r="BX81" s="13"/>
      <c r="BY81" s="13"/>
      <c r="BZ81" s="13"/>
      <c r="CA81" s="103"/>
      <c r="CB81" s="103"/>
      <c r="CC81" s="103"/>
      <c r="CD81" s="103"/>
      <c r="CE81" s="103"/>
      <c r="CF81" s="103"/>
      <c r="CG81" s="103"/>
      <c r="CH81" s="103"/>
      <c r="CI81" s="103"/>
      <c r="CJ81" s="103"/>
      <c r="CK81" s="103"/>
      <c r="CL81" s="103"/>
      <c r="CM81" s="103"/>
      <c r="CN81" s="103"/>
      <c r="CO81" s="103"/>
      <c r="CP81" s="103"/>
      <c r="CQ81" s="103"/>
      <c r="CR81" s="107">
        <f t="shared" si="22"/>
        <v>289025</v>
      </c>
      <c r="CS81" s="107">
        <f t="shared" si="23"/>
        <v>297082.66666666669</v>
      </c>
      <c r="CT81" s="108">
        <f t="shared" si="24"/>
        <v>35893.355462165047</v>
      </c>
      <c r="CU81" s="65">
        <f t="shared" si="41"/>
        <v>0.12081941994427492</v>
      </c>
      <c r="CV81" s="66">
        <f t="shared" si="42"/>
        <v>249649.57983193279</v>
      </c>
      <c r="CW81" s="66">
        <f t="shared" si="43"/>
        <v>47433.420168067227</v>
      </c>
      <c r="CX81" s="109">
        <f t="shared" si="28"/>
        <v>297083</v>
      </c>
      <c r="CY81" s="109">
        <f t="shared" si="44"/>
        <v>2970830</v>
      </c>
      <c r="CZ81" s="110" t="s">
        <v>903</v>
      </c>
    </row>
    <row r="82" spans="1:104" ht="102" x14ac:dyDescent="0.2">
      <c r="A82" s="63">
        <v>77</v>
      </c>
      <c r="B82" s="150" t="s">
        <v>488</v>
      </c>
      <c r="C82" s="122" t="s">
        <v>489</v>
      </c>
      <c r="D82" s="105" t="s">
        <v>232</v>
      </c>
      <c r="E82" s="105">
        <v>2</v>
      </c>
      <c r="F82" s="27"/>
      <c r="G82" s="27"/>
      <c r="H82" s="27"/>
      <c r="I82" s="27"/>
      <c r="J82" s="27"/>
      <c r="K82" s="27"/>
      <c r="L82" s="27"/>
      <c r="M82" s="27"/>
      <c r="N82" s="27"/>
      <c r="O82" s="27"/>
      <c r="P82" s="27"/>
      <c r="Q82" s="27"/>
      <c r="R82" s="27"/>
      <c r="S82" s="27"/>
      <c r="T82" s="27"/>
      <c r="U82" s="27"/>
      <c r="V82" s="27"/>
      <c r="W82" s="27"/>
      <c r="X82" s="27"/>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c r="BF82" s="27"/>
      <c r="BG82" s="27"/>
      <c r="BH82" s="27"/>
      <c r="BI82" s="27"/>
      <c r="BJ82" s="45">
        <f>124706*1.19</f>
        <v>148400.13999999998</v>
      </c>
      <c r="BK82" s="45"/>
      <c r="BL82" s="45"/>
      <c r="BM82" s="45"/>
      <c r="BN82" s="45"/>
      <c r="BO82" s="45"/>
      <c r="BP82" s="45"/>
      <c r="BQ82" s="45"/>
      <c r="BR82" s="45"/>
      <c r="BS82" s="45"/>
      <c r="BT82" s="45"/>
      <c r="BU82" s="45"/>
      <c r="BV82" s="45"/>
      <c r="BW82" s="45"/>
      <c r="BX82" s="45">
        <v>205334.5</v>
      </c>
      <c r="BY82" s="45">
        <v>205632</v>
      </c>
      <c r="BZ82" s="45"/>
      <c r="CA82" s="101"/>
      <c r="CB82" s="101"/>
      <c r="CC82" s="101"/>
      <c r="CD82" s="101"/>
      <c r="CE82" s="101"/>
      <c r="CF82" s="101"/>
      <c r="CG82" s="101"/>
      <c r="CH82" s="101"/>
      <c r="CI82" s="101"/>
      <c r="CJ82" s="101"/>
      <c r="CK82" s="101"/>
      <c r="CL82" s="101"/>
      <c r="CM82" s="101"/>
      <c r="CN82" s="101"/>
      <c r="CO82" s="101"/>
      <c r="CP82" s="101"/>
      <c r="CQ82" s="101"/>
      <c r="CR82" s="107">
        <f t="shared" si="22"/>
        <v>205334.5</v>
      </c>
      <c r="CS82" s="107">
        <f t="shared" si="23"/>
        <v>186455.54666666666</v>
      </c>
      <c r="CT82" s="108">
        <f t="shared" si="24"/>
        <v>32957.284611850751</v>
      </c>
      <c r="CU82" s="65">
        <f t="shared" si="41"/>
        <v>0.17675679378296899</v>
      </c>
      <c r="CV82" s="66">
        <f t="shared" si="42"/>
        <v>172550.42016806724</v>
      </c>
      <c r="CW82" s="66">
        <f t="shared" si="43"/>
        <v>32784.579831932773</v>
      </c>
      <c r="CX82" s="109">
        <f t="shared" si="28"/>
        <v>205335</v>
      </c>
      <c r="CY82" s="109">
        <f t="shared" si="44"/>
        <v>410670</v>
      </c>
      <c r="CZ82" s="110" t="s">
        <v>902</v>
      </c>
    </row>
    <row r="83" spans="1:104" ht="102" x14ac:dyDescent="0.2">
      <c r="A83" s="63">
        <v>78</v>
      </c>
      <c r="B83" s="150" t="s">
        <v>490</v>
      </c>
      <c r="C83" s="122" t="s">
        <v>491</v>
      </c>
      <c r="D83" s="105" t="s">
        <v>232</v>
      </c>
      <c r="E83" s="105">
        <v>2</v>
      </c>
      <c r="F83" s="27"/>
      <c r="G83" s="27"/>
      <c r="H83" s="27"/>
      <c r="I83" s="27"/>
      <c r="J83" s="27"/>
      <c r="K83" s="27"/>
      <c r="L83" s="27"/>
      <c r="M83" s="27"/>
      <c r="N83" s="27"/>
      <c r="O83" s="27"/>
      <c r="P83" s="27"/>
      <c r="Q83" s="27"/>
      <c r="R83" s="27"/>
      <c r="S83" s="27"/>
      <c r="T83" s="27"/>
      <c r="U83" s="27"/>
      <c r="V83" s="27"/>
      <c r="W83" s="27"/>
      <c r="X83" s="27"/>
      <c r="Y83" s="27"/>
      <c r="Z83" s="27"/>
      <c r="AA83" s="27"/>
      <c r="AB83" s="27"/>
      <c r="AC83" s="27"/>
      <c r="AD83" s="27"/>
      <c r="AE83" s="27"/>
      <c r="AF83" s="27"/>
      <c r="AG83" s="27"/>
      <c r="AH83" s="27"/>
      <c r="AI83" s="27"/>
      <c r="AJ83" s="27"/>
      <c r="AK83" s="27"/>
      <c r="AL83" s="27"/>
      <c r="AM83" s="27"/>
      <c r="AN83" s="27"/>
      <c r="AO83" s="27"/>
      <c r="AP83" s="27"/>
      <c r="AQ83" s="27"/>
      <c r="AR83" s="27"/>
      <c r="AS83" s="27"/>
      <c r="AT83" s="27"/>
      <c r="AU83" s="27"/>
      <c r="AV83" s="27"/>
      <c r="AW83" s="27"/>
      <c r="AX83" s="27"/>
      <c r="AY83" s="27"/>
      <c r="AZ83" s="27"/>
      <c r="BA83" s="27"/>
      <c r="BB83" s="27"/>
      <c r="BC83" s="27"/>
      <c r="BD83" s="27"/>
      <c r="BE83" s="27"/>
      <c r="BF83" s="27"/>
      <c r="BG83" s="27"/>
      <c r="BH83" s="27"/>
      <c r="BI83" s="27"/>
      <c r="BJ83" s="27"/>
      <c r="BK83" s="27"/>
      <c r="BL83" s="27"/>
      <c r="BM83" s="27"/>
      <c r="BN83" s="27"/>
      <c r="BO83" s="27"/>
      <c r="BP83" s="27"/>
      <c r="BQ83" s="27"/>
      <c r="BR83" s="27"/>
      <c r="BS83" s="27"/>
      <c r="BT83" s="27"/>
      <c r="BU83" s="27"/>
      <c r="BV83" s="45">
        <f>850000*1.19</f>
        <v>1011500</v>
      </c>
      <c r="BW83" s="45"/>
      <c r="BX83" s="45">
        <v>1203685</v>
      </c>
      <c r="BY83" s="45">
        <v>1322090</v>
      </c>
      <c r="BZ83" s="45"/>
      <c r="CA83" s="101"/>
      <c r="CB83" s="101"/>
      <c r="CC83" s="101"/>
      <c r="CD83" s="101"/>
      <c r="CE83" s="101"/>
      <c r="CF83" s="101"/>
      <c r="CG83" s="101"/>
      <c r="CH83" s="101"/>
      <c r="CI83" s="101"/>
      <c r="CJ83" s="101"/>
      <c r="CK83" s="101"/>
      <c r="CL83" s="101"/>
      <c r="CM83" s="101"/>
      <c r="CN83" s="101"/>
      <c r="CO83" s="101"/>
      <c r="CP83" s="101"/>
      <c r="CQ83" s="101"/>
      <c r="CR83" s="107">
        <f t="shared" si="22"/>
        <v>1203685</v>
      </c>
      <c r="CS83" s="107">
        <f t="shared" si="23"/>
        <v>1179091.6666666667</v>
      </c>
      <c r="CT83" s="108">
        <f t="shared" si="24"/>
        <v>156748.71947908617</v>
      </c>
      <c r="CU83" s="65">
        <f t="shared" si="41"/>
        <v>0.13294023179912742</v>
      </c>
      <c r="CV83" s="66">
        <f t="shared" si="42"/>
        <v>990833.61344537814</v>
      </c>
      <c r="CW83" s="66">
        <f t="shared" si="43"/>
        <v>188258.38655462186</v>
      </c>
      <c r="CX83" s="109">
        <f t="shared" si="28"/>
        <v>1179092</v>
      </c>
      <c r="CY83" s="109">
        <f t="shared" si="44"/>
        <v>2358184</v>
      </c>
      <c r="CZ83" s="110" t="s">
        <v>903</v>
      </c>
    </row>
    <row r="84" spans="1:104" ht="102" x14ac:dyDescent="0.2">
      <c r="A84" s="63">
        <v>79</v>
      </c>
      <c r="B84" s="150" t="s">
        <v>492</v>
      </c>
      <c r="C84" s="122" t="s">
        <v>493</v>
      </c>
      <c r="D84" s="105" t="s">
        <v>232</v>
      </c>
      <c r="E84" s="105">
        <v>2</v>
      </c>
      <c r="F84" s="27"/>
      <c r="G84" s="27"/>
      <c r="H84" s="27"/>
      <c r="I84" s="27"/>
      <c r="J84" s="27"/>
      <c r="K84" s="27"/>
      <c r="L84" s="27"/>
      <c r="M84" s="27"/>
      <c r="N84" s="27"/>
      <c r="O84" s="27"/>
      <c r="P84" s="27"/>
      <c r="Q84" s="27"/>
      <c r="R84" s="27"/>
      <c r="S84" s="27"/>
      <c r="T84" s="27"/>
      <c r="U84" s="27"/>
      <c r="V84" s="27"/>
      <c r="W84" s="27"/>
      <c r="X84" s="27"/>
      <c r="Y84" s="27"/>
      <c r="Z84" s="27"/>
      <c r="AA84" s="27"/>
      <c r="AB84" s="27"/>
      <c r="AC84" s="27"/>
      <c r="AD84" s="27"/>
      <c r="AE84" s="27"/>
      <c r="AF84" s="27"/>
      <c r="AG84" s="27"/>
      <c r="AH84" s="27"/>
      <c r="AI84" s="27"/>
      <c r="AJ84" s="27"/>
      <c r="AK84" s="27"/>
      <c r="AL84" s="27"/>
      <c r="AM84" s="27"/>
      <c r="AN84" s="27"/>
      <c r="AO84" s="27"/>
      <c r="AP84" s="27"/>
      <c r="AQ84" s="27"/>
      <c r="AR84" s="27"/>
      <c r="AS84" s="27"/>
      <c r="AT84" s="27"/>
      <c r="AU84" s="27"/>
      <c r="AV84" s="27"/>
      <c r="AW84" s="27"/>
      <c r="AX84" s="27"/>
      <c r="AY84" s="27"/>
      <c r="AZ84" s="27"/>
      <c r="BA84" s="27"/>
      <c r="BB84" s="27"/>
      <c r="BC84" s="27"/>
      <c r="BD84" s="27"/>
      <c r="BE84" s="27"/>
      <c r="BF84" s="27"/>
      <c r="BG84" s="27"/>
      <c r="BH84" s="27"/>
      <c r="BI84" s="27"/>
      <c r="BJ84" s="27"/>
      <c r="BK84" s="27"/>
      <c r="BL84" s="27"/>
      <c r="BM84" s="27"/>
      <c r="BN84" s="27"/>
      <c r="BO84" s="27"/>
      <c r="BP84" s="27"/>
      <c r="BQ84" s="27"/>
      <c r="BR84" s="27"/>
      <c r="BS84" s="27"/>
      <c r="BT84" s="27"/>
      <c r="BU84" s="27"/>
      <c r="BV84" s="45">
        <f>1140000*1.19</f>
        <v>1356600</v>
      </c>
      <c r="BW84" s="45"/>
      <c r="BX84" s="45">
        <v>1387778</v>
      </c>
      <c r="BY84" s="45">
        <v>1428000</v>
      </c>
      <c r="BZ84" s="45"/>
      <c r="CA84" s="101"/>
      <c r="CB84" s="101"/>
      <c r="CC84" s="101"/>
      <c r="CD84" s="101"/>
      <c r="CE84" s="101"/>
      <c r="CF84" s="101"/>
      <c r="CG84" s="101"/>
      <c r="CH84" s="101"/>
      <c r="CI84" s="101"/>
      <c r="CJ84" s="101"/>
      <c r="CK84" s="101"/>
      <c r="CL84" s="101"/>
      <c r="CM84" s="101"/>
      <c r="CN84" s="101"/>
      <c r="CO84" s="101"/>
      <c r="CP84" s="101"/>
      <c r="CQ84" s="101"/>
      <c r="CR84" s="107">
        <f t="shared" si="22"/>
        <v>1387778</v>
      </c>
      <c r="CS84" s="107">
        <f t="shared" si="23"/>
        <v>1390792.6666666667</v>
      </c>
      <c r="CT84" s="108">
        <f t="shared" si="24"/>
        <v>35795.337145127349</v>
      </c>
      <c r="CU84" s="65">
        <f t="shared" si="41"/>
        <v>2.5737364024875514E-2</v>
      </c>
      <c r="CV84" s="66">
        <f t="shared" si="42"/>
        <v>1168733.6134453781</v>
      </c>
      <c r="CW84" s="66">
        <f t="shared" si="43"/>
        <v>222059.38655462186</v>
      </c>
      <c r="CX84" s="109">
        <f t="shared" si="28"/>
        <v>1390793</v>
      </c>
      <c r="CY84" s="109">
        <f t="shared" si="44"/>
        <v>2781586</v>
      </c>
      <c r="CZ84" s="110" t="s">
        <v>903</v>
      </c>
    </row>
    <row r="85" spans="1:104" ht="119" x14ac:dyDescent="0.2">
      <c r="A85" s="63">
        <v>80</v>
      </c>
      <c r="B85" s="150" t="s">
        <v>494</v>
      </c>
      <c r="C85" s="122" t="s">
        <v>1055</v>
      </c>
      <c r="D85" s="105" t="s">
        <v>495</v>
      </c>
      <c r="E85" s="105">
        <v>5</v>
      </c>
      <c r="F85" s="27"/>
      <c r="G85" s="27"/>
      <c r="H85" s="27"/>
      <c r="I85" s="27"/>
      <c r="J85" s="27"/>
      <c r="K85" s="27"/>
      <c r="L85" s="27"/>
      <c r="M85" s="27"/>
      <c r="N85" s="27"/>
      <c r="O85" s="27"/>
      <c r="P85" s="27"/>
      <c r="Q85" s="27"/>
      <c r="R85" s="27"/>
      <c r="S85" s="27"/>
      <c r="T85" s="27"/>
      <c r="U85" s="27"/>
      <c r="V85" s="27"/>
      <c r="W85" s="27"/>
      <c r="X85" s="27"/>
      <c r="Y85" s="27"/>
      <c r="Z85" s="27"/>
      <c r="AA85" s="27"/>
      <c r="AB85" s="27"/>
      <c r="AC85" s="27"/>
      <c r="AD85" s="27"/>
      <c r="AE85" s="27"/>
      <c r="AF85" s="27"/>
      <c r="AG85" s="27"/>
      <c r="AH85" s="27"/>
      <c r="AI85" s="27"/>
      <c r="AJ85" s="27"/>
      <c r="AK85" s="27"/>
      <c r="AL85" s="27"/>
      <c r="AM85" s="27"/>
      <c r="AN85" s="27"/>
      <c r="AO85" s="27"/>
      <c r="AP85" s="27"/>
      <c r="AQ85" s="27"/>
      <c r="AR85" s="27"/>
      <c r="AS85" s="27"/>
      <c r="AT85" s="27"/>
      <c r="AU85" s="27"/>
      <c r="AV85" s="27"/>
      <c r="AW85" s="27"/>
      <c r="AX85" s="27"/>
      <c r="AY85" s="27"/>
      <c r="AZ85" s="27"/>
      <c r="BA85" s="27"/>
      <c r="BB85" s="27"/>
      <c r="BC85" s="27"/>
      <c r="BD85" s="27"/>
      <c r="BE85" s="27"/>
      <c r="BF85" s="27"/>
      <c r="BG85" s="27"/>
      <c r="BH85" s="27"/>
      <c r="BI85" s="27"/>
      <c r="BJ85" s="27"/>
      <c r="BK85" s="27"/>
      <c r="BL85" s="27"/>
      <c r="BM85" s="27"/>
      <c r="BN85" s="27"/>
      <c r="BO85" s="27"/>
      <c r="BP85" s="27"/>
      <c r="BQ85" s="27"/>
      <c r="BR85" s="27"/>
      <c r="BS85" s="27"/>
      <c r="BT85" s="27"/>
      <c r="BU85" s="27"/>
      <c r="BV85" s="27"/>
      <c r="BW85" s="27"/>
      <c r="BX85" s="45">
        <v>134529.5</v>
      </c>
      <c r="BY85" s="45">
        <v>130900</v>
      </c>
      <c r="BZ85" s="45"/>
      <c r="CA85" s="101"/>
      <c r="CB85" s="101"/>
      <c r="CC85" s="101"/>
      <c r="CD85" s="101"/>
      <c r="CE85" s="101"/>
      <c r="CF85" s="101"/>
      <c r="CG85" s="101"/>
      <c r="CH85" s="101"/>
      <c r="CI85" s="101"/>
      <c r="CJ85" s="101"/>
      <c r="CK85" s="101"/>
      <c r="CL85" s="101"/>
      <c r="CM85" s="101"/>
      <c r="CN85" s="101"/>
      <c r="CO85" s="101"/>
      <c r="CP85" s="101"/>
      <c r="CQ85" s="101"/>
      <c r="CR85" s="107">
        <f t="shared" si="22"/>
        <v>132714.75</v>
      </c>
      <c r="CS85" s="107">
        <f t="shared" si="23"/>
        <v>132714.75</v>
      </c>
      <c r="CT85" s="108">
        <f t="shared" si="24"/>
        <v>2566.4440623165742</v>
      </c>
      <c r="CU85" s="65">
        <f t="shared" si="41"/>
        <v>1.9338046918798205E-2</v>
      </c>
      <c r="CV85" s="66">
        <f t="shared" si="42"/>
        <v>111525.21008403362</v>
      </c>
      <c r="CW85" s="66">
        <f t="shared" si="43"/>
        <v>21189.789915966387</v>
      </c>
      <c r="CX85" s="109">
        <f t="shared" si="28"/>
        <v>132715</v>
      </c>
      <c r="CY85" s="109">
        <f t="shared" si="44"/>
        <v>663575</v>
      </c>
      <c r="CZ85" s="110" t="s">
        <v>903</v>
      </c>
    </row>
    <row r="86" spans="1:104" ht="85" x14ac:dyDescent="0.2">
      <c r="A86" s="63">
        <v>81</v>
      </c>
      <c r="B86" s="150" t="s">
        <v>496</v>
      </c>
      <c r="C86" s="122" t="s">
        <v>1056</v>
      </c>
      <c r="D86" s="105" t="s">
        <v>497</v>
      </c>
      <c r="E86" s="105">
        <v>6</v>
      </c>
      <c r="F86" s="27"/>
      <c r="G86" s="27"/>
      <c r="H86" s="27"/>
      <c r="I86" s="27"/>
      <c r="J86" s="27"/>
      <c r="K86" s="27"/>
      <c r="L86" s="27"/>
      <c r="M86" s="27"/>
      <c r="N86" s="27"/>
      <c r="O86" s="27"/>
      <c r="P86" s="27"/>
      <c r="Q86" s="27"/>
      <c r="R86" s="27"/>
      <c r="S86" s="27"/>
      <c r="T86" s="27"/>
      <c r="U86" s="27"/>
      <c r="V86" s="27"/>
      <c r="W86" s="27"/>
      <c r="X86" s="27"/>
      <c r="Y86" s="27"/>
      <c r="Z86" s="27"/>
      <c r="AA86" s="27"/>
      <c r="AB86" s="27"/>
      <c r="AC86" s="27"/>
      <c r="AD86" s="27"/>
      <c r="AE86" s="27"/>
      <c r="AF86" s="27"/>
      <c r="AG86" s="27"/>
      <c r="AH86" s="27"/>
      <c r="AI86" s="27"/>
      <c r="AJ86" s="27"/>
      <c r="AK86" s="27"/>
      <c r="AL86" s="27"/>
      <c r="AM86" s="27"/>
      <c r="AN86" s="27"/>
      <c r="AO86" s="27"/>
      <c r="AP86" s="27"/>
      <c r="AQ86" s="27"/>
      <c r="AR86" s="27"/>
      <c r="AS86" s="27"/>
      <c r="AT86" s="27"/>
      <c r="AU86" s="27"/>
      <c r="AV86" s="27"/>
      <c r="AW86" s="27"/>
      <c r="AX86" s="27"/>
      <c r="AY86" s="27"/>
      <c r="AZ86" s="27"/>
      <c r="BA86" s="27"/>
      <c r="BB86" s="27"/>
      <c r="BC86" s="27"/>
      <c r="BD86" s="27"/>
      <c r="BE86" s="27"/>
      <c r="BF86" s="27"/>
      <c r="BG86" s="27"/>
      <c r="BH86" s="27"/>
      <c r="BI86" s="27"/>
      <c r="BJ86" s="27"/>
      <c r="BK86" s="27"/>
      <c r="BL86" s="27"/>
      <c r="BM86" s="27"/>
      <c r="BN86" s="27"/>
      <c r="BO86" s="27"/>
      <c r="BP86" s="45"/>
      <c r="BQ86" s="45"/>
      <c r="BR86" s="45"/>
      <c r="BS86" s="45"/>
      <c r="BT86" s="45"/>
      <c r="BU86" s="45"/>
      <c r="BV86" s="45"/>
      <c r="BW86" s="45"/>
      <c r="BX86" s="45">
        <v>39650.799999999996</v>
      </c>
      <c r="BY86" s="45">
        <v>39270</v>
      </c>
      <c r="BZ86" s="45"/>
      <c r="CA86" s="101"/>
      <c r="CB86" s="101"/>
      <c r="CC86" s="101"/>
      <c r="CD86" s="101"/>
      <c r="CE86" s="101"/>
      <c r="CF86" s="101"/>
      <c r="CG86" s="101"/>
      <c r="CH86" s="101"/>
      <c r="CI86" s="101"/>
      <c r="CJ86" s="101"/>
      <c r="CK86" s="101"/>
      <c r="CL86" s="101"/>
      <c r="CM86" s="101"/>
      <c r="CN86" s="101"/>
      <c r="CO86" s="101"/>
      <c r="CP86" s="101"/>
      <c r="CQ86" s="101"/>
      <c r="CR86" s="107">
        <f t="shared" si="22"/>
        <v>39460.399999999994</v>
      </c>
      <c r="CS86" s="107">
        <f t="shared" si="23"/>
        <v>39460.399999999994</v>
      </c>
      <c r="CT86" s="108">
        <f t="shared" si="24"/>
        <v>269.26626227583421</v>
      </c>
      <c r="CU86" s="65">
        <f t="shared" si="41"/>
        <v>6.8237083829822869E-3</v>
      </c>
      <c r="CV86" s="66">
        <f t="shared" si="42"/>
        <v>33160.504201680676</v>
      </c>
      <c r="CW86" s="66">
        <f t="shared" si="43"/>
        <v>6300.495798319329</v>
      </c>
      <c r="CX86" s="109">
        <f t="shared" si="28"/>
        <v>39461</v>
      </c>
      <c r="CY86" s="109">
        <f t="shared" si="44"/>
        <v>236766</v>
      </c>
      <c r="CZ86" s="110" t="s">
        <v>903</v>
      </c>
    </row>
    <row r="87" spans="1:104" ht="102" x14ac:dyDescent="0.2">
      <c r="A87" s="63">
        <v>82</v>
      </c>
      <c r="B87" s="150" t="s">
        <v>498</v>
      </c>
      <c r="C87" s="122" t="s">
        <v>1057</v>
      </c>
      <c r="D87" s="105" t="s">
        <v>232</v>
      </c>
      <c r="E87" s="105">
        <v>6</v>
      </c>
      <c r="F87" s="27"/>
      <c r="G87" s="27"/>
      <c r="H87" s="27"/>
      <c r="I87" s="27"/>
      <c r="J87" s="27"/>
      <c r="K87" s="27"/>
      <c r="L87" s="27"/>
      <c r="M87" s="27"/>
      <c r="N87" s="27"/>
      <c r="O87" s="27"/>
      <c r="P87" s="27"/>
      <c r="Q87" s="27"/>
      <c r="R87" s="27"/>
      <c r="S87" s="27"/>
      <c r="T87" s="27"/>
      <c r="U87" s="27"/>
      <c r="V87" s="27"/>
      <c r="W87" s="27"/>
      <c r="X87" s="27"/>
      <c r="Y87" s="27"/>
      <c r="Z87" s="27"/>
      <c r="AA87" s="27"/>
      <c r="AB87" s="27"/>
      <c r="AC87" s="27"/>
      <c r="AD87" s="27"/>
      <c r="AE87" s="27"/>
      <c r="AF87" s="27"/>
      <c r="AG87" s="27"/>
      <c r="AH87" s="27"/>
      <c r="AI87" s="27"/>
      <c r="AJ87" s="27"/>
      <c r="AK87" s="27"/>
      <c r="AL87" s="27"/>
      <c r="AM87" s="27"/>
      <c r="AN87" s="27"/>
      <c r="AO87" s="27"/>
      <c r="AP87" s="27"/>
      <c r="AQ87" s="27"/>
      <c r="AR87" s="27"/>
      <c r="AS87" s="27"/>
      <c r="AT87" s="27"/>
      <c r="AU87" s="27"/>
      <c r="AV87" s="27"/>
      <c r="AW87" s="27"/>
      <c r="AX87" s="27"/>
      <c r="AY87" s="27"/>
      <c r="AZ87" s="27"/>
      <c r="BA87" s="27"/>
      <c r="BB87" s="27"/>
      <c r="BC87" s="27"/>
      <c r="BD87" s="27"/>
      <c r="BE87" s="27"/>
      <c r="BF87" s="27"/>
      <c r="BG87" s="27"/>
      <c r="BH87" s="27"/>
      <c r="BI87" s="27"/>
      <c r="BJ87" s="27"/>
      <c r="BK87" s="27"/>
      <c r="BL87" s="27"/>
      <c r="BM87" s="27"/>
      <c r="BN87" s="27"/>
      <c r="BO87" s="27"/>
      <c r="BP87" s="45"/>
      <c r="BQ87" s="45"/>
      <c r="BR87" s="45"/>
      <c r="BS87" s="45"/>
      <c r="BT87" s="45"/>
      <c r="BU87" s="45"/>
      <c r="BV87" s="45"/>
      <c r="BW87" s="45"/>
      <c r="BX87" s="45">
        <v>92046.5</v>
      </c>
      <c r="BY87" s="45">
        <v>86870</v>
      </c>
      <c r="BZ87" s="45"/>
      <c r="CA87" s="101"/>
      <c r="CB87" s="101"/>
      <c r="CC87" s="101"/>
      <c r="CD87" s="101"/>
      <c r="CE87" s="101"/>
      <c r="CF87" s="101"/>
      <c r="CG87" s="101"/>
      <c r="CH87" s="101"/>
      <c r="CI87" s="101"/>
      <c r="CJ87" s="101"/>
      <c r="CK87" s="101"/>
      <c r="CL87" s="101"/>
      <c r="CM87" s="101"/>
      <c r="CN87" s="101"/>
      <c r="CO87" s="101"/>
      <c r="CP87" s="101"/>
      <c r="CQ87" s="101"/>
      <c r="CR87" s="107">
        <f t="shared" si="22"/>
        <v>89458.25</v>
      </c>
      <c r="CS87" s="107">
        <f t="shared" si="23"/>
        <v>89458.25</v>
      </c>
      <c r="CT87" s="108">
        <f t="shared" si="24"/>
        <v>3660.3382528121633</v>
      </c>
      <c r="CU87" s="65">
        <f t="shared" si="41"/>
        <v>4.0916720959913291E-2</v>
      </c>
      <c r="CV87" s="66">
        <f t="shared" si="42"/>
        <v>75175.630252100847</v>
      </c>
      <c r="CW87" s="66">
        <f t="shared" si="43"/>
        <v>14283.369747899162</v>
      </c>
      <c r="CX87" s="109">
        <f t="shared" si="28"/>
        <v>89459</v>
      </c>
      <c r="CY87" s="109">
        <f t="shared" si="44"/>
        <v>536754</v>
      </c>
      <c r="CZ87" s="110" t="s">
        <v>903</v>
      </c>
    </row>
    <row r="88" spans="1:104" ht="102" x14ac:dyDescent="0.2">
      <c r="A88" s="63">
        <v>83</v>
      </c>
      <c r="B88" s="150" t="s">
        <v>499</v>
      </c>
      <c r="C88" s="122" t="s">
        <v>1058</v>
      </c>
      <c r="D88" s="105" t="s">
        <v>232</v>
      </c>
      <c r="E88" s="105">
        <v>6</v>
      </c>
      <c r="F88" s="27"/>
      <c r="G88" s="27"/>
      <c r="H88" s="27"/>
      <c r="I88" s="27"/>
      <c r="J88" s="27"/>
      <c r="K88" s="27"/>
      <c r="L88" s="27"/>
      <c r="M88" s="27"/>
      <c r="N88" s="27"/>
      <c r="O88" s="27"/>
      <c r="P88" s="27"/>
      <c r="Q88" s="27"/>
      <c r="R88" s="27"/>
      <c r="S88" s="27"/>
      <c r="T88" s="27"/>
      <c r="U88" s="27"/>
      <c r="V88" s="27"/>
      <c r="W88" s="27"/>
      <c r="X88" s="27"/>
      <c r="Y88" s="27"/>
      <c r="Z88" s="27"/>
      <c r="AA88" s="27"/>
      <c r="AB88" s="27"/>
      <c r="AC88" s="27"/>
      <c r="AD88" s="27"/>
      <c r="AE88" s="27"/>
      <c r="AF88" s="27"/>
      <c r="AG88" s="27"/>
      <c r="AH88" s="27"/>
      <c r="AI88" s="27"/>
      <c r="AJ88" s="27"/>
      <c r="AK88" s="27"/>
      <c r="AL88" s="27"/>
      <c r="AM88" s="27"/>
      <c r="AN88" s="27"/>
      <c r="AO88" s="27"/>
      <c r="AP88" s="27"/>
      <c r="AQ88" s="27"/>
      <c r="AR88" s="27"/>
      <c r="AS88" s="27"/>
      <c r="AT88" s="27"/>
      <c r="AU88" s="27"/>
      <c r="AV88" s="27"/>
      <c r="AW88" s="27"/>
      <c r="AX88" s="27"/>
      <c r="AY88" s="27"/>
      <c r="AZ88" s="27"/>
      <c r="BA88" s="27"/>
      <c r="BB88" s="27"/>
      <c r="BC88" s="27"/>
      <c r="BD88" s="27"/>
      <c r="BE88" s="27"/>
      <c r="BF88" s="27"/>
      <c r="BG88" s="27"/>
      <c r="BH88" s="27"/>
      <c r="BI88" s="27"/>
      <c r="BJ88" s="27"/>
      <c r="BK88" s="27"/>
      <c r="BL88" s="27"/>
      <c r="BM88" s="27"/>
      <c r="BN88" s="27"/>
      <c r="BO88" s="27"/>
      <c r="BP88" s="45"/>
      <c r="BQ88" s="45"/>
      <c r="BR88" s="45"/>
      <c r="BS88" s="45"/>
      <c r="BT88" s="45"/>
      <c r="BU88" s="45"/>
      <c r="BV88" s="45"/>
      <c r="BW88" s="45"/>
      <c r="BX88" s="45">
        <v>95200</v>
      </c>
      <c r="BY88" s="45">
        <v>101150</v>
      </c>
      <c r="BZ88" s="45"/>
      <c r="CA88" s="101"/>
      <c r="CB88" s="101"/>
      <c r="CC88" s="101"/>
      <c r="CD88" s="101"/>
      <c r="CE88" s="101"/>
      <c r="CF88" s="101"/>
      <c r="CG88" s="101"/>
      <c r="CH88" s="101"/>
      <c r="CI88" s="101"/>
      <c r="CJ88" s="101"/>
      <c r="CK88" s="101"/>
      <c r="CL88" s="101"/>
      <c r="CM88" s="101"/>
      <c r="CN88" s="101"/>
      <c r="CO88" s="101"/>
      <c r="CP88" s="101"/>
      <c r="CQ88" s="101"/>
      <c r="CR88" s="107">
        <f t="shared" si="22"/>
        <v>98175</v>
      </c>
      <c r="CS88" s="107">
        <f t="shared" si="23"/>
        <v>98175</v>
      </c>
      <c r="CT88" s="108">
        <f t="shared" si="24"/>
        <v>4207.2853480599579</v>
      </c>
      <c r="CU88" s="65">
        <f t="shared" si="41"/>
        <v>4.2854956435548333E-2</v>
      </c>
      <c r="CV88" s="66">
        <f t="shared" si="42"/>
        <v>82500</v>
      </c>
      <c r="CW88" s="66">
        <f t="shared" si="43"/>
        <v>15675</v>
      </c>
      <c r="CX88" s="109">
        <f t="shared" si="28"/>
        <v>98175</v>
      </c>
      <c r="CY88" s="109">
        <f t="shared" si="44"/>
        <v>589050</v>
      </c>
      <c r="CZ88" s="110" t="s">
        <v>903</v>
      </c>
    </row>
    <row r="89" spans="1:104" ht="119" x14ac:dyDescent="0.2">
      <c r="A89" s="63">
        <v>84</v>
      </c>
      <c r="B89" s="150" t="s">
        <v>500</v>
      </c>
      <c r="C89" s="122" t="s">
        <v>501</v>
      </c>
      <c r="D89" s="105" t="s">
        <v>223</v>
      </c>
      <c r="E89" s="105">
        <v>4</v>
      </c>
      <c r="F89" s="27"/>
      <c r="G89" s="27"/>
      <c r="H89" s="27"/>
      <c r="I89" s="27"/>
      <c r="J89" s="27"/>
      <c r="K89" s="27"/>
      <c r="L89" s="27"/>
      <c r="M89" s="27"/>
      <c r="N89" s="27"/>
      <c r="O89" s="27"/>
      <c r="P89" s="27"/>
      <c r="Q89" s="27"/>
      <c r="R89" s="27"/>
      <c r="S89" s="27"/>
      <c r="T89" s="27"/>
      <c r="U89" s="27"/>
      <c r="V89" s="27"/>
      <c r="W89" s="27"/>
      <c r="X89" s="27"/>
      <c r="Y89" s="27"/>
      <c r="Z89" s="27"/>
      <c r="AA89" s="27"/>
      <c r="AB89" s="27"/>
      <c r="AC89" s="27"/>
      <c r="AD89" s="27"/>
      <c r="AE89" s="27"/>
      <c r="AF89" s="27"/>
      <c r="AG89" s="27"/>
      <c r="AH89" s="27"/>
      <c r="AI89" s="27"/>
      <c r="AJ89" s="27"/>
      <c r="AK89" s="27"/>
      <c r="AL89" s="27"/>
      <c r="AM89" s="27"/>
      <c r="AN89" s="27"/>
      <c r="AO89" s="27"/>
      <c r="AP89" s="27"/>
      <c r="AQ89" s="27"/>
      <c r="AR89" s="27"/>
      <c r="AS89" s="27"/>
      <c r="AT89" s="27"/>
      <c r="AU89" s="27"/>
      <c r="AV89" s="27"/>
      <c r="AW89" s="27"/>
      <c r="AX89" s="27"/>
      <c r="AY89" s="27"/>
      <c r="AZ89" s="27"/>
      <c r="BA89" s="27"/>
      <c r="BB89" s="27"/>
      <c r="BC89" s="27"/>
      <c r="BD89" s="27"/>
      <c r="BE89" s="27"/>
      <c r="BF89" s="27"/>
      <c r="BG89" s="27"/>
      <c r="BH89" s="27"/>
      <c r="BI89" s="27"/>
      <c r="BJ89" s="27"/>
      <c r="BK89" s="27"/>
      <c r="BL89" s="27"/>
      <c r="BM89" s="27"/>
      <c r="BN89" s="27"/>
      <c r="BO89" s="27"/>
      <c r="BP89" s="27"/>
      <c r="BQ89" s="27"/>
      <c r="BR89" s="27"/>
      <c r="BS89" s="27"/>
      <c r="BT89" s="27"/>
      <c r="BU89" s="27"/>
      <c r="BV89" s="27"/>
      <c r="BW89" s="27"/>
      <c r="BX89" s="45">
        <v>138777.79999999999</v>
      </c>
      <c r="BY89" s="45">
        <v>139230</v>
      </c>
      <c r="BZ89" s="45"/>
      <c r="CA89" s="101"/>
      <c r="CB89" s="101"/>
      <c r="CC89" s="101"/>
      <c r="CD89" s="101"/>
      <c r="CE89" s="101"/>
      <c r="CF89" s="101"/>
      <c r="CG89" s="101"/>
      <c r="CH89" s="101"/>
      <c r="CI89" s="101"/>
      <c r="CJ89" s="101"/>
      <c r="CK89" s="101"/>
      <c r="CL89" s="101"/>
      <c r="CM89" s="101"/>
      <c r="CN89" s="101"/>
      <c r="CO89" s="101"/>
      <c r="CP89" s="101"/>
      <c r="CQ89" s="101"/>
      <c r="CR89" s="107">
        <f t="shared" si="22"/>
        <v>139003.9</v>
      </c>
      <c r="CS89" s="107">
        <f t="shared" si="23"/>
        <v>139003.9</v>
      </c>
      <c r="CT89" s="108">
        <f t="shared" si="24"/>
        <v>319.75368645256503</v>
      </c>
      <c r="CU89" s="65">
        <f t="shared" si="41"/>
        <v>2.3003216920716978E-3</v>
      </c>
      <c r="CV89" s="66">
        <f t="shared" si="42"/>
        <v>116810.08403361346</v>
      </c>
      <c r="CW89" s="66">
        <f t="shared" si="43"/>
        <v>22193.915966386558</v>
      </c>
      <c r="CX89" s="109">
        <f t="shared" si="28"/>
        <v>139004</v>
      </c>
      <c r="CY89" s="109">
        <f t="shared" si="44"/>
        <v>556016</v>
      </c>
      <c r="CZ89" s="110" t="s">
        <v>903</v>
      </c>
    </row>
    <row r="90" spans="1:104" ht="136" x14ac:dyDescent="0.2">
      <c r="A90" s="63">
        <v>85</v>
      </c>
      <c r="B90" s="150" t="s">
        <v>502</v>
      </c>
      <c r="C90" s="122" t="s">
        <v>1059</v>
      </c>
      <c r="D90" s="105" t="s">
        <v>232</v>
      </c>
      <c r="E90" s="105">
        <v>4</v>
      </c>
      <c r="F90" s="27"/>
      <c r="G90" s="27"/>
      <c r="H90" s="27"/>
      <c r="I90" s="27"/>
      <c r="J90" s="27"/>
      <c r="K90" s="27"/>
      <c r="L90" s="27"/>
      <c r="M90" s="27"/>
      <c r="N90" s="27"/>
      <c r="O90" s="27"/>
      <c r="P90" s="27"/>
      <c r="Q90" s="27"/>
      <c r="R90" s="27"/>
      <c r="S90" s="27"/>
      <c r="T90" s="27"/>
      <c r="U90" s="27"/>
      <c r="V90" s="27"/>
      <c r="W90" s="27"/>
      <c r="X90" s="27"/>
      <c r="Y90" s="27"/>
      <c r="Z90" s="27"/>
      <c r="AA90" s="27"/>
      <c r="AB90" s="27"/>
      <c r="AC90" s="27"/>
      <c r="AD90" s="27"/>
      <c r="AE90" s="27"/>
      <c r="AF90" s="27"/>
      <c r="AG90" s="27"/>
      <c r="AH90" s="27"/>
      <c r="AI90" s="27"/>
      <c r="AJ90" s="27"/>
      <c r="AK90" s="27"/>
      <c r="AL90" s="27"/>
      <c r="AM90" s="27"/>
      <c r="AN90" s="27"/>
      <c r="AO90" s="27"/>
      <c r="AP90" s="27"/>
      <c r="AQ90" s="27"/>
      <c r="AR90" s="27"/>
      <c r="AS90" s="27"/>
      <c r="AT90" s="27"/>
      <c r="AU90" s="27"/>
      <c r="AV90" s="27"/>
      <c r="AW90" s="27"/>
      <c r="AX90" s="27"/>
      <c r="AY90" s="27"/>
      <c r="AZ90" s="27"/>
      <c r="BA90" s="27"/>
      <c r="BB90" s="27"/>
      <c r="BC90" s="27"/>
      <c r="BD90" s="27"/>
      <c r="BE90" s="27"/>
      <c r="BF90" s="27"/>
      <c r="BG90" s="27"/>
      <c r="BH90" s="27"/>
      <c r="BI90" s="27"/>
      <c r="BJ90" s="27"/>
      <c r="BK90" s="27"/>
      <c r="BL90" s="27"/>
      <c r="BM90" s="27"/>
      <c r="BN90" s="27"/>
      <c r="BO90" s="27"/>
      <c r="BP90" s="27"/>
      <c r="BQ90" s="45">
        <v>35000</v>
      </c>
      <c r="BR90" s="45"/>
      <c r="BS90" s="45"/>
      <c r="BT90" s="45"/>
      <c r="BU90" s="45"/>
      <c r="BV90" s="45"/>
      <c r="BW90" s="45"/>
      <c r="BX90" s="45">
        <v>59476.2</v>
      </c>
      <c r="BY90" s="45">
        <v>59500</v>
      </c>
      <c r="BZ90" s="45"/>
      <c r="CA90" s="101"/>
      <c r="CB90" s="101"/>
      <c r="CC90" s="101"/>
      <c r="CD90" s="101"/>
      <c r="CE90" s="101"/>
      <c r="CF90" s="101"/>
      <c r="CG90" s="101"/>
      <c r="CH90" s="101"/>
      <c r="CI90" s="101"/>
      <c r="CJ90" s="101"/>
      <c r="CK90" s="101"/>
      <c r="CL90" s="101"/>
      <c r="CM90" s="101"/>
      <c r="CN90" s="101"/>
      <c r="CO90" s="101"/>
      <c r="CP90" s="101"/>
      <c r="CQ90" s="101"/>
      <c r="CR90" s="107">
        <f t="shared" si="22"/>
        <v>59476.2</v>
      </c>
      <c r="CS90" s="107">
        <f t="shared" si="23"/>
        <v>51325.4</v>
      </c>
      <c r="CT90" s="108">
        <f t="shared" si="24"/>
        <v>14138.216135000892</v>
      </c>
      <c r="CU90" s="65">
        <f t="shared" si="41"/>
        <v>0.27546236629428883</v>
      </c>
      <c r="CV90" s="66">
        <f t="shared" si="42"/>
        <v>49980.672268907569</v>
      </c>
      <c r="CW90" s="66">
        <f t="shared" si="43"/>
        <v>9496.3277310924386</v>
      </c>
      <c r="CX90" s="109">
        <f t="shared" si="28"/>
        <v>59477</v>
      </c>
      <c r="CY90" s="109">
        <f t="shared" si="44"/>
        <v>237908</v>
      </c>
      <c r="CZ90" s="110" t="s">
        <v>902</v>
      </c>
    </row>
    <row r="91" spans="1:104" ht="34" x14ac:dyDescent="0.2">
      <c r="A91" s="63">
        <v>86</v>
      </c>
      <c r="B91" s="150" t="s">
        <v>503</v>
      </c>
      <c r="C91" s="122" t="s">
        <v>504</v>
      </c>
      <c r="D91" s="105" t="s">
        <v>232</v>
      </c>
      <c r="E91" s="105">
        <v>2</v>
      </c>
      <c r="F91" s="27"/>
      <c r="G91" s="27"/>
      <c r="H91" s="27"/>
      <c r="I91" s="27"/>
      <c r="J91" s="27"/>
      <c r="K91" s="27"/>
      <c r="L91" s="27"/>
      <c r="M91" s="27"/>
      <c r="N91" s="27"/>
      <c r="O91" s="27"/>
      <c r="P91" s="27"/>
      <c r="Q91" s="27"/>
      <c r="R91" s="27"/>
      <c r="S91" s="27"/>
      <c r="T91" s="27"/>
      <c r="U91" s="27"/>
      <c r="V91" s="27"/>
      <c r="W91" s="27"/>
      <c r="X91" s="27"/>
      <c r="Y91" s="27"/>
      <c r="Z91" s="27"/>
      <c r="AA91" s="27"/>
      <c r="AB91" s="27"/>
      <c r="AC91" s="27"/>
      <c r="AD91" s="27"/>
      <c r="AE91" s="27"/>
      <c r="AF91" s="27"/>
      <c r="AG91" s="27"/>
      <c r="AH91" s="27"/>
      <c r="AI91" s="27"/>
      <c r="AJ91" s="27"/>
      <c r="AK91" s="27"/>
      <c r="AL91" s="27"/>
      <c r="AM91" s="27"/>
      <c r="AN91" s="27"/>
      <c r="AO91" s="27"/>
      <c r="AP91" s="27"/>
      <c r="AQ91" s="27"/>
      <c r="AR91" s="27"/>
      <c r="AS91" s="27"/>
      <c r="AT91" s="27"/>
      <c r="AU91" s="27"/>
      <c r="AV91" s="27"/>
      <c r="AW91" s="27"/>
      <c r="AX91" s="27"/>
      <c r="AY91" s="27"/>
      <c r="AZ91" s="27"/>
      <c r="BA91" s="27"/>
      <c r="BB91" s="27"/>
      <c r="BC91" s="27"/>
      <c r="BD91" s="27"/>
      <c r="BE91" s="27"/>
      <c r="BF91" s="27"/>
      <c r="BG91" s="27"/>
      <c r="BH91" s="27"/>
      <c r="BI91" s="27"/>
      <c r="BJ91" s="27"/>
      <c r="BK91" s="27"/>
      <c r="BL91" s="27"/>
      <c r="BM91" s="27"/>
      <c r="BN91" s="27"/>
      <c r="BO91" s="27"/>
      <c r="BP91" s="27"/>
      <c r="BQ91" s="27"/>
      <c r="BR91" s="45">
        <v>1071000</v>
      </c>
      <c r="BS91" s="45"/>
      <c r="BT91" s="45"/>
      <c r="BU91" s="45"/>
      <c r="BV91" s="45"/>
      <c r="BW91" s="45"/>
      <c r="BX91" s="45">
        <v>970028.5</v>
      </c>
      <c r="BY91" s="45">
        <v>975800</v>
      </c>
      <c r="BZ91" s="45"/>
      <c r="CA91" s="101"/>
      <c r="CB91" s="101"/>
      <c r="CC91" s="101"/>
      <c r="CD91" s="101"/>
      <c r="CE91" s="101"/>
      <c r="CF91" s="101"/>
      <c r="CG91" s="101"/>
      <c r="CH91" s="101"/>
      <c r="CI91" s="101"/>
      <c r="CJ91" s="101"/>
      <c r="CK91" s="101"/>
      <c r="CL91" s="101"/>
      <c r="CM91" s="101"/>
      <c r="CN91" s="101"/>
      <c r="CO91" s="101"/>
      <c r="CP91" s="101"/>
      <c r="CQ91" s="101"/>
      <c r="CR91" s="107">
        <f t="shared" si="22"/>
        <v>975800</v>
      </c>
      <c r="CS91" s="107">
        <f t="shared" si="23"/>
        <v>1005609.5</v>
      </c>
      <c r="CT91" s="108">
        <f t="shared" si="24"/>
        <v>56703.312696437766</v>
      </c>
      <c r="CU91" s="65">
        <f t="shared" si="41"/>
        <v>5.6387009765160104E-2</v>
      </c>
      <c r="CV91" s="66">
        <f t="shared" si="42"/>
        <v>845050.42016806721</v>
      </c>
      <c r="CW91" s="66">
        <f t="shared" si="43"/>
        <v>160559.57983193276</v>
      </c>
      <c r="CX91" s="109">
        <f t="shared" si="28"/>
        <v>1005610</v>
      </c>
      <c r="CY91" s="109">
        <f t="shared" si="44"/>
        <v>2011220</v>
      </c>
      <c r="CZ91" s="110" t="s">
        <v>903</v>
      </c>
    </row>
    <row r="92" spans="1:104" ht="38.75" customHeight="1" x14ac:dyDescent="0.2">
      <c r="A92" s="63">
        <v>87</v>
      </c>
      <c r="B92" s="150" t="s">
        <v>505</v>
      </c>
      <c r="C92" s="122" t="s">
        <v>1060</v>
      </c>
      <c r="D92" s="105" t="s">
        <v>232</v>
      </c>
      <c r="E92" s="105">
        <v>2</v>
      </c>
      <c r="F92" s="27"/>
      <c r="G92" s="27"/>
      <c r="H92" s="27"/>
      <c r="I92" s="27"/>
      <c r="J92" s="27"/>
      <c r="K92" s="27"/>
      <c r="L92" s="27"/>
      <c r="M92" s="27"/>
      <c r="N92" s="27"/>
      <c r="O92" s="27"/>
      <c r="P92" s="27"/>
      <c r="Q92" s="27"/>
      <c r="R92" s="27"/>
      <c r="S92" s="27"/>
      <c r="T92" s="27"/>
      <c r="U92" s="27"/>
      <c r="V92" s="27"/>
      <c r="W92" s="27"/>
      <c r="X92" s="27"/>
      <c r="Y92" s="27"/>
      <c r="Z92" s="27"/>
      <c r="AA92" s="27"/>
      <c r="AB92" s="27"/>
      <c r="AC92" s="27"/>
      <c r="AD92" s="27"/>
      <c r="AE92" s="27"/>
      <c r="AF92" s="27"/>
      <c r="AG92" s="27"/>
      <c r="AH92" s="27"/>
      <c r="AI92" s="27"/>
      <c r="AJ92" s="27"/>
      <c r="AK92" s="27"/>
      <c r="AL92" s="27"/>
      <c r="AM92" s="27"/>
      <c r="AN92" s="27"/>
      <c r="AO92" s="27"/>
      <c r="AP92" s="27"/>
      <c r="AQ92" s="27"/>
      <c r="AR92" s="27"/>
      <c r="AS92" s="27"/>
      <c r="AT92" s="27"/>
      <c r="AU92" s="27"/>
      <c r="AV92" s="27"/>
      <c r="AW92" s="27"/>
      <c r="AX92" s="27"/>
      <c r="AY92" s="27"/>
      <c r="AZ92" s="27"/>
      <c r="BA92" s="27"/>
      <c r="BB92" s="27"/>
      <c r="BC92" s="27"/>
      <c r="BD92" s="27"/>
      <c r="BE92" s="27"/>
      <c r="BF92" s="27"/>
      <c r="BG92" s="27"/>
      <c r="BH92" s="27"/>
      <c r="BI92" s="27"/>
      <c r="BJ92" s="27"/>
      <c r="BK92" s="27"/>
      <c r="BL92" s="27"/>
      <c r="BM92" s="27"/>
      <c r="BN92" s="27"/>
      <c r="BO92" s="27"/>
      <c r="BP92" s="27"/>
      <c r="BQ92" s="27"/>
      <c r="BR92" s="27"/>
      <c r="BS92" s="27"/>
      <c r="BT92" s="27"/>
      <c r="BU92" s="27"/>
      <c r="BV92" s="27"/>
      <c r="BW92" s="27"/>
      <c r="BX92" s="45">
        <v>1770125</v>
      </c>
      <c r="BY92" s="45">
        <v>1785000</v>
      </c>
      <c r="BZ92" s="45"/>
      <c r="CA92" s="101"/>
      <c r="CB92" s="101"/>
      <c r="CC92" s="101"/>
      <c r="CD92" s="101"/>
      <c r="CE92" s="101"/>
      <c r="CF92" s="101"/>
      <c r="CG92" s="101"/>
      <c r="CH92" s="101"/>
      <c r="CI92" s="101"/>
      <c r="CJ92" s="101"/>
      <c r="CK92" s="101"/>
      <c r="CL92" s="101"/>
      <c r="CM92" s="101"/>
      <c r="CN92" s="101"/>
      <c r="CO92" s="101"/>
      <c r="CP92" s="101"/>
      <c r="CQ92" s="101"/>
      <c r="CR92" s="107">
        <f t="shared" si="22"/>
        <v>1777562.5</v>
      </c>
      <c r="CS92" s="107">
        <f t="shared" si="23"/>
        <v>1777562.5</v>
      </c>
      <c r="CT92" s="108">
        <f t="shared" si="24"/>
        <v>10518.213370149895</v>
      </c>
      <c r="CU92" s="65">
        <f t="shared" si="41"/>
        <v>5.9172115580464228E-3</v>
      </c>
      <c r="CV92" s="66">
        <f t="shared" si="42"/>
        <v>1493750.4201680673</v>
      </c>
      <c r="CW92" s="66">
        <f t="shared" si="43"/>
        <v>283812.57983193279</v>
      </c>
      <c r="CX92" s="109">
        <f t="shared" si="28"/>
        <v>1777563</v>
      </c>
      <c r="CY92" s="109">
        <f t="shared" si="44"/>
        <v>3555126</v>
      </c>
      <c r="CZ92" s="110" t="s">
        <v>903</v>
      </c>
    </row>
    <row r="93" spans="1:104" ht="102" x14ac:dyDescent="0.2">
      <c r="A93" s="63">
        <v>88</v>
      </c>
      <c r="B93" s="150" t="s">
        <v>506</v>
      </c>
      <c r="C93" s="122" t="s">
        <v>1061</v>
      </c>
      <c r="D93" s="105" t="s">
        <v>232</v>
      </c>
      <c r="E93" s="105">
        <v>4</v>
      </c>
      <c r="F93" s="27"/>
      <c r="G93" s="27"/>
      <c r="H93" s="27"/>
      <c r="I93" s="27"/>
      <c r="J93" s="27"/>
      <c r="K93" s="27"/>
      <c r="L93" s="27"/>
      <c r="M93" s="27"/>
      <c r="N93" s="27"/>
      <c r="O93" s="27"/>
      <c r="P93" s="27"/>
      <c r="Q93" s="27"/>
      <c r="R93" s="27"/>
      <c r="S93" s="27"/>
      <c r="T93" s="27"/>
      <c r="U93" s="27"/>
      <c r="V93" s="27"/>
      <c r="W93" s="27"/>
      <c r="X93" s="27"/>
      <c r="Y93" s="27"/>
      <c r="Z93" s="27"/>
      <c r="AA93" s="27"/>
      <c r="AB93" s="27"/>
      <c r="AC93" s="27"/>
      <c r="AD93" s="27"/>
      <c r="AE93" s="27"/>
      <c r="AF93" s="27"/>
      <c r="AG93" s="27"/>
      <c r="AH93" s="27"/>
      <c r="AI93" s="27"/>
      <c r="AJ93" s="27"/>
      <c r="AK93" s="27"/>
      <c r="AL93" s="27"/>
      <c r="AM93" s="27"/>
      <c r="AN93" s="27"/>
      <c r="AO93" s="27"/>
      <c r="AP93" s="27"/>
      <c r="AQ93" s="27"/>
      <c r="AR93" s="27"/>
      <c r="AS93" s="27"/>
      <c r="AT93" s="27"/>
      <c r="AU93" s="27"/>
      <c r="AV93" s="27"/>
      <c r="AW93" s="27"/>
      <c r="AX93" s="27"/>
      <c r="AY93" s="27"/>
      <c r="AZ93" s="27"/>
      <c r="BA93" s="27"/>
      <c r="BB93" s="27"/>
      <c r="BC93" s="27"/>
      <c r="BD93" s="27"/>
      <c r="BE93" s="27"/>
      <c r="BF93" s="27"/>
      <c r="BG93" s="27"/>
      <c r="BH93" s="27"/>
      <c r="BI93" s="27"/>
      <c r="BJ93" s="27"/>
      <c r="BK93" s="27"/>
      <c r="BL93" s="27"/>
      <c r="BM93" s="27"/>
      <c r="BN93" s="27"/>
      <c r="BO93" s="27"/>
      <c r="BP93" s="45">
        <v>46500</v>
      </c>
      <c r="BQ93" s="45"/>
      <c r="BR93" s="45"/>
      <c r="BS93" s="45"/>
      <c r="BT93" s="45"/>
      <c r="BU93" s="45"/>
      <c r="BV93" s="45"/>
      <c r="BW93" s="45"/>
      <c r="BX93" s="45">
        <v>58310</v>
      </c>
      <c r="BY93" s="45">
        <v>57120</v>
      </c>
      <c r="BZ93" s="45"/>
      <c r="CA93" s="101"/>
      <c r="CB93" s="101"/>
      <c r="CC93" s="101"/>
      <c r="CD93" s="101"/>
      <c r="CE93" s="101"/>
      <c r="CF93" s="101"/>
      <c r="CG93" s="101"/>
      <c r="CH93" s="101"/>
      <c r="CI93" s="101"/>
      <c r="CJ93" s="101"/>
      <c r="CK93" s="101"/>
      <c r="CL93" s="101"/>
      <c r="CM93" s="101"/>
      <c r="CN93" s="101"/>
      <c r="CO93" s="101"/>
      <c r="CP93" s="101"/>
      <c r="CQ93" s="101"/>
      <c r="CR93" s="107">
        <f t="shared" si="22"/>
        <v>57120</v>
      </c>
      <c r="CS93" s="107">
        <f t="shared" si="23"/>
        <v>53976.666666666664</v>
      </c>
      <c r="CT93" s="108">
        <f t="shared" si="24"/>
        <v>6502.2637083813615</v>
      </c>
      <c r="CU93" s="65">
        <f t="shared" si="41"/>
        <v>0.12046434339000855</v>
      </c>
      <c r="CV93" s="66">
        <f t="shared" si="42"/>
        <v>45358.823529411769</v>
      </c>
      <c r="CW93" s="66">
        <f t="shared" si="43"/>
        <v>8618.176470588236</v>
      </c>
      <c r="CX93" s="109">
        <f t="shared" si="28"/>
        <v>53977</v>
      </c>
      <c r="CY93" s="109">
        <f t="shared" si="44"/>
        <v>215908</v>
      </c>
      <c r="CZ93" s="110" t="s">
        <v>903</v>
      </c>
    </row>
    <row r="94" spans="1:104" x14ac:dyDescent="0.2">
      <c r="A94" s="169" t="s">
        <v>1047</v>
      </c>
      <c r="B94" s="170"/>
      <c r="C94" s="170"/>
      <c r="D94" s="171"/>
      <c r="E94" s="27"/>
      <c r="F94" s="27"/>
      <c r="G94" s="27"/>
      <c r="H94" s="27"/>
      <c r="I94" s="27"/>
      <c r="J94" s="27"/>
      <c r="K94" s="27"/>
      <c r="L94" s="27"/>
      <c r="M94" s="27"/>
      <c r="N94" s="27"/>
      <c r="O94" s="27"/>
      <c r="P94" s="27"/>
      <c r="Q94" s="27"/>
      <c r="R94" s="27"/>
      <c r="S94" s="27"/>
      <c r="T94" s="27"/>
      <c r="U94" s="27"/>
      <c r="V94" s="27"/>
      <c r="W94" s="27"/>
      <c r="X94" s="27"/>
      <c r="Y94" s="27"/>
      <c r="Z94" s="27"/>
      <c r="AA94" s="27"/>
      <c r="AB94" s="27"/>
      <c r="AC94" s="27"/>
      <c r="AD94" s="27"/>
      <c r="AE94" s="27"/>
      <c r="AF94" s="27"/>
      <c r="AG94" s="27"/>
      <c r="AH94" s="27"/>
      <c r="AI94" s="27"/>
      <c r="AJ94" s="27"/>
      <c r="AK94" s="27"/>
      <c r="AL94" s="27"/>
      <c r="AM94" s="27"/>
      <c r="AN94" s="27"/>
      <c r="AO94" s="27"/>
      <c r="AP94" s="27"/>
      <c r="AQ94" s="27"/>
      <c r="AR94" s="27"/>
      <c r="AS94" s="27"/>
      <c r="AT94" s="27"/>
      <c r="AU94" s="27"/>
      <c r="AV94" s="27"/>
      <c r="AW94" s="27"/>
      <c r="AX94" s="27"/>
      <c r="AY94" s="27"/>
      <c r="AZ94" s="27"/>
      <c r="BA94" s="27"/>
      <c r="BB94" s="27"/>
      <c r="BC94" s="27"/>
      <c r="BD94" s="27"/>
      <c r="BE94" s="27"/>
      <c r="BF94" s="27"/>
      <c r="BG94" s="27"/>
      <c r="BH94" s="27"/>
      <c r="BI94" s="27"/>
      <c r="BJ94" s="27"/>
      <c r="BK94" s="27"/>
      <c r="BL94" s="27"/>
      <c r="BM94" s="27"/>
      <c r="BN94" s="27"/>
      <c r="BO94" s="27"/>
      <c r="BP94" s="27"/>
      <c r="BQ94" s="27"/>
      <c r="BR94" s="27"/>
      <c r="BS94" s="27"/>
      <c r="BT94" s="27"/>
      <c r="BU94" s="27"/>
      <c r="BV94" s="27"/>
      <c r="BW94" s="27"/>
      <c r="BX94" s="27"/>
      <c r="BY94" s="27"/>
      <c r="BZ94" s="27"/>
      <c r="CA94" s="156"/>
      <c r="CB94" s="156"/>
      <c r="CC94" s="156"/>
      <c r="CD94" s="156"/>
      <c r="CE94" s="156"/>
      <c r="CF94" s="156"/>
      <c r="CG94" s="156"/>
      <c r="CH94" s="156"/>
      <c r="CI94" s="156"/>
      <c r="CJ94" s="156"/>
      <c r="CK94" s="156"/>
      <c r="CL94" s="156"/>
      <c r="CM94" s="156"/>
      <c r="CN94" s="156"/>
      <c r="CO94" s="156"/>
      <c r="CP94" s="156"/>
      <c r="CQ94" s="156"/>
      <c r="CR94" s="27"/>
      <c r="CS94" s="27"/>
      <c r="CT94" s="27"/>
      <c r="CU94" s="27"/>
      <c r="CV94" s="27"/>
      <c r="CW94" s="27"/>
      <c r="CX94" s="125">
        <f>SUM(CX6:CX93)</f>
        <v>108998060</v>
      </c>
      <c r="CY94" s="125">
        <f>SUM(CY6:CY93)</f>
        <v>178461581</v>
      </c>
      <c r="CZ94" s="27"/>
    </row>
    <row r="95" spans="1:104" x14ac:dyDescent="0.2">
      <c r="N95" s="55"/>
      <c r="P95" s="55"/>
      <c r="CY95" s="60"/>
    </row>
    <row r="96" spans="1:104" x14ac:dyDescent="0.2">
      <c r="CY96" s="91"/>
    </row>
  </sheetData>
  <autoFilter ref="A5:CZ96" xr:uid="{100E55B7-A574-45AF-9F86-585C63B3902A}"/>
  <mergeCells count="55">
    <mergeCell ref="CI3:CK4"/>
    <mergeCell ref="CL3:CN4"/>
    <mergeCell ref="CO3:CQ4"/>
    <mergeCell ref="CR3:CZ4"/>
    <mergeCell ref="A94:D94"/>
    <mergeCell ref="BW3:BW4"/>
    <mergeCell ref="BX3:BX4"/>
    <mergeCell ref="BY3:BY4"/>
    <mergeCell ref="BZ3:CB4"/>
    <mergeCell ref="CC3:CE4"/>
    <mergeCell ref="CF3:CH4"/>
    <mergeCell ref="BR3:BR4"/>
    <mergeCell ref="BS3:BS4"/>
    <mergeCell ref="BT3:BT4"/>
    <mergeCell ref="BU3:BU4"/>
    <mergeCell ref="BV3:BV4"/>
    <mergeCell ref="BM3:BM4"/>
    <mergeCell ref="BN3:BN4"/>
    <mergeCell ref="BO3:BO4"/>
    <mergeCell ref="BP3:BP4"/>
    <mergeCell ref="BQ3:BQ4"/>
    <mergeCell ref="BL3:BL4"/>
    <mergeCell ref="AV3:AW4"/>
    <mergeCell ref="AX3:AY4"/>
    <mergeCell ref="AZ3:BA4"/>
    <mergeCell ref="BB3:BC4"/>
    <mergeCell ref="BD3:BE4"/>
    <mergeCell ref="BF3:BF4"/>
    <mergeCell ref="BG3:BG4"/>
    <mergeCell ref="BH3:BH4"/>
    <mergeCell ref="BI3:BI4"/>
    <mergeCell ref="BJ3:BJ4"/>
    <mergeCell ref="BK3:BK4"/>
    <mergeCell ref="AT3:AU4"/>
    <mergeCell ref="AA3:AC4"/>
    <mergeCell ref="AD3:AE4"/>
    <mergeCell ref="AF3:AG4"/>
    <mergeCell ref="AH3:AI4"/>
    <mergeCell ref="AJ3:AK4"/>
    <mergeCell ref="AL3:AM4"/>
    <mergeCell ref="AN3:AO4"/>
    <mergeCell ref="AP3:AQ4"/>
    <mergeCell ref="AR3:AS4"/>
    <mergeCell ref="Y3:Z4"/>
    <mergeCell ref="A1:E1"/>
    <mergeCell ref="A2:E2"/>
    <mergeCell ref="A3:E4"/>
    <mergeCell ref="F3:G4"/>
    <mergeCell ref="H3:I4"/>
    <mergeCell ref="J3:K4"/>
    <mergeCell ref="L3:M4"/>
    <mergeCell ref="N3:P4"/>
    <mergeCell ref="Q3:R4"/>
    <mergeCell ref="S3:U4"/>
    <mergeCell ref="V3:X4"/>
  </mergeCells>
  <dataValidations count="1">
    <dataValidation type="list" allowBlank="1" showInputMessage="1" showErrorMessage="1" sqref="D49:D91" xr:uid="{E96A6AB8-C814-4898-901C-5F8AE48406F8}">
      <formula1>#REF!</formula1>
    </dataValidation>
  </dataValidation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758D8D-0918-4351-ACA9-E0680B333AE7}">
  <dimension ref="A1:BR204"/>
  <sheetViews>
    <sheetView tabSelected="1" zoomScale="60" zoomScaleNormal="60" workbookViewId="0">
      <pane xSplit="5" ySplit="4" topLeftCell="BO199" activePane="bottomRight" state="frozen"/>
      <selection pane="topRight" activeCell="F1" sqref="F1"/>
      <selection pane="bottomLeft" activeCell="A5" sqref="A5"/>
      <selection pane="bottomRight" activeCell="C216" sqref="C216"/>
    </sheetView>
  </sheetViews>
  <sheetFormatPr baseColWidth="10" defaultColWidth="10.6640625" defaultRowHeight="16" x14ac:dyDescent="0.2"/>
  <cols>
    <col min="1" max="1" width="10.6640625" style="2"/>
    <col min="2" max="2" width="32.6640625" style="6" customWidth="1"/>
    <col min="3" max="3" width="71.33203125" style="10" customWidth="1"/>
    <col min="4" max="4" width="22" style="8" customWidth="1"/>
    <col min="5" max="5" width="17.6640625" style="6" customWidth="1"/>
    <col min="6" max="9" width="16.6640625" style="2" customWidth="1"/>
    <col min="10" max="10" width="22.5" style="2" bestFit="1" customWidth="1"/>
    <col min="11" max="11" width="24.6640625" style="2" bestFit="1" customWidth="1"/>
    <col min="12" max="12" width="16.6640625" style="2" customWidth="1"/>
    <col min="13" max="13" width="24.6640625" style="2" bestFit="1" customWidth="1"/>
    <col min="14" max="14" width="16.6640625" style="2" customWidth="1"/>
    <col min="15" max="15" width="24.6640625" style="2" bestFit="1" customWidth="1"/>
    <col min="16" max="33" width="16.6640625" style="2" customWidth="1"/>
    <col min="34" max="34" width="11.5" style="2" customWidth="1"/>
    <col min="35" max="35" width="15.5" style="2" customWidth="1"/>
    <col min="36" max="37" width="26.5" style="2" customWidth="1"/>
    <col min="38" max="61" width="26.5" style="30" customWidth="1"/>
    <col min="62" max="62" width="15.6640625" style="2" customWidth="1"/>
    <col min="63" max="63" width="10.6640625" style="2" customWidth="1"/>
    <col min="64" max="65" width="10.6640625" style="2"/>
    <col min="66" max="66" width="23" style="2" bestFit="1" customWidth="1"/>
    <col min="67" max="67" width="16.5" style="2" bestFit="1" customWidth="1"/>
    <col min="68" max="68" width="24.5" style="2" bestFit="1" customWidth="1"/>
    <col min="69" max="69" width="29.5" style="2" customWidth="1"/>
    <col min="70" max="70" width="33.5" style="2" customWidth="1"/>
    <col min="71" max="71" width="15.83203125" style="2" customWidth="1"/>
    <col min="72" max="16384" width="10.6640625" style="2"/>
  </cols>
  <sheetData>
    <row r="1" spans="1:70" x14ac:dyDescent="0.2">
      <c r="A1" s="302" t="s">
        <v>0</v>
      </c>
      <c r="B1" s="303"/>
      <c r="C1" s="303"/>
      <c r="D1" s="303"/>
      <c r="E1" s="303"/>
      <c r="AL1" s="2"/>
      <c r="AM1" s="2"/>
      <c r="AN1" s="2"/>
      <c r="AO1" s="2"/>
      <c r="AP1" s="2"/>
      <c r="AQ1" s="2"/>
      <c r="AR1" s="2"/>
      <c r="AS1" s="2"/>
      <c r="AT1" s="2"/>
      <c r="AU1" s="2"/>
      <c r="AV1" s="2"/>
      <c r="AW1" s="2"/>
      <c r="AX1" s="2"/>
      <c r="AY1" s="2"/>
      <c r="AZ1" s="2"/>
      <c r="BA1" s="2"/>
      <c r="BB1" s="2"/>
      <c r="BC1" s="2"/>
      <c r="BD1" s="2"/>
      <c r="BE1" s="2"/>
      <c r="BF1" s="2"/>
      <c r="BG1" s="2"/>
      <c r="BH1" s="2"/>
      <c r="BI1" s="2"/>
    </row>
    <row r="2" spans="1:70" ht="15.5" customHeight="1" x14ac:dyDescent="0.2">
      <c r="A2" s="304" t="s">
        <v>1162</v>
      </c>
      <c r="B2" s="304"/>
      <c r="C2" s="304"/>
      <c r="D2" s="304"/>
      <c r="E2" s="304"/>
      <c r="F2" s="20"/>
      <c r="G2" s="20"/>
      <c r="H2" s="20"/>
      <c r="I2" s="20"/>
      <c r="J2" s="20"/>
      <c r="K2" s="20"/>
      <c r="L2" s="20"/>
      <c r="M2" s="20"/>
      <c r="N2" s="20"/>
      <c r="O2" s="20"/>
      <c r="P2" s="20"/>
      <c r="Q2" s="20"/>
      <c r="R2" s="20"/>
      <c r="S2" s="20"/>
      <c r="T2" s="20"/>
      <c r="U2" s="20"/>
      <c r="V2" s="20"/>
      <c r="W2" s="20"/>
      <c r="X2" s="20"/>
      <c r="Y2" s="20"/>
      <c r="Z2" s="20"/>
      <c r="AA2" s="20"/>
      <c r="AB2" s="20"/>
      <c r="AC2" s="20"/>
      <c r="AD2" s="20"/>
      <c r="AE2" s="20"/>
      <c r="AF2" s="20"/>
      <c r="AG2" s="20"/>
      <c r="AH2" s="20"/>
      <c r="AI2" s="20"/>
      <c r="AJ2" s="20"/>
      <c r="AK2" s="20"/>
      <c r="AL2" s="20"/>
      <c r="AM2" s="20"/>
      <c r="AN2" s="20"/>
      <c r="AO2" s="20"/>
      <c r="AP2" s="20"/>
      <c r="AQ2" s="20"/>
      <c r="AR2" s="20"/>
      <c r="AS2" s="20"/>
      <c r="AT2" s="20"/>
      <c r="AU2" s="20"/>
      <c r="AV2" s="20"/>
      <c r="AW2" s="20"/>
      <c r="AX2" s="20"/>
      <c r="AY2" s="20"/>
      <c r="AZ2" s="20"/>
      <c r="BA2" s="20"/>
      <c r="BB2" s="20"/>
      <c r="BC2" s="20"/>
      <c r="BD2" s="20"/>
      <c r="BE2" s="20"/>
      <c r="BF2" s="20"/>
      <c r="BG2" s="20"/>
      <c r="BH2" s="20"/>
      <c r="BI2" s="20"/>
      <c r="BJ2" s="20"/>
      <c r="BK2" s="20"/>
      <c r="BL2" s="20"/>
      <c r="BM2" s="20"/>
      <c r="BN2" s="20"/>
      <c r="BO2" s="20"/>
      <c r="BP2" s="20"/>
      <c r="BQ2" s="20"/>
      <c r="BR2" s="20"/>
    </row>
    <row r="3" spans="1:70" ht="45" customHeight="1" x14ac:dyDescent="0.2">
      <c r="A3" s="313" t="s">
        <v>1161</v>
      </c>
      <c r="B3" s="314"/>
      <c r="C3" s="314"/>
      <c r="D3" s="314"/>
      <c r="E3" s="315"/>
      <c r="F3" s="305" t="s">
        <v>1014</v>
      </c>
      <c r="G3" s="198"/>
      <c r="H3" s="306" t="s">
        <v>976</v>
      </c>
      <c r="I3" s="198"/>
      <c r="J3" s="305" t="s">
        <v>977</v>
      </c>
      <c r="K3" s="198"/>
      <c r="L3" s="309" t="s">
        <v>978</v>
      </c>
      <c r="M3" s="198"/>
      <c r="N3" s="305" t="s">
        <v>979</v>
      </c>
      <c r="O3" s="198"/>
      <c r="P3" s="309" t="s">
        <v>980</v>
      </c>
      <c r="Q3" s="309"/>
      <c r="R3" s="305" t="s">
        <v>981</v>
      </c>
      <c r="S3" s="198"/>
      <c r="T3" s="306" t="s">
        <v>982</v>
      </c>
      <c r="U3" s="198"/>
      <c r="V3" s="305" t="s">
        <v>983</v>
      </c>
      <c r="W3" s="198"/>
      <c r="X3" s="310" t="s">
        <v>984</v>
      </c>
      <c r="Y3" s="310"/>
      <c r="Z3" s="311" t="s">
        <v>985</v>
      </c>
      <c r="AA3" s="311"/>
      <c r="AB3" s="312" t="s">
        <v>986</v>
      </c>
      <c r="AC3" s="312"/>
      <c r="AD3" s="311" t="s">
        <v>987</v>
      </c>
      <c r="AE3" s="311"/>
      <c r="AF3" s="307" t="s">
        <v>988</v>
      </c>
      <c r="AG3" s="307"/>
      <c r="AH3" s="308" t="s">
        <v>989</v>
      </c>
      <c r="AI3" s="308"/>
      <c r="AJ3" s="29" t="s">
        <v>1007</v>
      </c>
      <c r="AK3" s="23" t="s">
        <v>1008</v>
      </c>
      <c r="AL3" s="29" t="s">
        <v>1009</v>
      </c>
      <c r="AM3" s="23" t="s">
        <v>1012</v>
      </c>
      <c r="AN3" s="29" t="s">
        <v>1013</v>
      </c>
      <c r="AO3" s="23" t="s">
        <v>1015</v>
      </c>
      <c r="AP3" s="29" t="s">
        <v>1033</v>
      </c>
      <c r="AQ3" s="23" t="s">
        <v>1034</v>
      </c>
      <c r="AR3" s="29" t="s">
        <v>1036</v>
      </c>
      <c r="AS3" s="316" t="s">
        <v>1037</v>
      </c>
      <c r="AT3" s="317"/>
      <c r="AU3" s="318"/>
      <c r="AV3" s="319" t="s">
        <v>1040</v>
      </c>
      <c r="AW3" s="320"/>
      <c r="AX3" s="321"/>
      <c r="AY3" s="23" t="s">
        <v>1027</v>
      </c>
      <c r="AZ3" s="37" t="s">
        <v>1030</v>
      </c>
      <c r="BA3" s="23" t="s">
        <v>1042</v>
      </c>
      <c r="BB3" s="37" t="s">
        <v>1041</v>
      </c>
      <c r="BC3" s="23" t="s">
        <v>1044</v>
      </c>
      <c r="BD3" s="316" t="s">
        <v>1045</v>
      </c>
      <c r="BE3" s="317"/>
      <c r="BF3" s="318"/>
      <c r="BG3" s="319" t="s">
        <v>1046</v>
      </c>
      <c r="BH3" s="320"/>
      <c r="BI3" s="321"/>
      <c r="BJ3" s="322" t="s">
        <v>990</v>
      </c>
      <c r="BK3" s="322"/>
      <c r="BL3" s="322"/>
      <c r="BM3" s="322"/>
      <c r="BN3" s="322"/>
      <c r="BO3" s="322"/>
      <c r="BP3" s="322"/>
      <c r="BQ3" s="322"/>
      <c r="BR3" s="322"/>
    </row>
    <row r="4" spans="1:70" s="8" customFormat="1" ht="102" x14ac:dyDescent="0.2">
      <c r="A4" s="22" t="s">
        <v>1</v>
      </c>
      <c r="B4" s="22" t="s">
        <v>2</v>
      </c>
      <c r="C4" s="22" t="s">
        <v>3</v>
      </c>
      <c r="D4" s="22" t="s">
        <v>4</v>
      </c>
      <c r="E4" s="22" t="s">
        <v>889</v>
      </c>
      <c r="F4" s="18" t="s">
        <v>891</v>
      </c>
      <c r="G4" s="19" t="s">
        <v>907</v>
      </c>
      <c r="H4" s="18" t="s">
        <v>891</v>
      </c>
      <c r="I4" s="19" t="s">
        <v>907</v>
      </c>
      <c r="J4" s="18" t="s">
        <v>891</v>
      </c>
      <c r="K4" s="19" t="s">
        <v>907</v>
      </c>
      <c r="L4" s="18" t="s">
        <v>891</v>
      </c>
      <c r="M4" s="19" t="s">
        <v>907</v>
      </c>
      <c r="N4" s="18" t="s">
        <v>891</v>
      </c>
      <c r="O4" s="19" t="s">
        <v>907</v>
      </c>
      <c r="P4" s="18" t="s">
        <v>891</v>
      </c>
      <c r="Q4" s="19" t="s">
        <v>907</v>
      </c>
      <c r="R4" s="18" t="s">
        <v>891</v>
      </c>
      <c r="S4" s="19" t="s">
        <v>907</v>
      </c>
      <c r="T4" s="18" t="s">
        <v>891</v>
      </c>
      <c r="U4" s="19" t="s">
        <v>907</v>
      </c>
      <c r="V4" s="18" t="s">
        <v>891</v>
      </c>
      <c r="W4" s="19" t="s">
        <v>907</v>
      </c>
      <c r="X4" s="53" t="s">
        <v>5</v>
      </c>
      <c r="Y4" s="19" t="s">
        <v>907</v>
      </c>
      <c r="Z4" s="58" t="s">
        <v>5</v>
      </c>
      <c r="AA4" s="19" t="s">
        <v>907</v>
      </c>
      <c r="AB4" s="58" t="s">
        <v>5</v>
      </c>
      <c r="AC4" s="19" t="s">
        <v>907</v>
      </c>
      <c r="AD4" s="58" t="s">
        <v>5</v>
      </c>
      <c r="AE4" s="19" t="s">
        <v>907</v>
      </c>
      <c r="AF4" s="53" t="s">
        <v>5</v>
      </c>
      <c r="AG4" s="19" t="s">
        <v>907</v>
      </c>
      <c r="AH4" s="53" t="s">
        <v>5</v>
      </c>
      <c r="AI4" s="19" t="s">
        <v>907</v>
      </c>
      <c r="AJ4" s="53" t="s">
        <v>5</v>
      </c>
      <c r="AK4" s="53" t="s">
        <v>5</v>
      </c>
      <c r="AL4" s="53" t="s">
        <v>5</v>
      </c>
      <c r="AM4" s="53" t="s">
        <v>5</v>
      </c>
      <c r="AN4" s="53" t="s">
        <v>5</v>
      </c>
      <c r="AO4" s="53" t="s">
        <v>5</v>
      </c>
      <c r="AP4" s="53" t="s">
        <v>5</v>
      </c>
      <c r="AQ4" s="53" t="s">
        <v>5</v>
      </c>
      <c r="AR4" s="53" t="s">
        <v>5</v>
      </c>
      <c r="AS4" s="53" t="s">
        <v>1038</v>
      </c>
      <c r="AT4" s="53" t="s">
        <v>900</v>
      </c>
      <c r="AU4" s="18" t="s">
        <v>1176</v>
      </c>
      <c r="AV4" s="53" t="s">
        <v>1038</v>
      </c>
      <c r="AW4" s="53" t="s">
        <v>900</v>
      </c>
      <c r="AX4" s="18" t="s">
        <v>1176</v>
      </c>
      <c r="AY4" s="53" t="s">
        <v>5</v>
      </c>
      <c r="AZ4" s="53" t="s">
        <v>5</v>
      </c>
      <c r="BA4" s="53" t="s">
        <v>5</v>
      </c>
      <c r="BB4" s="53" t="s">
        <v>5</v>
      </c>
      <c r="BC4" s="53" t="s">
        <v>5</v>
      </c>
      <c r="BD4" s="53" t="s">
        <v>1038</v>
      </c>
      <c r="BE4" s="53" t="s">
        <v>900</v>
      </c>
      <c r="BF4" s="18" t="s">
        <v>1176</v>
      </c>
      <c r="BG4" s="53" t="s">
        <v>1038</v>
      </c>
      <c r="BH4" s="53" t="s">
        <v>900</v>
      </c>
      <c r="BI4" s="18" t="s">
        <v>1176</v>
      </c>
      <c r="BJ4" s="36" t="s">
        <v>894</v>
      </c>
      <c r="BK4" s="36" t="s">
        <v>895</v>
      </c>
      <c r="BL4" s="36" t="s">
        <v>923</v>
      </c>
      <c r="BM4" s="40" t="s">
        <v>897</v>
      </c>
      <c r="BN4" s="41" t="s">
        <v>899</v>
      </c>
      <c r="BO4" s="41" t="s">
        <v>900</v>
      </c>
      <c r="BP4" s="39" t="s">
        <v>924</v>
      </c>
      <c r="BQ4" s="39" t="s">
        <v>1048</v>
      </c>
      <c r="BR4" s="41" t="s">
        <v>901</v>
      </c>
    </row>
    <row r="5" spans="1:70" ht="48" customHeight="1" x14ac:dyDescent="0.2">
      <c r="A5" s="63">
        <v>1</v>
      </c>
      <c r="B5" s="63" t="s">
        <v>507</v>
      </c>
      <c r="C5" s="157" t="s">
        <v>508</v>
      </c>
      <c r="D5" s="63" t="s">
        <v>509</v>
      </c>
      <c r="E5" s="63">
        <v>50</v>
      </c>
      <c r="F5" s="38"/>
      <c r="G5" s="38"/>
      <c r="H5" s="38"/>
      <c r="I5" s="38"/>
      <c r="J5" s="38"/>
      <c r="K5" s="38"/>
      <c r="L5" s="38"/>
      <c r="M5" s="38"/>
      <c r="N5" s="38"/>
      <c r="O5" s="38"/>
      <c r="P5" s="38"/>
      <c r="Q5" s="38"/>
      <c r="R5" s="38"/>
      <c r="S5" s="38"/>
      <c r="T5" s="38"/>
      <c r="U5" s="38"/>
      <c r="V5" s="38"/>
      <c r="W5" s="38"/>
      <c r="X5" s="38"/>
      <c r="Y5" s="38"/>
      <c r="Z5" s="38"/>
      <c r="AA5" s="38"/>
      <c r="AB5" s="38"/>
      <c r="AC5" s="38"/>
      <c r="AD5" s="38"/>
      <c r="AE5" s="38"/>
      <c r="AF5" s="38"/>
      <c r="AG5" s="38"/>
      <c r="AH5" s="38"/>
      <c r="AI5" s="38"/>
      <c r="AJ5" s="38"/>
      <c r="AK5" s="38"/>
      <c r="AL5" s="38">
        <v>14300</v>
      </c>
      <c r="AM5" s="38"/>
      <c r="AN5" s="38">
        <v>26551.200000000001</v>
      </c>
      <c r="AO5" s="38"/>
      <c r="AP5" s="38"/>
      <c r="AQ5" s="38"/>
      <c r="AR5" s="38"/>
      <c r="AS5" s="38"/>
      <c r="AT5" s="38"/>
      <c r="AU5" s="38"/>
      <c r="AV5" s="38"/>
      <c r="AW5" s="38"/>
      <c r="AX5" s="38"/>
      <c r="AY5" s="38">
        <v>25585</v>
      </c>
      <c r="AZ5" s="38">
        <v>26180</v>
      </c>
      <c r="BA5" s="38">
        <v>23400</v>
      </c>
      <c r="BB5" s="38"/>
      <c r="BC5" s="38"/>
      <c r="BD5" s="38"/>
      <c r="BE5" s="38"/>
      <c r="BF5" s="38"/>
      <c r="BG5" s="38"/>
      <c r="BH5" s="38"/>
      <c r="BI5" s="38"/>
      <c r="BJ5" s="107">
        <f>MEDIAN(G5,I5,K5,M5,O5,Q5,S5,U5,W5,Y5,AA5,AC5,AE5,AG5,AI5,AJ5,AK5,AL5,AM5,AN5,AO5,AP5,AQ5,AR5,AU5,AX5,AY5,AZ5,BA5,BB5,BC5,BF5,BI5)</f>
        <v>25585</v>
      </c>
      <c r="BK5" s="107">
        <f>AVERAGE(G5,I5,K5,M5,O5,Q5,S5,U5,W5,Y5,AA5,AC5,AE5,AG5,AI5,AJ5,AK5,AL5,AM5,AN5,AO5,AP5,AQ5,AR5,AU5,AX5,AY5,AZ5,BA5,BB5,BC5,BF5,BI5)</f>
        <v>23203.239999999998</v>
      </c>
      <c r="BL5" s="108">
        <f>STDEV(G5,I5,K5,M5,O5,Q5,S5,U5,W5,Y5,AA5,AC5,AE5,AG5,AI5,AJ5,AK5,AL5,AM5,AN5,AO5,AP5,AQ5,AR5,AU5,AX5,AY5,AZ5,BA5,BB5,BC5,BF5,BI5)</f>
        <v>5124.6735006242143</v>
      </c>
      <c r="BM5" s="65">
        <f>BL5/BK5</f>
        <v>0.22086025488786112</v>
      </c>
      <c r="BN5" s="109">
        <f t="shared" ref="BN5:BN47" si="0">ROUNDUP(IF(BM5&lt;15%,BK5,BJ5),0)</f>
        <v>25585</v>
      </c>
      <c r="BO5" s="66">
        <v>0</v>
      </c>
      <c r="BP5" s="109">
        <f>BN5+BO5</f>
        <v>25585</v>
      </c>
      <c r="BQ5" s="76">
        <f t="shared" ref="BQ5:BQ47" si="1">BN5*E5</f>
        <v>1279250</v>
      </c>
      <c r="BR5" s="110" t="s">
        <v>902</v>
      </c>
    </row>
    <row r="6" spans="1:70" ht="31.5" customHeight="1" x14ac:dyDescent="0.2">
      <c r="A6" s="63">
        <v>2</v>
      </c>
      <c r="B6" s="126" t="s">
        <v>510</v>
      </c>
      <c r="C6" s="157" t="s">
        <v>1143</v>
      </c>
      <c r="D6" s="63" t="s">
        <v>1144</v>
      </c>
      <c r="E6" s="63">
        <v>5</v>
      </c>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v>13700</v>
      </c>
      <c r="AM6" s="38"/>
      <c r="AN6" s="38"/>
      <c r="AO6" s="38"/>
      <c r="AP6" s="38"/>
      <c r="AQ6" s="38"/>
      <c r="AR6" s="38"/>
      <c r="AS6" s="38">
        <v>11344.53781512605</v>
      </c>
      <c r="AT6" s="38">
        <f>AS6*19%</f>
        <v>2155.4621848739494</v>
      </c>
      <c r="AU6" s="38">
        <f>(AS6*1.17)+AT6</f>
        <v>15428.571428571428</v>
      </c>
      <c r="AV6" s="38"/>
      <c r="AW6" s="38"/>
      <c r="AX6" s="38"/>
      <c r="AY6" s="38">
        <v>22610</v>
      </c>
      <c r="AZ6" s="38">
        <v>22015</v>
      </c>
      <c r="BA6" s="38">
        <v>12960</v>
      </c>
      <c r="BB6" s="38"/>
      <c r="BC6" s="38"/>
      <c r="BD6" s="38"/>
      <c r="BE6" s="38"/>
      <c r="BF6" s="38"/>
      <c r="BG6" s="38"/>
      <c r="BH6" s="38"/>
      <c r="BI6" s="38"/>
      <c r="BJ6" s="107">
        <f t="shared" ref="BJ6:BJ69" si="2">MEDIAN(G6,I6,K6,M6,O6,Q6,S6,U6,W6,Y6,AA6,AC6,AE6,AG6,AI6,AJ6,AK6,AL6,AM6,AN6,AO6,AP6,AQ6,AR6,AU6,AX6,AY6,AZ6,BA6,BB6,BC6,BF6,BI6)</f>
        <v>15428.571428571428</v>
      </c>
      <c r="BK6" s="107">
        <f t="shared" ref="BK6:BK69" si="3">AVERAGE(G6,I6,K6,M6,O6,Q6,S6,U6,W6,Y6,AA6,AC6,AE6,AG6,AI6,AJ6,AK6,AL6,AM6,AN6,AO6,AP6,AQ6,AR6,AU6,AX6,AY6,AZ6,BA6,BB6,BC6,BF6,BI6)</f>
        <v>17342.714285714283</v>
      </c>
      <c r="BL6" s="108">
        <f t="shared" ref="BL6:BL69" si="4">STDEV(G6,I6,K6,M6,O6,Q6,S6,U6,W6,Y6,AA6,AC6,AE6,AG6,AI6,AJ6,AK6,AL6,AM6,AN6,AO6,AP6,AQ6,AR6,AU6,AX6,AY6,AZ6,BA6,BB6,BC6,BF6,BI6)</f>
        <v>4629.1480681368048</v>
      </c>
      <c r="BM6" s="65">
        <f t="shared" ref="BM6:BM69" si="5">BL6/BK6</f>
        <v>0.26692177428938985</v>
      </c>
      <c r="BN6" s="109">
        <f t="shared" si="0"/>
        <v>15429</v>
      </c>
      <c r="BO6" s="66">
        <v>0</v>
      </c>
      <c r="BP6" s="109">
        <f t="shared" ref="BP6:BP52" si="6">BN6+BO6</f>
        <v>15429</v>
      </c>
      <c r="BQ6" s="76">
        <f t="shared" si="1"/>
        <v>77145</v>
      </c>
      <c r="BR6" s="110" t="s">
        <v>902</v>
      </c>
    </row>
    <row r="7" spans="1:70" ht="34" x14ac:dyDescent="0.2">
      <c r="A7" s="63">
        <v>3</v>
      </c>
      <c r="B7" s="63" t="s">
        <v>511</v>
      </c>
      <c r="C7" s="157" t="s">
        <v>512</v>
      </c>
      <c r="D7" s="63" t="s">
        <v>513</v>
      </c>
      <c r="E7" s="63">
        <v>2</v>
      </c>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v>40800</v>
      </c>
      <c r="AM7" s="38"/>
      <c r="AN7" s="38"/>
      <c r="AO7" s="38"/>
      <c r="AP7" s="38"/>
      <c r="AQ7" s="38"/>
      <c r="AR7" s="38"/>
      <c r="AS7" s="38"/>
      <c r="AT7" s="38"/>
      <c r="AU7" s="38"/>
      <c r="AV7" s="38">
        <v>38319.327731092439</v>
      </c>
      <c r="AW7" s="38">
        <f>AV7*19%</f>
        <v>7280.6722689075632</v>
      </c>
      <c r="AX7" s="38">
        <f>(AV7*1.17)+AW7</f>
        <v>52114.28571428571</v>
      </c>
      <c r="AY7" s="38"/>
      <c r="AZ7" s="38"/>
      <c r="BA7" s="38">
        <v>41400</v>
      </c>
      <c r="BB7" s="38"/>
      <c r="BC7" s="38"/>
      <c r="BD7" s="38"/>
      <c r="BE7" s="38"/>
      <c r="BF7" s="38"/>
      <c r="BG7" s="38"/>
      <c r="BH7" s="38"/>
      <c r="BI7" s="38"/>
      <c r="BJ7" s="107">
        <f t="shared" si="2"/>
        <v>41400</v>
      </c>
      <c r="BK7" s="107">
        <f t="shared" si="3"/>
        <v>44771.428571428572</v>
      </c>
      <c r="BL7" s="108">
        <f t="shared" si="4"/>
        <v>6366.1733612356547</v>
      </c>
      <c r="BM7" s="65">
        <f t="shared" si="5"/>
        <v>0.14219276811949452</v>
      </c>
      <c r="BN7" s="109">
        <f t="shared" si="0"/>
        <v>44772</v>
      </c>
      <c r="BO7" s="66">
        <v>0</v>
      </c>
      <c r="BP7" s="109">
        <f t="shared" si="6"/>
        <v>44772</v>
      </c>
      <c r="BQ7" s="76">
        <f t="shared" si="1"/>
        <v>89544</v>
      </c>
      <c r="BR7" s="110" t="s">
        <v>903</v>
      </c>
    </row>
    <row r="8" spans="1:70" ht="34" x14ac:dyDescent="0.2">
      <c r="A8" s="63">
        <v>4</v>
      </c>
      <c r="B8" s="63" t="s">
        <v>511</v>
      </c>
      <c r="C8" s="157" t="s">
        <v>514</v>
      </c>
      <c r="D8" s="63" t="s">
        <v>509</v>
      </c>
      <c r="E8" s="63">
        <v>2</v>
      </c>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v>99176</v>
      </c>
      <c r="AO8" s="38">
        <v>118200</v>
      </c>
      <c r="AP8" s="38"/>
      <c r="AQ8" s="38"/>
      <c r="AR8" s="38"/>
      <c r="AS8" s="38"/>
      <c r="AT8" s="38"/>
      <c r="AU8" s="38"/>
      <c r="AV8" s="38"/>
      <c r="AW8" s="38"/>
      <c r="AX8" s="38"/>
      <c r="AY8" s="38"/>
      <c r="AZ8" s="38"/>
      <c r="BA8" s="38">
        <v>86400</v>
      </c>
      <c r="BB8" s="38"/>
      <c r="BC8" s="38"/>
      <c r="BD8" s="38"/>
      <c r="BE8" s="38"/>
      <c r="BF8" s="38"/>
      <c r="BG8" s="38"/>
      <c r="BH8" s="38"/>
      <c r="BI8" s="38"/>
      <c r="BJ8" s="107">
        <f t="shared" si="2"/>
        <v>99176</v>
      </c>
      <c r="BK8" s="107">
        <f t="shared" si="3"/>
        <v>101258.66666666667</v>
      </c>
      <c r="BL8" s="108">
        <f t="shared" si="4"/>
        <v>16001.972545074997</v>
      </c>
      <c r="BM8" s="65">
        <f t="shared" si="5"/>
        <v>0.15803064638162656</v>
      </c>
      <c r="BN8" s="109">
        <f t="shared" si="0"/>
        <v>99176</v>
      </c>
      <c r="BO8" s="66">
        <v>0</v>
      </c>
      <c r="BP8" s="109">
        <f t="shared" si="6"/>
        <v>99176</v>
      </c>
      <c r="BQ8" s="76">
        <f t="shared" si="1"/>
        <v>198352</v>
      </c>
      <c r="BR8" s="110" t="s">
        <v>903</v>
      </c>
    </row>
    <row r="9" spans="1:70" ht="34" x14ac:dyDescent="0.2">
      <c r="A9" s="63">
        <v>5</v>
      </c>
      <c r="B9" s="63" t="s">
        <v>511</v>
      </c>
      <c r="C9" s="157" t="s">
        <v>515</v>
      </c>
      <c r="D9" s="63" t="s">
        <v>516</v>
      </c>
      <c r="E9" s="63">
        <v>100</v>
      </c>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v>31500</v>
      </c>
      <c r="AM9" s="38"/>
      <c r="AN9" s="38">
        <v>28520</v>
      </c>
      <c r="AO9" s="38">
        <v>36600</v>
      </c>
      <c r="AP9" s="38"/>
      <c r="AQ9" s="38"/>
      <c r="AR9" s="38"/>
      <c r="AS9" s="38"/>
      <c r="AT9" s="38"/>
      <c r="AU9" s="38"/>
      <c r="AV9" s="38"/>
      <c r="AW9" s="38"/>
      <c r="AX9" s="38"/>
      <c r="AY9" s="38"/>
      <c r="AZ9" s="38"/>
      <c r="BA9" s="38">
        <v>25200</v>
      </c>
      <c r="BB9" s="38"/>
      <c r="BC9" s="38"/>
      <c r="BD9" s="38"/>
      <c r="BE9" s="38"/>
      <c r="BF9" s="38"/>
      <c r="BG9" s="38"/>
      <c r="BH9" s="38"/>
      <c r="BI9" s="38"/>
      <c r="BJ9" s="107">
        <f t="shared" si="2"/>
        <v>30010</v>
      </c>
      <c r="BK9" s="107">
        <f t="shared" si="3"/>
        <v>30455</v>
      </c>
      <c r="BL9" s="108">
        <f t="shared" si="4"/>
        <v>4837.7784157606884</v>
      </c>
      <c r="BM9" s="65">
        <f t="shared" si="5"/>
        <v>0.15885005469580327</v>
      </c>
      <c r="BN9" s="109">
        <f t="shared" si="0"/>
        <v>30010</v>
      </c>
      <c r="BO9" s="66">
        <v>0</v>
      </c>
      <c r="BP9" s="109">
        <f t="shared" si="6"/>
        <v>30010</v>
      </c>
      <c r="BQ9" s="76">
        <f t="shared" si="1"/>
        <v>3001000</v>
      </c>
      <c r="BR9" s="110" t="s">
        <v>903</v>
      </c>
    </row>
    <row r="10" spans="1:70" ht="34" x14ac:dyDescent="0.2">
      <c r="A10" s="63">
        <v>6</v>
      </c>
      <c r="B10" s="63" t="s">
        <v>511</v>
      </c>
      <c r="C10" s="157" t="s">
        <v>517</v>
      </c>
      <c r="D10" s="63" t="s">
        <v>518</v>
      </c>
      <c r="E10" s="63">
        <v>10</v>
      </c>
      <c r="F10" s="38"/>
      <c r="G10" s="38"/>
      <c r="H10" s="38"/>
      <c r="I10" s="38"/>
      <c r="J10" s="38"/>
      <c r="K10" s="38"/>
      <c r="L10" s="38"/>
      <c r="M10" s="38"/>
      <c r="N10" s="38"/>
      <c r="O10" s="38"/>
      <c r="P10" s="38"/>
      <c r="Q10" s="38"/>
      <c r="R10" s="38"/>
      <c r="S10" s="38"/>
      <c r="T10" s="38"/>
      <c r="U10" s="38"/>
      <c r="V10" s="38"/>
      <c r="W10" s="38"/>
      <c r="X10" s="38"/>
      <c r="Y10" s="38"/>
      <c r="Z10" s="38"/>
      <c r="AA10" s="38"/>
      <c r="AB10" s="38"/>
      <c r="AC10" s="38"/>
      <c r="AD10" s="38"/>
      <c r="AE10" s="38"/>
      <c r="AF10" s="38"/>
      <c r="AG10" s="38"/>
      <c r="AH10" s="38"/>
      <c r="AI10" s="38"/>
      <c r="AJ10" s="38"/>
      <c r="AK10" s="38"/>
      <c r="AL10" s="38">
        <v>29000</v>
      </c>
      <c r="AM10" s="38"/>
      <c r="AN10" s="38">
        <v>21196.799999999999</v>
      </c>
      <c r="AO10" s="38">
        <v>32100</v>
      </c>
      <c r="AP10" s="38"/>
      <c r="AQ10" s="38"/>
      <c r="AR10" s="38"/>
      <c r="AS10" s="38"/>
      <c r="AT10" s="38"/>
      <c r="AU10" s="38"/>
      <c r="AV10" s="38"/>
      <c r="AW10" s="38"/>
      <c r="AX10" s="38"/>
      <c r="AY10" s="38"/>
      <c r="AZ10" s="38"/>
      <c r="BA10" s="38"/>
      <c r="BB10" s="38"/>
      <c r="BC10" s="38"/>
      <c r="BD10" s="38"/>
      <c r="BE10" s="38"/>
      <c r="BF10" s="38"/>
      <c r="BG10" s="38"/>
      <c r="BH10" s="38"/>
      <c r="BI10" s="38"/>
      <c r="BJ10" s="107">
        <f t="shared" si="2"/>
        <v>29000</v>
      </c>
      <c r="BK10" s="107">
        <f t="shared" si="3"/>
        <v>27432.266666666666</v>
      </c>
      <c r="BL10" s="108">
        <f t="shared" si="4"/>
        <v>5618.1209859999617</v>
      </c>
      <c r="BM10" s="65">
        <f t="shared" si="5"/>
        <v>0.20479973653896488</v>
      </c>
      <c r="BN10" s="109">
        <f t="shared" si="0"/>
        <v>29000</v>
      </c>
      <c r="BO10" s="66">
        <v>0</v>
      </c>
      <c r="BP10" s="109">
        <f t="shared" si="6"/>
        <v>29000</v>
      </c>
      <c r="BQ10" s="76">
        <f t="shared" si="1"/>
        <v>290000</v>
      </c>
      <c r="BR10" s="110" t="s">
        <v>902</v>
      </c>
    </row>
    <row r="11" spans="1:70" ht="34" x14ac:dyDescent="0.2">
      <c r="A11" s="63">
        <v>7</v>
      </c>
      <c r="B11" s="63" t="s">
        <v>511</v>
      </c>
      <c r="C11" s="157" t="s">
        <v>519</v>
      </c>
      <c r="D11" s="63" t="s">
        <v>513</v>
      </c>
      <c r="E11" s="63">
        <v>3</v>
      </c>
      <c r="F11" s="38"/>
      <c r="G11" s="38"/>
      <c r="H11" s="38"/>
      <c r="I11" s="38"/>
      <c r="J11" s="38"/>
      <c r="K11" s="38"/>
      <c r="L11" s="38"/>
      <c r="M11" s="38"/>
      <c r="N11" s="38"/>
      <c r="O11" s="38"/>
      <c r="P11" s="38"/>
      <c r="Q11" s="38"/>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v>52360</v>
      </c>
      <c r="AZ11" s="38">
        <v>49980</v>
      </c>
      <c r="BA11" s="38"/>
      <c r="BB11" s="38">
        <v>38500</v>
      </c>
      <c r="BC11" s="38"/>
      <c r="BD11" s="38"/>
      <c r="BE11" s="38"/>
      <c r="BF11" s="38"/>
      <c r="BG11" s="38"/>
      <c r="BH11" s="38"/>
      <c r="BI11" s="38"/>
      <c r="BJ11" s="107">
        <f t="shared" si="2"/>
        <v>49980</v>
      </c>
      <c r="BK11" s="107">
        <f t="shared" si="3"/>
        <v>46946.666666666664</v>
      </c>
      <c r="BL11" s="108">
        <f t="shared" si="4"/>
        <v>7411.1897380470227</v>
      </c>
      <c r="BM11" s="65">
        <f t="shared" si="5"/>
        <v>0.1578640245252845</v>
      </c>
      <c r="BN11" s="109">
        <f t="shared" si="0"/>
        <v>49980</v>
      </c>
      <c r="BO11" s="66">
        <v>0</v>
      </c>
      <c r="BP11" s="109">
        <f t="shared" si="6"/>
        <v>49980</v>
      </c>
      <c r="BQ11" s="76">
        <f t="shared" si="1"/>
        <v>149940</v>
      </c>
      <c r="BR11" s="110" t="s">
        <v>903</v>
      </c>
    </row>
    <row r="12" spans="1:70" ht="34" x14ac:dyDescent="0.2">
      <c r="A12" s="63">
        <v>8</v>
      </c>
      <c r="B12" s="63" t="s">
        <v>511</v>
      </c>
      <c r="C12" s="157" t="s">
        <v>520</v>
      </c>
      <c r="D12" s="63" t="s">
        <v>521</v>
      </c>
      <c r="E12" s="63">
        <v>150</v>
      </c>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f>4830*2</f>
        <v>9660</v>
      </c>
      <c r="AO12" s="38"/>
      <c r="AP12" s="38"/>
      <c r="AQ12" s="38"/>
      <c r="AR12" s="38"/>
      <c r="AS12" s="38"/>
      <c r="AT12" s="38"/>
      <c r="AU12" s="38"/>
      <c r="AV12" s="38"/>
      <c r="AW12" s="38"/>
      <c r="AX12" s="38"/>
      <c r="AY12" s="38">
        <v>11305</v>
      </c>
      <c r="AZ12" s="38">
        <v>11305</v>
      </c>
      <c r="BA12" s="38">
        <v>10000</v>
      </c>
      <c r="BB12" s="38"/>
      <c r="BC12" s="38"/>
      <c r="BD12" s="38"/>
      <c r="BE12" s="38"/>
      <c r="BF12" s="38"/>
      <c r="BG12" s="38"/>
      <c r="BH12" s="38"/>
      <c r="BI12" s="38"/>
      <c r="BJ12" s="107">
        <f t="shared" si="2"/>
        <v>10652.5</v>
      </c>
      <c r="BK12" s="107">
        <f t="shared" si="3"/>
        <v>10567.5</v>
      </c>
      <c r="BL12" s="108">
        <f t="shared" si="4"/>
        <v>862.82964714942432</v>
      </c>
      <c r="BM12" s="65">
        <f t="shared" si="5"/>
        <v>8.164936334510757E-2</v>
      </c>
      <c r="BN12" s="109">
        <f t="shared" si="0"/>
        <v>10568</v>
      </c>
      <c r="BO12" s="66">
        <v>0</v>
      </c>
      <c r="BP12" s="109">
        <f t="shared" si="6"/>
        <v>10568</v>
      </c>
      <c r="BQ12" s="76">
        <f t="shared" si="1"/>
        <v>1585200</v>
      </c>
      <c r="BR12" s="110" t="s">
        <v>903</v>
      </c>
    </row>
    <row r="13" spans="1:70" ht="31.25" customHeight="1" x14ac:dyDescent="0.2">
      <c r="A13" s="63">
        <v>9</v>
      </c>
      <c r="B13" s="63" t="s">
        <v>522</v>
      </c>
      <c r="C13" s="157" t="s">
        <v>845</v>
      </c>
      <c r="D13" s="63" t="s">
        <v>523</v>
      </c>
      <c r="E13" s="63">
        <v>205</v>
      </c>
      <c r="F13" s="38"/>
      <c r="G13" s="38"/>
      <c r="H13" s="38"/>
      <c r="I13" s="38"/>
      <c r="J13" s="38"/>
      <c r="K13" s="38"/>
      <c r="L13" s="38"/>
      <c r="M13" s="38"/>
      <c r="N13" s="38"/>
      <c r="O13" s="38"/>
      <c r="P13" s="38"/>
      <c r="Q13" s="38"/>
      <c r="R13" s="38"/>
      <c r="S13" s="38"/>
      <c r="T13" s="38"/>
      <c r="U13" s="38"/>
      <c r="V13" s="38"/>
      <c r="W13" s="38"/>
      <c r="X13" s="38"/>
      <c r="Y13" s="38"/>
      <c r="Z13" s="38"/>
      <c r="AA13" s="38"/>
      <c r="AB13" s="38"/>
      <c r="AC13" s="38"/>
      <c r="AD13" s="38"/>
      <c r="AE13" s="38"/>
      <c r="AF13" s="38"/>
      <c r="AG13" s="38"/>
      <c r="AH13" s="38"/>
      <c r="AI13" s="38"/>
      <c r="AJ13" s="38"/>
      <c r="AK13" s="38"/>
      <c r="AL13" s="38"/>
      <c r="AM13" s="38"/>
      <c r="AN13" s="38">
        <v>171810</v>
      </c>
      <c r="AO13" s="38"/>
      <c r="AP13" s="38"/>
      <c r="AQ13" s="38"/>
      <c r="AR13" s="38"/>
      <c r="AS13" s="38"/>
      <c r="AT13" s="38"/>
      <c r="AU13" s="38"/>
      <c r="AV13" s="38"/>
      <c r="AW13" s="38"/>
      <c r="AX13" s="38"/>
      <c r="AY13" s="38"/>
      <c r="AZ13" s="38"/>
      <c r="BA13" s="38">
        <v>216000</v>
      </c>
      <c r="BB13" s="38"/>
      <c r="BC13" s="38"/>
      <c r="BD13" s="38"/>
      <c r="BE13" s="38"/>
      <c r="BF13" s="38"/>
      <c r="BG13" s="38"/>
      <c r="BH13" s="38"/>
      <c r="BI13" s="38"/>
      <c r="BJ13" s="107">
        <f t="shared" si="2"/>
        <v>193905</v>
      </c>
      <c r="BK13" s="107">
        <f t="shared" si="3"/>
        <v>193905</v>
      </c>
      <c r="BL13" s="108">
        <f t="shared" si="4"/>
        <v>31247.048660633536</v>
      </c>
      <c r="BM13" s="65">
        <f t="shared" si="5"/>
        <v>0.16114617292299599</v>
      </c>
      <c r="BN13" s="109">
        <f t="shared" si="0"/>
        <v>193905</v>
      </c>
      <c r="BO13" s="66">
        <v>0</v>
      </c>
      <c r="BP13" s="109">
        <f t="shared" si="6"/>
        <v>193905</v>
      </c>
      <c r="BQ13" s="76">
        <f t="shared" si="1"/>
        <v>39750525</v>
      </c>
      <c r="BR13" s="110" t="s">
        <v>902</v>
      </c>
    </row>
    <row r="14" spans="1:70" ht="34" x14ac:dyDescent="0.2">
      <c r="A14" s="63">
        <v>10</v>
      </c>
      <c r="B14" s="63" t="s">
        <v>522</v>
      </c>
      <c r="C14" s="157" t="s">
        <v>847</v>
      </c>
      <c r="D14" s="63" t="s">
        <v>523</v>
      </c>
      <c r="E14" s="63">
        <v>125</v>
      </c>
      <c r="F14" s="38"/>
      <c r="G14" s="38"/>
      <c r="H14" s="38"/>
      <c r="I14" s="38"/>
      <c r="J14" s="38"/>
      <c r="K14" s="38"/>
      <c r="L14" s="38"/>
      <c r="M14" s="38"/>
      <c r="N14" s="38"/>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8"/>
      <c r="AU14" s="38"/>
      <c r="AV14" s="38"/>
      <c r="AW14" s="38"/>
      <c r="AX14" s="38"/>
      <c r="AY14" s="38">
        <v>172550</v>
      </c>
      <c r="AZ14" s="38">
        <v>154700</v>
      </c>
      <c r="BA14" s="38">
        <v>216000</v>
      </c>
      <c r="BB14" s="38"/>
      <c r="BC14" s="38"/>
      <c r="BD14" s="38"/>
      <c r="BE14" s="38"/>
      <c r="BF14" s="38"/>
      <c r="BG14" s="38"/>
      <c r="BH14" s="38"/>
      <c r="BI14" s="38"/>
      <c r="BJ14" s="107">
        <f t="shared" si="2"/>
        <v>172550</v>
      </c>
      <c r="BK14" s="107">
        <f t="shared" si="3"/>
        <v>181083.33333333334</v>
      </c>
      <c r="BL14" s="108">
        <f t="shared" si="4"/>
        <v>31528.333817906328</v>
      </c>
      <c r="BM14" s="65">
        <f t="shared" si="5"/>
        <v>0.17410952867688723</v>
      </c>
      <c r="BN14" s="109">
        <f t="shared" si="0"/>
        <v>172550</v>
      </c>
      <c r="BO14" s="66">
        <v>0</v>
      </c>
      <c r="BP14" s="109">
        <f t="shared" si="6"/>
        <v>172550</v>
      </c>
      <c r="BQ14" s="76">
        <f t="shared" si="1"/>
        <v>21568750</v>
      </c>
      <c r="BR14" s="110" t="s">
        <v>902</v>
      </c>
    </row>
    <row r="15" spans="1:70" ht="34" x14ac:dyDescent="0.2">
      <c r="A15" s="63">
        <v>11</v>
      </c>
      <c r="B15" s="126" t="s">
        <v>522</v>
      </c>
      <c r="C15" s="157" t="s">
        <v>524</v>
      </c>
      <c r="D15" s="63" t="s">
        <v>525</v>
      </c>
      <c r="E15" s="63">
        <v>500</v>
      </c>
      <c r="F15" s="38"/>
      <c r="G15" s="38"/>
      <c r="H15" s="38"/>
      <c r="I15" s="38"/>
      <c r="J15" s="38"/>
      <c r="K15" s="38"/>
      <c r="L15" s="38"/>
      <c r="M15" s="38"/>
      <c r="N15" s="38"/>
      <c r="O15" s="38"/>
      <c r="P15" s="38"/>
      <c r="Q15" s="38"/>
      <c r="R15" s="38"/>
      <c r="S15" s="38"/>
      <c r="T15" s="38"/>
      <c r="U15" s="38"/>
      <c r="V15" s="38"/>
      <c r="W15" s="38"/>
      <c r="X15" s="38"/>
      <c r="Y15" s="38"/>
      <c r="Z15" s="38"/>
      <c r="AA15" s="38"/>
      <c r="AB15" s="38"/>
      <c r="AC15" s="38"/>
      <c r="AD15" s="38"/>
      <c r="AE15" s="38"/>
      <c r="AF15" s="38"/>
      <c r="AG15" s="38"/>
      <c r="AH15" s="38"/>
      <c r="AI15" s="38"/>
      <c r="AJ15" s="38"/>
      <c r="AK15" s="38"/>
      <c r="AL15" s="38"/>
      <c r="AM15" s="38"/>
      <c r="AN15" s="38"/>
      <c r="AO15" s="38"/>
      <c r="AP15" s="38"/>
      <c r="AQ15" s="38">
        <v>38150</v>
      </c>
      <c r="AR15" s="38"/>
      <c r="AS15" s="38"/>
      <c r="AT15" s="38"/>
      <c r="AU15" s="38"/>
      <c r="AV15" s="38"/>
      <c r="AW15" s="38"/>
      <c r="AX15" s="38"/>
      <c r="AY15" s="38">
        <v>33082</v>
      </c>
      <c r="AZ15" s="38">
        <v>33320</v>
      </c>
      <c r="BA15" s="38"/>
      <c r="BB15" s="38"/>
      <c r="BC15" s="38"/>
      <c r="BD15" s="38"/>
      <c r="BE15" s="38"/>
      <c r="BF15" s="38"/>
      <c r="BG15" s="38"/>
      <c r="BH15" s="38"/>
      <c r="BI15" s="38"/>
      <c r="BJ15" s="107">
        <f t="shared" si="2"/>
        <v>33320</v>
      </c>
      <c r="BK15" s="107">
        <f t="shared" si="3"/>
        <v>34850.666666666664</v>
      </c>
      <c r="BL15" s="108">
        <f t="shared" si="4"/>
        <v>2859.7834416845853</v>
      </c>
      <c r="BM15" s="65">
        <f t="shared" si="5"/>
        <v>8.2058213377589687E-2</v>
      </c>
      <c r="BN15" s="109">
        <f t="shared" si="0"/>
        <v>34851</v>
      </c>
      <c r="BO15" s="66">
        <v>0</v>
      </c>
      <c r="BP15" s="109">
        <f t="shared" si="6"/>
        <v>34851</v>
      </c>
      <c r="BQ15" s="76">
        <f t="shared" si="1"/>
        <v>17425500</v>
      </c>
      <c r="BR15" s="110" t="s">
        <v>903</v>
      </c>
    </row>
    <row r="16" spans="1:70" ht="34" x14ac:dyDescent="0.2">
      <c r="A16" s="63">
        <v>12</v>
      </c>
      <c r="B16" s="126" t="s">
        <v>522</v>
      </c>
      <c r="C16" s="157" t="s">
        <v>526</v>
      </c>
      <c r="D16" s="63" t="s">
        <v>509</v>
      </c>
      <c r="E16" s="63">
        <v>250</v>
      </c>
      <c r="F16" s="38"/>
      <c r="G16" s="38"/>
      <c r="H16" s="38"/>
      <c r="I16" s="38"/>
      <c r="J16" s="38"/>
      <c r="K16" s="38"/>
      <c r="L16" s="38"/>
      <c r="M16" s="38"/>
      <c r="N16" s="38"/>
      <c r="O16" s="38"/>
      <c r="P16" s="38"/>
      <c r="Q16" s="38"/>
      <c r="R16" s="38"/>
      <c r="S16" s="38"/>
      <c r="T16" s="38"/>
      <c r="U16" s="38"/>
      <c r="V16" s="38"/>
      <c r="W16" s="38"/>
      <c r="X16" s="38"/>
      <c r="Y16" s="38"/>
      <c r="Z16" s="38"/>
      <c r="AA16" s="38"/>
      <c r="AB16" s="38"/>
      <c r="AC16" s="38"/>
      <c r="AD16" s="38"/>
      <c r="AE16" s="38"/>
      <c r="AF16" s="38"/>
      <c r="AG16" s="38"/>
      <c r="AH16" s="38"/>
      <c r="AI16" s="38"/>
      <c r="AJ16" s="38"/>
      <c r="AK16" s="38"/>
      <c r="AL16" s="38"/>
      <c r="AM16" s="38"/>
      <c r="AN16" s="38"/>
      <c r="AO16" s="38"/>
      <c r="AP16" s="38"/>
      <c r="AQ16" s="38"/>
      <c r="AR16" s="38"/>
      <c r="AS16" s="38"/>
      <c r="AT16" s="38"/>
      <c r="AU16" s="38"/>
      <c r="AV16" s="38"/>
      <c r="AW16" s="38"/>
      <c r="AX16" s="38"/>
      <c r="AY16" s="38">
        <v>39270</v>
      </c>
      <c r="AZ16" s="38">
        <v>38080</v>
      </c>
      <c r="BA16" s="38">
        <v>54600</v>
      </c>
      <c r="BB16" s="38">
        <v>55900</v>
      </c>
      <c r="BC16" s="38"/>
      <c r="BD16" s="38"/>
      <c r="BE16" s="38"/>
      <c r="BF16" s="38"/>
      <c r="BG16" s="38"/>
      <c r="BH16" s="38"/>
      <c r="BI16" s="38"/>
      <c r="BJ16" s="107">
        <f t="shared" si="2"/>
        <v>46935</v>
      </c>
      <c r="BK16" s="107">
        <f t="shared" si="3"/>
        <v>46962.5</v>
      </c>
      <c r="BL16" s="108">
        <f t="shared" si="4"/>
        <v>9596.5909745770314</v>
      </c>
      <c r="BM16" s="65">
        <f t="shared" si="5"/>
        <v>0.20434582857763176</v>
      </c>
      <c r="BN16" s="109">
        <f t="shared" si="0"/>
        <v>46935</v>
      </c>
      <c r="BO16" s="66">
        <v>0</v>
      </c>
      <c r="BP16" s="109">
        <f t="shared" si="6"/>
        <v>46935</v>
      </c>
      <c r="BQ16" s="76">
        <f t="shared" si="1"/>
        <v>11733750</v>
      </c>
      <c r="BR16" s="110" t="s">
        <v>902</v>
      </c>
    </row>
    <row r="17" spans="1:70" ht="34" x14ac:dyDescent="0.2">
      <c r="A17" s="63">
        <v>13</v>
      </c>
      <c r="B17" s="63" t="s">
        <v>527</v>
      </c>
      <c r="C17" s="158" t="s">
        <v>528</v>
      </c>
      <c r="D17" s="63" t="s">
        <v>516</v>
      </c>
      <c r="E17" s="63">
        <v>10</v>
      </c>
      <c r="F17" s="38"/>
      <c r="G17" s="38"/>
      <c r="H17" s="38"/>
      <c r="I17" s="38"/>
      <c r="J17" s="38"/>
      <c r="K17" s="38"/>
      <c r="L17" s="38"/>
      <c r="M17" s="38"/>
      <c r="N17" s="38"/>
      <c r="O17" s="38"/>
      <c r="P17" s="38"/>
      <c r="Q17" s="38"/>
      <c r="R17" s="38"/>
      <c r="S17" s="38"/>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8"/>
      <c r="AU17" s="38"/>
      <c r="AV17" s="38"/>
      <c r="AW17" s="38"/>
      <c r="AX17" s="38"/>
      <c r="AY17" s="38">
        <v>53550</v>
      </c>
      <c r="AZ17" s="38">
        <v>53550</v>
      </c>
      <c r="BA17" s="38">
        <v>50400</v>
      </c>
      <c r="BB17" s="38"/>
      <c r="BC17" s="38"/>
      <c r="BD17" s="38"/>
      <c r="BE17" s="38"/>
      <c r="BF17" s="38"/>
      <c r="BG17" s="38"/>
      <c r="BH17" s="38"/>
      <c r="BI17" s="38"/>
      <c r="BJ17" s="107">
        <f t="shared" si="2"/>
        <v>53550</v>
      </c>
      <c r="BK17" s="107">
        <f t="shared" si="3"/>
        <v>52500</v>
      </c>
      <c r="BL17" s="108">
        <f t="shared" si="4"/>
        <v>1818.6533479473212</v>
      </c>
      <c r="BM17" s="65">
        <f t="shared" si="5"/>
        <v>3.4641016151377546E-2</v>
      </c>
      <c r="BN17" s="109">
        <f t="shared" si="0"/>
        <v>52500</v>
      </c>
      <c r="BO17" s="66">
        <v>0</v>
      </c>
      <c r="BP17" s="109">
        <f t="shared" si="6"/>
        <v>52500</v>
      </c>
      <c r="BQ17" s="76">
        <f t="shared" si="1"/>
        <v>525000</v>
      </c>
      <c r="BR17" s="110" t="s">
        <v>903</v>
      </c>
    </row>
    <row r="18" spans="1:70" ht="56.75" customHeight="1" x14ac:dyDescent="0.2">
      <c r="A18" s="63">
        <v>14</v>
      </c>
      <c r="B18" s="126" t="s">
        <v>529</v>
      </c>
      <c r="C18" s="157" t="s">
        <v>530</v>
      </c>
      <c r="D18" s="63" t="s">
        <v>531</v>
      </c>
      <c r="E18" s="63">
        <v>10</v>
      </c>
      <c r="F18" s="38"/>
      <c r="G18" s="38"/>
      <c r="H18" s="38"/>
      <c r="I18" s="38"/>
      <c r="J18" s="38"/>
      <c r="K18" s="38"/>
      <c r="L18" s="38"/>
      <c r="M18" s="38"/>
      <c r="N18" s="38"/>
      <c r="O18" s="38"/>
      <c r="P18" s="38"/>
      <c r="Q18" s="38"/>
      <c r="R18" s="38"/>
      <c r="S18" s="38"/>
      <c r="T18" s="38"/>
      <c r="U18" s="38"/>
      <c r="V18" s="38"/>
      <c r="W18" s="38"/>
      <c r="X18" s="38"/>
      <c r="Y18" s="38"/>
      <c r="Z18" s="38"/>
      <c r="AA18" s="38"/>
      <c r="AB18" s="38"/>
      <c r="AC18" s="38"/>
      <c r="AD18" s="38"/>
      <c r="AE18" s="38"/>
      <c r="AF18" s="38"/>
      <c r="AG18" s="38"/>
      <c r="AH18" s="38"/>
      <c r="AI18" s="38"/>
      <c r="AJ18" s="38"/>
      <c r="AK18" s="38"/>
      <c r="AL18" s="38"/>
      <c r="AM18" s="38"/>
      <c r="AN18" s="38"/>
      <c r="AO18" s="38"/>
      <c r="AP18" s="38"/>
      <c r="AQ18" s="38"/>
      <c r="AR18" s="38"/>
      <c r="AS18" s="38"/>
      <c r="AT18" s="38"/>
      <c r="AU18" s="38"/>
      <c r="AV18" s="38"/>
      <c r="AW18" s="38"/>
      <c r="AX18" s="38"/>
      <c r="AY18" s="38">
        <v>35700</v>
      </c>
      <c r="AZ18" s="38">
        <v>39270</v>
      </c>
      <c r="BA18" s="38">
        <v>34000</v>
      </c>
      <c r="BB18" s="38"/>
      <c r="BC18" s="38"/>
      <c r="BD18" s="38"/>
      <c r="BE18" s="38"/>
      <c r="BF18" s="38"/>
      <c r="BG18" s="38"/>
      <c r="BH18" s="38"/>
      <c r="BI18" s="38"/>
      <c r="BJ18" s="107">
        <f t="shared" si="2"/>
        <v>35700</v>
      </c>
      <c r="BK18" s="107">
        <f t="shared" si="3"/>
        <v>36323.333333333336</v>
      </c>
      <c r="BL18" s="108">
        <f t="shared" si="4"/>
        <v>2689.727371562652</v>
      </c>
      <c r="BM18" s="65">
        <f t="shared" si="5"/>
        <v>7.4049574329521473E-2</v>
      </c>
      <c r="BN18" s="109">
        <f t="shared" si="0"/>
        <v>36324</v>
      </c>
      <c r="BO18" s="66">
        <v>0</v>
      </c>
      <c r="BP18" s="109">
        <f t="shared" si="6"/>
        <v>36324</v>
      </c>
      <c r="BQ18" s="76">
        <f t="shared" si="1"/>
        <v>363240</v>
      </c>
      <c r="BR18" s="110" t="s">
        <v>903</v>
      </c>
    </row>
    <row r="19" spans="1:70" ht="56.75" customHeight="1" x14ac:dyDescent="0.2">
      <c r="A19" s="63">
        <v>15</v>
      </c>
      <c r="B19" s="126" t="s">
        <v>532</v>
      </c>
      <c r="C19" s="158" t="s">
        <v>533</v>
      </c>
      <c r="D19" s="126" t="s">
        <v>534</v>
      </c>
      <c r="E19" s="63">
        <v>10</v>
      </c>
      <c r="F19" s="38"/>
      <c r="G19" s="38"/>
      <c r="H19" s="38"/>
      <c r="I19" s="38"/>
      <c r="J19" s="38"/>
      <c r="K19" s="38"/>
      <c r="L19" s="38"/>
      <c r="M19" s="38"/>
      <c r="N19" s="38"/>
      <c r="O19" s="38"/>
      <c r="P19" s="38"/>
      <c r="Q19" s="38"/>
      <c r="R19" s="38"/>
      <c r="S19" s="38"/>
      <c r="T19" s="38"/>
      <c r="U19" s="38"/>
      <c r="V19" s="38"/>
      <c r="W19" s="38"/>
      <c r="X19" s="38"/>
      <c r="Y19" s="38"/>
      <c r="Z19" s="38"/>
      <c r="AA19" s="38"/>
      <c r="AB19" s="38"/>
      <c r="AC19" s="38"/>
      <c r="AD19" s="38"/>
      <c r="AE19" s="38"/>
      <c r="AF19" s="38"/>
      <c r="AG19" s="38"/>
      <c r="AH19" s="38"/>
      <c r="AI19" s="38"/>
      <c r="AJ19" s="38"/>
      <c r="AK19" s="38"/>
      <c r="AL19" s="38">
        <v>37600</v>
      </c>
      <c r="AM19" s="38"/>
      <c r="AN19" s="38"/>
      <c r="AO19" s="38"/>
      <c r="AP19" s="38"/>
      <c r="AQ19" s="38"/>
      <c r="AR19" s="38"/>
      <c r="AS19" s="38"/>
      <c r="AT19" s="38"/>
      <c r="AU19" s="38"/>
      <c r="AV19" s="38"/>
      <c r="AW19" s="38"/>
      <c r="AX19" s="38"/>
      <c r="AY19" s="38">
        <v>33082</v>
      </c>
      <c r="AZ19" s="38">
        <v>33320</v>
      </c>
      <c r="BA19" s="38">
        <v>31500</v>
      </c>
      <c r="BB19" s="38"/>
      <c r="BC19" s="38"/>
      <c r="BD19" s="38"/>
      <c r="BE19" s="38"/>
      <c r="BF19" s="38"/>
      <c r="BG19" s="38"/>
      <c r="BH19" s="38"/>
      <c r="BI19" s="38"/>
      <c r="BJ19" s="107">
        <f t="shared" si="2"/>
        <v>33201</v>
      </c>
      <c r="BK19" s="107">
        <f t="shared" si="3"/>
        <v>33875.5</v>
      </c>
      <c r="BL19" s="108">
        <f t="shared" si="4"/>
        <v>2611.0740446541663</v>
      </c>
      <c r="BM19" s="65">
        <f t="shared" si="5"/>
        <v>7.7078538904345809E-2</v>
      </c>
      <c r="BN19" s="109">
        <f t="shared" si="0"/>
        <v>33876</v>
      </c>
      <c r="BO19" s="66">
        <v>0</v>
      </c>
      <c r="BP19" s="109">
        <f t="shared" si="6"/>
        <v>33876</v>
      </c>
      <c r="BQ19" s="76">
        <f t="shared" si="1"/>
        <v>338760</v>
      </c>
      <c r="BR19" s="110" t="s">
        <v>903</v>
      </c>
    </row>
    <row r="20" spans="1:70" ht="53.75" customHeight="1" x14ac:dyDescent="0.2">
      <c r="A20" s="63">
        <v>16</v>
      </c>
      <c r="B20" s="63" t="s">
        <v>532</v>
      </c>
      <c r="C20" s="157" t="s">
        <v>533</v>
      </c>
      <c r="D20" s="63" t="s">
        <v>535</v>
      </c>
      <c r="E20" s="63">
        <v>100</v>
      </c>
      <c r="F20" s="38"/>
      <c r="G20" s="38"/>
      <c r="H20" s="38"/>
      <c r="I20" s="38"/>
      <c r="J20" s="38"/>
      <c r="K20" s="38"/>
      <c r="L20" s="38"/>
      <c r="M20" s="38"/>
      <c r="N20" s="38"/>
      <c r="O20" s="38"/>
      <c r="P20" s="38"/>
      <c r="Q20" s="38"/>
      <c r="R20" s="38"/>
      <c r="S20" s="38"/>
      <c r="T20" s="38"/>
      <c r="U20" s="38"/>
      <c r="V20" s="38"/>
      <c r="W20" s="38"/>
      <c r="X20" s="38"/>
      <c r="Y20" s="38"/>
      <c r="Z20" s="38"/>
      <c r="AA20" s="38"/>
      <c r="AB20" s="38"/>
      <c r="AC20" s="38"/>
      <c r="AD20" s="38"/>
      <c r="AE20" s="38"/>
      <c r="AF20" s="38"/>
      <c r="AG20" s="38"/>
      <c r="AH20" s="38"/>
      <c r="AI20" s="38"/>
      <c r="AJ20" s="38"/>
      <c r="AK20" s="38"/>
      <c r="AL20" s="38">
        <v>37600</v>
      </c>
      <c r="AM20" s="38"/>
      <c r="AN20" s="38">
        <v>38286.720000000001</v>
      </c>
      <c r="AO20" s="38"/>
      <c r="AP20" s="38"/>
      <c r="AQ20" s="38"/>
      <c r="AR20" s="38"/>
      <c r="AS20" s="38"/>
      <c r="AT20" s="38"/>
      <c r="AU20" s="38"/>
      <c r="AV20" s="38"/>
      <c r="AW20" s="38"/>
      <c r="AX20" s="38"/>
      <c r="AY20" s="38">
        <v>27370</v>
      </c>
      <c r="AZ20" s="38">
        <v>26180</v>
      </c>
      <c r="BA20" s="38">
        <v>31500</v>
      </c>
      <c r="BB20" s="38"/>
      <c r="BC20" s="38"/>
      <c r="BD20" s="38"/>
      <c r="BE20" s="38"/>
      <c r="BF20" s="38"/>
      <c r="BG20" s="38"/>
      <c r="BH20" s="38"/>
      <c r="BI20" s="38"/>
      <c r="BJ20" s="107">
        <f t="shared" si="2"/>
        <v>31500</v>
      </c>
      <c r="BK20" s="107">
        <f t="shared" si="3"/>
        <v>32187.344000000001</v>
      </c>
      <c r="BL20" s="108">
        <f t="shared" si="4"/>
        <v>5618.4219200483703</v>
      </c>
      <c r="BM20" s="65">
        <f t="shared" si="5"/>
        <v>0.17455376001351247</v>
      </c>
      <c r="BN20" s="109">
        <f t="shared" si="0"/>
        <v>31500</v>
      </c>
      <c r="BO20" s="66">
        <v>0</v>
      </c>
      <c r="BP20" s="109">
        <f t="shared" si="6"/>
        <v>31500</v>
      </c>
      <c r="BQ20" s="76">
        <f t="shared" si="1"/>
        <v>3150000</v>
      </c>
      <c r="BR20" s="110" t="s">
        <v>902</v>
      </c>
    </row>
    <row r="21" spans="1:70" ht="34" x14ac:dyDescent="0.2">
      <c r="A21" s="63">
        <v>17</v>
      </c>
      <c r="B21" s="63" t="s">
        <v>532</v>
      </c>
      <c r="C21" s="157" t="s">
        <v>536</v>
      </c>
      <c r="D21" s="63" t="s">
        <v>537</v>
      </c>
      <c r="E21" s="63">
        <v>30</v>
      </c>
      <c r="F21" s="38"/>
      <c r="G21" s="38"/>
      <c r="H21" s="38"/>
      <c r="I21" s="38"/>
      <c r="J21" s="38"/>
      <c r="K21" s="38"/>
      <c r="L21" s="38"/>
      <c r="M21" s="38"/>
      <c r="N21" s="38"/>
      <c r="O21" s="38"/>
      <c r="P21" s="38"/>
      <c r="Q21" s="38"/>
      <c r="R21" s="38"/>
      <c r="S21" s="38"/>
      <c r="T21" s="38"/>
      <c r="U21" s="38"/>
      <c r="V21" s="38"/>
      <c r="W21" s="38"/>
      <c r="X21" s="38"/>
      <c r="Y21" s="38"/>
      <c r="Z21" s="38"/>
      <c r="AA21" s="38"/>
      <c r="AB21" s="38"/>
      <c r="AC21" s="38"/>
      <c r="AD21" s="38"/>
      <c r="AE21" s="38"/>
      <c r="AF21" s="38"/>
      <c r="AG21" s="38"/>
      <c r="AH21" s="38"/>
      <c r="AI21" s="38"/>
      <c r="AJ21" s="38"/>
      <c r="AK21" s="38"/>
      <c r="AL21" s="38"/>
      <c r="AM21" s="38"/>
      <c r="AN21" s="38">
        <v>52164</v>
      </c>
      <c r="AO21" s="38"/>
      <c r="AP21" s="38"/>
      <c r="AQ21" s="38"/>
      <c r="AR21" s="38"/>
      <c r="AS21" s="38"/>
      <c r="AT21" s="38"/>
      <c r="AU21" s="38"/>
      <c r="AV21" s="38"/>
      <c r="AW21" s="38"/>
      <c r="AX21" s="38"/>
      <c r="AY21" s="38">
        <v>44030</v>
      </c>
      <c r="AZ21" s="38">
        <v>45220</v>
      </c>
      <c r="BA21" s="38">
        <v>41400</v>
      </c>
      <c r="BB21" s="38"/>
      <c r="BC21" s="38"/>
      <c r="BD21" s="38"/>
      <c r="BE21" s="38"/>
      <c r="BF21" s="38"/>
      <c r="BG21" s="38"/>
      <c r="BH21" s="38"/>
      <c r="BI21" s="38"/>
      <c r="BJ21" s="107">
        <f t="shared" si="2"/>
        <v>44625</v>
      </c>
      <c r="BK21" s="107">
        <f t="shared" si="3"/>
        <v>45703.5</v>
      </c>
      <c r="BL21" s="108">
        <f t="shared" si="4"/>
        <v>4593.2032032849002</v>
      </c>
      <c r="BM21" s="65">
        <f t="shared" si="5"/>
        <v>0.10050003179810955</v>
      </c>
      <c r="BN21" s="109">
        <f t="shared" si="0"/>
        <v>45704</v>
      </c>
      <c r="BO21" s="66">
        <v>0</v>
      </c>
      <c r="BP21" s="109">
        <f t="shared" si="6"/>
        <v>45704</v>
      </c>
      <c r="BQ21" s="76">
        <f t="shared" si="1"/>
        <v>1371120</v>
      </c>
      <c r="BR21" s="110" t="s">
        <v>903</v>
      </c>
    </row>
    <row r="22" spans="1:70" ht="34" x14ac:dyDescent="0.2">
      <c r="A22" s="63">
        <v>18</v>
      </c>
      <c r="B22" s="63" t="s">
        <v>532</v>
      </c>
      <c r="C22" s="157" t="s">
        <v>1035</v>
      </c>
      <c r="D22" s="63" t="s">
        <v>538</v>
      </c>
      <c r="E22" s="63">
        <v>1</v>
      </c>
      <c r="F22" s="38"/>
      <c r="G22" s="38"/>
      <c r="H22" s="38"/>
      <c r="I22" s="38"/>
      <c r="J22" s="38"/>
      <c r="K22" s="38"/>
      <c r="L22" s="38"/>
      <c r="M22" s="38"/>
      <c r="N22" s="38"/>
      <c r="O22" s="38"/>
      <c r="P22" s="38"/>
      <c r="Q22" s="38"/>
      <c r="R22" s="38"/>
      <c r="S22" s="38"/>
      <c r="T22" s="38"/>
      <c r="U22" s="38"/>
      <c r="V22" s="38"/>
      <c r="W22" s="38"/>
      <c r="X22" s="38"/>
      <c r="Y22" s="38"/>
      <c r="Z22" s="38"/>
      <c r="AA22" s="38"/>
      <c r="AB22" s="38"/>
      <c r="AC22" s="38"/>
      <c r="AD22" s="38"/>
      <c r="AE22" s="38"/>
      <c r="AF22" s="38"/>
      <c r="AG22" s="38"/>
      <c r="AH22" s="38"/>
      <c r="AI22" s="38"/>
      <c r="AJ22" s="38"/>
      <c r="AK22" s="38"/>
      <c r="AL22" s="38"/>
      <c r="AM22" s="38"/>
      <c r="AN22" s="87"/>
      <c r="AO22" s="38"/>
      <c r="AP22" s="38"/>
      <c r="AQ22" s="38"/>
      <c r="AR22" s="38"/>
      <c r="AS22" s="38"/>
      <c r="AT22" s="38"/>
      <c r="AU22" s="38"/>
      <c r="AV22" s="38"/>
      <c r="AW22" s="38"/>
      <c r="AX22" s="38"/>
      <c r="AY22" s="38">
        <v>40460</v>
      </c>
      <c r="AZ22" s="38">
        <v>42840</v>
      </c>
      <c r="BA22" s="38">
        <v>44100</v>
      </c>
      <c r="BB22" s="38"/>
      <c r="BC22" s="38"/>
      <c r="BD22" s="38"/>
      <c r="BE22" s="38"/>
      <c r="BF22" s="38"/>
      <c r="BG22" s="38"/>
      <c r="BH22" s="38"/>
      <c r="BI22" s="38"/>
      <c r="BJ22" s="107">
        <f t="shared" si="2"/>
        <v>42840</v>
      </c>
      <c r="BK22" s="107">
        <f t="shared" si="3"/>
        <v>42466.666666666664</v>
      </c>
      <c r="BL22" s="108">
        <f t="shared" si="4"/>
        <v>1848.4948832315802</v>
      </c>
      <c r="BM22" s="65">
        <f t="shared" si="5"/>
        <v>4.3528136967776618E-2</v>
      </c>
      <c r="BN22" s="109">
        <f t="shared" si="0"/>
        <v>42467</v>
      </c>
      <c r="BO22" s="66">
        <v>0</v>
      </c>
      <c r="BP22" s="109">
        <f t="shared" si="6"/>
        <v>42467</v>
      </c>
      <c r="BQ22" s="76">
        <f t="shared" si="1"/>
        <v>42467</v>
      </c>
      <c r="BR22" s="110" t="s">
        <v>903</v>
      </c>
    </row>
    <row r="23" spans="1:70" ht="34" x14ac:dyDescent="0.2">
      <c r="A23" s="63">
        <v>19</v>
      </c>
      <c r="B23" s="126" t="s">
        <v>539</v>
      </c>
      <c r="C23" s="157" t="s">
        <v>540</v>
      </c>
      <c r="D23" s="63" t="s">
        <v>525</v>
      </c>
      <c r="E23" s="63">
        <v>1</v>
      </c>
      <c r="F23" s="38"/>
      <c r="G23" s="38"/>
      <c r="H23" s="38"/>
      <c r="I23" s="38"/>
      <c r="J23" s="38"/>
      <c r="K23" s="38"/>
      <c r="L23" s="38"/>
      <c r="M23" s="38"/>
      <c r="N23" s="38"/>
      <c r="O23" s="38"/>
      <c r="P23" s="38"/>
      <c r="Q23" s="38"/>
      <c r="R23" s="38"/>
      <c r="S23" s="38"/>
      <c r="T23" s="38"/>
      <c r="U23" s="38"/>
      <c r="V23" s="38"/>
      <c r="W23" s="38"/>
      <c r="X23" s="38"/>
      <c r="Y23" s="38"/>
      <c r="Z23" s="38"/>
      <c r="AA23" s="38"/>
      <c r="AB23" s="38"/>
      <c r="AC23" s="38"/>
      <c r="AD23" s="38"/>
      <c r="AE23" s="38"/>
      <c r="AF23" s="38"/>
      <c r="AG23" s="38"/>
      <c r="AH23" s="38"/>
      <c r="AI23" s="38"/>
      <c r="AJ23" s="38"/>
      <c r="AK23" s="38"/>
      <c r="AL23" s="38"/>
      <c r="AM23" s="38"/>
      <c r="AN23" s="38"/>
      <c r="AO23" s="38"/>
      <c r="AP23" s="38"/>
      <c r="AQ23" s="38"/>
      <c r="AR23" s="38"/>
      <c r="AS23" s="38"/>
      <c r="AT23" s="38"/>
      <c r="AU23" s="38"/>
      <c r="AV23" s="38"/>
      <c r="AW23" s="38"/>
      <c r="AX23" s="38"/>
      <c r="AY23" s="38">
        <v>71400</v>
      </c>
      <c r="AZ23" s="38">
        <v>69020</v>
      </c>
      <c r="BA23" s="38">
        <v>110000</v>
      </c>
      <c r="BB23" s="38"/>
      <c r="BC23" s="38"/>
      <c r="BD23" s="38"/>
      <c r="BE23" s="38"/>
      <c r="BF23" s="38"/>
      <c r="BG23" s="38"/>
      <c r="BH23" s="38"/>
      <c r="BI23" s="38"/>
      <c r="BJ23" s="107">
        <f t="shared" si="2"/>
        <v>71400</v>
      </c>
      <c r="BK23" s="107">
        <f t="shared" si="3"/>
        <v>83473.333333333328</v>
      </c>
      <c r="BL23" s="108">
        <f t="shared" si="4"/>
        <v>23003.567839214291</v>
      </c>
      <c r="BM23" s="65">
        <f t="shared" si="5"/>
        <v>0.27557983993947321</v>
      </c>
      <c r="BN23" s="109">
        <f t="shared" si="0"/>
        <v>71400</v>
      </c>
      <c r="BO23" s="66">
        <v>0</v>
      </c>
      <c r="BP23" s="109">
        <f t="shared" si="6"/>
        <v>71400</v>
      </c>
      <c r="BQ23" s="76">
        <f t="shared" si="1"/>
        <v>71400</v>
      </c>
      <c r="BR23" s="110" t="s">
        <v>902</v>
      </c>
    </row>
    <row r="24" spans="1:70" ht="34" x14ac:dyDescent="0.2">
      <c r="A24" s="63">
        <v>20</v>
      </c>
      <c r="B24" s="63" t="s">
        <v>539</v>
      </c>
      <c r="C24" s="157" t="s">
        <v>541</v>
      </c>
      <c r="D24" s="63" t="s">
        <v>542</v>
      </c>
      <c r="E24" s="63">
        <v>5</v>
      </c>
      <c r="F24" s="38"/>
      <c r="G24" s="38"/>
      <c r="H24" s="38"/>
      <c r="I24" s="38"/>
      <c r="J24" s="38"/>
      <c r="K24" s="38"/>
      <c r="L24" s="38"/>
      <c r="M24" s="38"/>
      <c r="N24" s="38"/>
      <c r="O24" s="38"/>
      <c r="P24" s="38"/>
      <c r="Q24" s="38"/>
      <c r="R24" s="38"/>
      <c r="S24" s="38"/>
      <c r="T24" s="38"/>
      <c r="U24" s="38"/>
      <c r="V24" s="38"/>
      <c r="W24" s="38"/>
      <c r="X24" s="38"/>
      <c r="Y24" s="38"/>
      <c r="Z24" s="38"/>
      <c r="AA24" s="38"/>
      <c r="AB24" s="38"/>
      <c r="AC24" s="38"/>
      <c r="AD24" s="38"/>
      <c r="AE24" s="38"/>
      <c r="AF24" s="38"/>
      <c r="AG24" s="38"/>
      <c r="AH24" s="38"/>
      <c r="AI24" s="38"/>
      <c r="AJ24" s="38"/>
      <c r="AK24" s="38"/>
      <c r="AL24" s="38">
        <v>85000</v>
      </c>
      <c r="AM24" s="38"/>
      <c r="AN24" s="38"/>
      <c r="AO24" s="38"/>
      <c r="AP24" s="38"/>
      <c r="AQ24" s="38"/>
      <c r="AR24" s="38"/>
      <c r="AS24" s="38"/>
      <c r="AT24" s="38"/>
      <c r="AU24" s="38"/>
      <c r="AV24" s="38"/>
      <c r="AW24" s="38"/>
      <c r="AX24" s="38"/>
      <c r="AY24" s="38">
        <v>116620</v>
      </c>
      <c r="AZ24" s="38">
        <v>107100</v>
      </c>
      <c r="BA24" s="38"/>
      <c r="BB24" s="38"/>
      <c r="BC24" s="38"/>
      <c r="BD24" s="38"/>
      <c r="BE24" s="38"/>
      <c r="BF24" s="38"/>
      <c r="BG24" s="38"/>
      <c r="BH24" s="38"/>
      <c r="BI24" s="38"/>
      <c r="BJ24" s="107">
        <f t="shared" si="2"/>
        <v>107100</v>
      </c>
      <c r="BK24" s="107">
        <f t="shared" si="3"/>
        <v>102906.66666666667</v>
      </c>
      <c r="BL24" s="108">
        <f t="shared" si="4"/>
        <v>16221.71795258856</v>
      </c>
      <c r="BM24" s="65">
        <f t="shared" si="5"/>
        <v>0.15763524830838843</v>
      </c>
      <c r="BN24" s="109">
        <f t="shared" si="0"/>
        <v>107100</v>
      </c>
      <c r="BO24" s="66">
        <v>0</v>
      </c>
      <c r="BP24" s="109">
        <f t="shared" si="6"/>
        <v>107100</v>
      </c>
      <c r="BQ24" s="76">
        <f t="shared" si="1"/>
        <v>535500</v>
      </c>
      <c r="BR24" s="110" t="s">
        <v>903</v>
      </c>
    </row>
    <row r="25" spans="1:70" ht="34" x14ac:dyDescent="0.2">
      <c r="A25" s="63">
        <v>21</v>
      </c>
      <c r="B25" s="63" t="s">
        <v>539</v>
      </c>
      <c r="C25" s="157" t="s">
        <v>543</v>
      </c>
      <c r="D25" s="63" t="s">
        <v>513</v>
      </c>
      <c r="E25" s="63">
        <v>2</v>
      </c>
      <c r="F25" s="38"/>
      <c r="G25" s="38"/>
      <c r="H25" s="38"/>
      <c r="I25" s="38"/>
      <c r="J25" s="38"/>
      <c r="K25" s="38"/>
      <c r="L25" s="38"/>
      <c r="M25" s="38"/>
      <c r="N25" s="38"/>
      <c r="O25" s="38"/>
      <c r="P25" s="38"/>
      <c r="Q25" s="38"/>
      <c r="R25" s="38"/>
      <c r="S25" s="38"/>
      <c r="T25" s="38"/>
      <c r="U25" s="38"/>
      <c r="V25" s="38"/>
      <c r="W25" s="38"/>
      <c r="X25" s="38"/>
      <c r="Y25" s="38"/>
      <c r="Z25" s="38"/>
      <c r="AA25" s="38"/>
      <c r="AB25" s="38"/>
      <c r="AC25" s="38"/>
      <c r="AD25" s="38"/>
      <c r="AE25" s="38"/>
      <c r="AF25" s="38"/>
      <c r="AG25" s="38"/>
      <c r="AH25" s="38"/>
      <c r="AI25" s="38"/>
      <c r="AJ25" s="38"/>
      <c r="AK25" s="38"/>
      <c r="AL25" s="38"/>
      <c r="AM25" s="38"/>
      <c r="AN25" s="38"/>
      <c r="AO25" s="38"/>
      <c r="AP25" s="38"/>
      <c r="AQ25" s="38"/>
      <c r="AR25" s="38"/>
      <c r="AS25" s="38"/>
      <c r="AT25" s="38"/>
      <c r="AU25" s="38"/>
      <c r="AV25" s="38"/>
      <c r="AW25" s="38"/>
      <c r="AX25" s="38"/>
      <c r="AY25" s="38">
        <v>64855</v>
      </c>
      <c r="AZ25" s="38">
        <v>65450</v>
      </c>
      <c r="BA25" s="38">
        <v>72000</v>
      </c>
      <c r="BB25" s="38"/>
      <c r="BC25" s="38"/>
      <c r="BD25" s="38"/>
      <c r="BE25" s="38"/>
      <c r="BF25" s="38"/>
      <c r="BG25" s="38"/>
      <c r="BH25" s="38"/>
      <c r="BI25" s="38"/>
      <c r="BJ25" s="107">
        <f t="shared" si="2"/>
        <v>65450</v>
      </c>
      <c r="BK25" s="107">
        <f t="shared" si="3"/>
        <v>67435</v>
      </c>
      <c r="BL25" s="108">
        <f t="shared" si="4"/>
        <v>3964.5838369241228</v>
      </c>
      <c r="BM25" s="65">
        <f t="shared" si="5"/>
        <v>5.8791189099490215E-2</v>
      </c>
      <c r="BN25" s="109">
        <f t="shared" si="0"/>
        <v>67435</v>
      </c>
      <c r="BO25" s="66">
        <v>0</v>
      </c>
      <c r="BP25" s="109">
        <f t="shared" si="6"/>
        <v>67435</v>
      </c>
      <c r="BQ25" s="76">
        <f t="shared" si="1"/>
        <v>134870</v>
      </c>
      <c r="BR25" s="110" t="s">
        <v>903</v>
      </c>
    </row>
    <row r="26" spans="1:70" ht="34" x14ac:dyDescent="0.2">
      <c r="A26" s="63">
        <v>22</v>
      </c>
      <c r="B26" s="63" t="s">
        <v>539</v>
      </c>
      <c r="C26" s="157" t="s">
        <v>544</v>
      </c>
      <c r="D26" s="63" t="s">
        <v>545</v>
      </c>
      <c r="E26" s="63">
        <v>5</v>
      </c>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38"/>
      <c r="AK26" s="38"/>
      <c r="AL26" s="38"/>
      <c r="AM26" s="38"/>
      <c r="AN26" s="38">
        <v>20019.2</v>
      </c>
      <c r="AO26" s="38"/>
      <c r="AP26" s="38"/>
      <c r="AQ26" s="38"/>
      <c r="AR26" s="38"/>
      <c r="AS26" s="38"/>
      <c r="AT26" s="38"/>
      <c r="AU26" s="38"/>
      <c r="AV26" s="38"/>
      <c r="AW26" s="38"/>
      <c r="AX26" s="38"/>
      <c r="AY26" s="38">
        <v>15232</v>
      </c>
      <c r="AZ26" s="38">
        <v>14875</v>
      </c>
      <c r="BA26" s="38"/>
      <c r="BB26" s="38"/>
      <c r="BC26" s="38"/>
      <c r="BD26" s="38"/>
      <c r="BE26" s="38"/>
      <c r="BF26" s="38"/>
      <c r="BG26" s="38"/>
      <c r="BH26" s="38"/>
      <c r="BI26" s="38"/>
      <c r="BJ26" s="107">
        <f t="shared" si="2"/>
        <v>15232</v>
      </c>
      <c r="BK26" s="107">
        <f t="shared" si="3"/>
        <v>16708.733333333334</v>
      </c>
      <c r="BL26" s="108">
        <f t="shared" si="4"/>
        <v>2872.4996803017184</v>
      </c>
      <c r="BM26" s="65">
        <f t="shared" si="5"/>
        <v>0.17191606467087381</v>
      </c>
      <c r="BN26" s="109">
        <f t="shared" si="0"/>
        <v>15232</v>
      </c>
      <c r="BO26" s="66">
        <v>0</v>
      </c>
      <c r="BP26" s="109">
        <f t="shared" si="6"/>
        <v>15232</v>
      </c>
      <c r="BQ26" s="76">
        <f t="shared" si="1"/>
        <v>76160</v>
      </c>
      <c r="BR26" s="110" t="s">
        <v>902</v>
      </c>
    </row>
    <row r="27" spans="1:70" ht="34" x14ac:dyDescent="0.2">
      <c r="A27" s="63">
        <v>23</v>
      </c>
      <c r="B27" s="63" t="s">
        <v>539</v>
      </c>
      <c r="C27" s="157" t="s">
        <v>546</v>
      </c>
      <c r="D27" s="63" t="s">
        <v>537</v>
      </c>
      <c r="E27" s="63">
        <v>50</v>
      </c>
      <c r="F27" s="38"/>
      <c r="G27" s="38"/>
      <c r="H27" s="38"/>
      <c r="I27" s="38"/>
      <c r="J27" s="38"/>
      <c r="K27" s="38"/>
      <c r="L27" s="38"/>
      <c r="M27" s="38"/>
      <c r="N27" s="38"/>
      <c r="O27" s="38"/>
      <c r="P27" s="38"/>
      <c r="Q27" s="38"/>
      <c r="R27" s="38"/>
      <c r="S27" s="38"/>
      <c r="T27" s="38"/>
      <c r="U27" s="38"/>
      <c r="V27" s="38"/>
      <c r="W27" s="38"/>
      <c r="X27" s="38"/>
      <c r="Y27" s="38"/>
      <c r="Z27" s="38"/>
      <c r="AA27" s="38"/>
      <c r="AB27" s="38"/>
      <c r="AC27" s="38"/>
      <c r="AD27" s="38"/>
      <c r="AE27" s="38"/>
      <c r="AF27" s="38"/>
      <c r="AG27" s="38"/>
      <c r="AH27" s="38"/>
      <c r="AI27" s="38"/>
      <c r="AJ27" s="38"/>
      <c r="AK27" s="38"/>
      <c r="AL27" s="38"/>
      <c r="AM27" s="38"/>
      <c r="AN27" s="38"/>
      <c r="AO27" s="38"/>
      <c r="AP27" s="38">
        <f>16900*2</f>
        <v>33800</v>
      </c>
      <c r="AQ27" s="38"/>
      <c r="AR27" s="38"/>
      <c r="AS27" s="38"/>
      <c r="AT27" s="38"/>
      <c r="AU27" s="38"/>
      <c r="AV27" s="38"/>
      <c r="AW27" s="38"/>
      <c r="AX27" s="38"/>
      <c r="AY27" s="38">
        <v>21301</v>
      </c>
      <c r="AZ27" s="38">
        <v>21420</v>
      </c>
      <c r="BA27" s="38"/>
      <c r="BB27" s="38"/>
      <c r="BC27" s="38"/>
      <c r="BD27" s="38"/>
      <c r="BE27" s="38"/>
      <c r="BF27" s="38"/>
      <c r="BG27" s="38"/>
      <c r="BH27" s="38"/>
      <c r="BI27" s="38"/>
      <c r="BJ27" s="107">
        <f t="shared" si="2"/>
        <v>21420</v>
      </c>
      <c r="BK27" s="107">
        <f t="shared" si="3"/>
        <v>25507</v>
      </c>
      <c r="BL27" s="108">
        <f t="shared" si="4"/>
        <v>7182.1951379783604</v>
      </c>
      <c r="BM27" s="65">
        <f t="shared" si="5"/>
        <v>0.28157741553214255</v>
      </c>
      <c r="BN27" s="109">
        <f t="shared" si="0"/>
        <v>21420</v>
      </c>
      <c r="BO27" s="66">
        <v>0</v>
      </c>
      <c r="BP27" s="109">
        <f t="shared" si="6"/>
        <v>21420</v>
      </c>
      <c r="BQ27" s="76">
        <f t="shared" si="1"/>
        <v>1071000</v>
      </c>
      <c r="BR27" s="110" t="s">
        <v>902</v>
      </c>
    </row>
    <row r="28" spans="1:70" ht="34" x14ac:dyDescent="0.2">
      <c r="A28" s="63">
        <v>24</v>
      </c>
      <c r="B28" s="63" t="s">
        <v>539</v>
      </c>
      <c r="C28" s="157" t="s">
        <v>547</v>
      </c>
      <c r="D28" s="63" t="s">
        <v>545</v>
      </c>
      <c r="E28" s="63">
        <v>10</v>
      </c>
      <c r="F28" s="38"/>
      <c r="G28" s="38"/>
      <c r="H28" s="38"/>
      <c r="I28" s="38"/>
      <c r="J28" s="38"/>
      <c r="K28" s="38"/>
      <c r="L28" s="38"/>
      <c r="M28" s="38"/>
      <c r="N28" s="38"/>
      <c r="O28" s="38"/>
      <c r="P28" s="38"/>
      <c r="Q28" s="38"/>
      <c r="R28" s="38"/>
      <c r="S28" s="38"/>
      <c r="T28" s="38"/>
      <c r="U28" s="38"/>
      <c r="V28" s="38"/>
      <c r="W28" s="38"/>
      <c r="X28" s="38"/>
      <c r="Y28" s="38"/>
      <c r="Z28" s="38"/>
      <c r="AA28" s="38"/>
      <c r="AB28" s="38"/>
      <c r="AC28" s="38"/>
      <c r="AD28" s="38"/>
      <c r="AE28" s="38"/>
      <c r="AF28" s="38"/>
      <c r="AG28" s="38"/>
      <c r="AH28" s="38"/>
      <c r="AI28" s="38"/>
      <c r="AJ28" s="38"/>
      <c r="AK28" s="38"/>
      <c r="AL28" s="38"/>
      <c r="AM28" s="38"/>
      <c r="AN28" s="38"/>
      <c r="AO28" s="38"/>
      <c r="AP28" s="38"/>
      <c r="AQ28" s="38"/>
      <c r="AR28" s="38"/>
      <c r="AS28" s="38"/>
      <c r="AT28" s="38"/>
      <c r="AU28" s="38"/>
      <c r="AV28" s="38"/>
      <c r="AW28" s="38"/>
      <c r="AX28" s="38"/>
      <c r="AY28" s="38">
        <v>4165</v>
      </c>
      <c r="AZ28" s="38">
        <v>4760</v>
      </c>
      <c r="BA28" s="38">
        <v>3060</v>
      </c>
      <c r="BB28" s="38"/>
      <c r="BC28" s="38"/>
      <c r="BD28" s="38"/>
      <c r="BE28" s="38"/>
      <c r="BF28" s="38"/>
      <c r="BG28" s="38"/>
      <c r="BH28" s="38"/>
      <c r="BI28" s="38"/>
      <c r="BJ28" s="107">
        <f t="shared" si="2"/>
        <v>4165</v>
      </c>
      <c r="BK28" s="107">
        <f t="shared" si="3"/>
        <v>3995</v>
      </c>
      <c r="BL28" s="108">
        <f t="shared" si="4"/>
        <v>862.6557830328386</v>
      </c>
      <c r="BM28" s="65">
        <f t="shared" si="5"/>
        <v>0.21593386308706849</v>
      </c>
      <c r="BN28" s="109">
        <f t="shared" si="0"/>
        <v>4165</v>
      </c>
      <c r="BO28" s="66">
        <v>0</v>
      </c>
      <c r="BP28" s="109">
        <f t="shared" si="6"/>
        <v>4165</v>
      </c>
      <c r="BQ28" s="76">
        <f t="shared" si="1"/>
        <v>41650</v>
      </c>
      <c r="BR28" s="110" t="s">
        <v>902</v>
      </c>
    </row>
    <row r="29" spans="1:70" ht="85" x14ac:dyDescent="0.2">
      <c r="A29" s="63">
        <v>25</v>
      </c>
      <c r="B29" s="63" t="s">
        <v>548</v>
      </c>
      <c r="C29" s="157" t="s">
        <v>549</v>
      </c>
      <c r="D29" s="63" t="s">
        <v>550</v>
      </c>
      <c r="E29" s="63">
        <v>1</v>
      </c>
      <c r="F29" s="38"/>
      <c r="G29" s="38"/>
      <c r="H29" s="38"/>
      <c r="I29" s="38"/>
      <c r="J29" s="38"/>
      <c r="K29" s="38"/>
      <c r="L29" s="38"/>
      <c r="M29" s="38"/>
      <c r="N29" s="38"/>
      <c r="O29" s="38"/>
      <c r="P29" s="38"/>
      <c r="Q29" s="38"/>
      <c r="R29" s="38"/>
      <c r="S29" s="38"/>
      <c r="T29" s="38"/>
      <c r="U29" s="38"/>
      <c r="V29" s="38"/>
      <c r="W29" s="38"/>
      <c r="X29" s="38"/>
      <c r="Y29" s="38"/>
      <c r="Z29" s="38"/>
      <c r="AA29" s="38"/>
      <c r="AB29" s="38"/>
      <c r="AC29" s="38"/>
      <c r="AD29" s="38"/>
      <c r="AE29" s="38"/>
      <c r="AF29" s="38"/>
      <c r="AG29" s="38"/>
      <c r="AH29" s="38"/>
      <c r="AI29" s="38"/>
      <c r="AJ29" s="38"/>
      <c r="AK29" s="38"/>
      <c r="AL29" s="38">
        <v>49000</v>
      </c>
      <c r="AM29" s="38"/>
      <c r="AN29" s="38">
        <v>41952</v>
      </c>
      <c r="AO29" s="38"/>
      <c r="AP29" s="38"/>
      <c r="AQ29" s="38"/>
      <c r="AR29" s="38"/>
      <c r="AS29" s="38"/>
      <c r="AT29" s="38"/>
      <c r="AU29" s="38"/>
      <c r="AV29" s="38"/>
      <c r="AW29" s="38"/>
      <c r="AX29" s="38"/>
      <c r="AY29" s="38">
        <v>53550</v>
      </c>
      <c r="AZ29" s="38">
        <v>69020</v>
      </c>
      <c r="BA29" s="38"/>
      <c r="BB29" s="38"/>
      <c r="BC29" s="38"/>
      <c r="BD29" s="38"/>
      <c r="BE29" s="38"/>
      <c r="BF29" s="38"/>
      <c r="BG29" s="38"/>
      <c r="BH29" s="38"/>
      <c r="BI29" s="38"/>
      <c r="BJ29" s="107">
        <f t="shared" si="2"/>
        <v>51275</v>
      </c>
      <c r="BK29" s="107">
        <f t="shared" si="3"/>
        <v>53380.5</v>
      </c>
      <c r="BL29" s="108">
        <f t="shared" si="4"/>
        <v>11466.212437708742</v>
      </c>
      <c r="BM29" s="65">
        <f t="shared" si="5"/>
        <v>0.21480151811445644</v>
      </c>
      <c r="BN29" s="109">
        <f t="shared" si="0"/>
        <v>51275</v>
      </c>
      <c r="BO29" s="66">
        <v>0</v>
      </c>
      <c r="BP29" s="109">
        <f t="shared" si="6"/>
        <v>51275</v>
      </c>
      <c r="BQ29" s="76">
        <f t="shared" si="1"/>
        <v>51275</v>
      </c>
      <c r="BR29" s="110" t="s">
        <v>902</v>
      </c>
    </row>
    <row r="30" spans="1:70" ht="34" x14ac:dyDescent="0.2">
      <c r="A30" s="63">
        <v>26</v>
      </c>
      <c r="B30" s="63" t="s">
        <v>551</v>
      </c>
      <c r="C30" s="157" t="s">
        <v>552</v>
      </c>
      <c r="D30" s="63" t="s">
        <v>513</v>
      </c>
      <c r="E30" s="63">
        <v>150</v>
      </c>
      <c r="F30" s="38"/>
      <c r="G30" s="38"/>
      <c r="H30" s="38"/>
      <c r="I30" s="38"/>
      <c r="J30" s="38"/>
      <c r="K30" s="38"/>
      <c r="L30" s="38"/>
      <c r="M30" s="38"/>
      <c r="N30" s="38"/>
      <c r="O30" s="38"/>
      <c r="P30" s="38"/>
      <c r="Q30" s="38"/>
      <c r="R30" s="38"/>
      <c r="S30" s="38"/>
      <c r="T30" s="38"/>
      <c r="U30" s="38"/>
      <c r="V30" s="38"/>
      <c r="W30" s="38"/>
      <c r="X30" s="38"/>
      <c r="Y30" s="38"/>
      <c r="Z30" s="38"/>
      <c r="AA30" s="38"/>
      <c r="AB30" s="38"/>
      <c r="AC30" s="38"/>
      <c r="AD30" s="38"/>
      <c r="AE30" s="38"/>
      <c r="AF30" s="38"/>
      <c r="AG30" s="38"/>
      <c r="AH30" s="38"/>
      <c r="AI30" s="38"/>
      <c r="AJ30" s="38"/>
      <c r="AK30" s="38"/>
      <c r="AL30" s="38">
        <v>36600</v>
      </c>
      <c r="AM30" s="38"/>
      <c r="AN30" s="38">
        <v>41216</v>
      </c>
      <c r="AO30" s="38">
        <f>8200*5</f>
        <v>41000</v>
      </c>
      <c r="AP30" s="38"/>
      <c r="AQ30" s="38"/>
      <c r="AR30" s="38"/>
      <c r="AS30" s="38"/>
      <c r="AT30" s="38"/>
      <c r="AU30" s="38"/>
      <c r="AV30" s="38"/>
      <c r="AW30" s="38"/>
      <c r="AX30" s="38"/>
      <c r="AY30" s="38"/>
      <c r="AZ30" s="38"/>
      <c r="BA30" s="38">
        <v>48600</v>
      </c>
      <c r="BB30" s="38"/>
      <c r="BC30" s="38"/>
      <c r="BD30" s="38"/>
      <c r="BE30" s="38"/>
      <c r="BF30" s="38"/>
      <c r="BG30" s="38"/>
      <c r="BH30" s="38"/>
      <c r="BI30" s="38"/>
      <c r="BJ30" s="107">
        <f t="shared" si="2"/>
        <v>41108</v>
      </c>
      <c r="BK30" s="107">
        <f t="shared" si="3"/>
        <v>41854</v>
      </c>
      <c r="BL30" s="108">
        <f t="shared" si="4"/>
        <v>4974.9168167250127</v>
      </c>
      <c r="BM30" s="65">
        <f t="shared" si="5"/>
        <v>0.11886359288777686</v>
      </c>
      <c r="BN30" s="109">
        <f t="shared" si="0"/>
        <v>41854</v>
      </c>
      <c r="BO30" s="66">
        <v>0</v>
      </c>
      <c r="BP30" s="109">
        <f t="shared" si="6"/>
        <v>41854</v>
      </c>
      <c r="BQ30" s="76">
        <f t="shared" si="1"/>
        <v>6278100</v>
      </c>
      <c r="BR30" s="110" t="s">
        <v>903</v>
      </c>
    </row>
    <row r="31" spans="1:70" ht="34" x14ac:dyDescent="0.2">
      <c r="A31" s="63">
        <v>27</v>
      </c>
      <c r="B31" s="63" t="s">
        <v>553</v>
      </c>
      <c r="C31" s="157" t="s">
        <v>1043</v>
      </c>
      <c r="D31" s="63" t="s">
        <v>509</v>
      </c>
      <c r="E31" s="63">
        <v>4</v>
      </c>
      <c r="F31" s="38"/>
      <c r="G31" s="38"/>
      <c r="H31" s="38"/>
      <c r="I31" s="38"/>
      <c r="J31" s="38"/>
      <c r="K31" s="38"/>
      <c r="L31" s="38"/>
      <c r="M31" s="38"/>
      <c r="N31" s="38"/>
      <c r="O31" s="38"/>
      <c r="P31" s="38"/>
      <c r="Q31" s="38"/>
      <c r="R31" s="38"/>
      <c r="S31" s="38"/>
      <c r="T31" s="38"/>
      <c r="U31" s="38"/>
      <c r="V31" s="38"/>
      <c r="W31" s="38"/>
      <c r="X31" s="38"/>
      <c r="Y31" s="38"/>
      <c r="Z31" s="38"/>
      <c r="AA31" s="38"/>
      <c r="AB31" s="38"/>
      <c r="AC31" s="38"/>
      <c r="AD31" s="38"/>
      <c r="AE31" s="38"/>
      <c r="AF31" s="38"/>
      <c r="AG31" s="38"/>
      <c r="AH31" s="38"/>
      <c r="AI31" s="38"/>
      <c r="AJ31" s="38"/>
      <c r="AK31" s="38"/>
      <c r="AL31" s="38">
        <v>95000</v>
      </c>
      <c r="AM31" s="38"/>
      <c r="AN31" s="38"/>
      <c r="AO31" s="38"/>
      <c r="AP31" s="38"/>
      <c r="AQ31" s="38"/>
      <c r="AR31" s="38"/>
      <c r="AS31" s="38"/>
      <c r="AT31" s="38"/>
      <c r="AU31" s="38"/>
      <c r="AV31" s="38"/>
      <c r="AW31" s="38"/>
      <c r="AX31" s="38"/>
      <c r="AY31" s="38">
        <v>114240</v>
      </c>
      <c r="AZ31" s="38">
        <v>113050</v>
      </c>
      <c r="BA31" s="38">
        <v>135000</v>
      </c>
      <c r="BB31" s="38"/>
      <c r="BC31" s="38"/>
      <c r="BD31" s="38"/>
      <c r="BE31" s="38"/>
      <c r="BF31" s="38"/>
      <c r="BG31" s="38"/>
      <c r="BH31" s="38"/>
      <c r="BI31" s="38"/>
      <c r="BJ31" s="107">
        <f t="shared" si="2"/>
        <v>113645</v>
      </c>
      <c r="BK31" s="107">
        <f t="shared" si="3"/>
        <v>114322.5</v>
      </c>
      <c r="BL31" s="108">
        <f t="shared" si="4"/>
        <v>16355.876364984746</v>
      </c>
      <c r="BM31" s="65">
        <f t="shared" si="5"/>
        <v>0.14306786822353207</v>
      </c>
      <c r="BN31" s="109">
        <f t="shared" si="0"/>
        <v>114323</v>
      </c>
      <c r="BO31" s="66">
        <v>0</v>
      </c>
      <c r="BP31" s="109">
        <f t="shared" si="6"/>
        <v>114323</v>
      </c>
      <c r="BQ31" s="76">
        <f t="shared" si="1"/>
        <v>457292</v>
      </c>
      <c r="BR31" s="110" t="s">
        <v>903</v>
      </c>
    </row>
    <row r="32" spans="1:70" ht="34" x14ac:dyDescent="0.2">
      <c r="A32" s="63">
        <v>28</v>
      </c>
      <c r="B32" s="63" t="s">
        <v>554</v>
      </c>
      <c r="C32" s="157" t="s">
        <v>555</v>
      </c>
      <c r="D32" s="63" t="s">
        <v>556</v>
      </c>
      <c r="E32" s="63">
        <v>10</v>
      </c>
      <c r="F32" s="38"/>
      <c r="G32" s="38"/>
      <c r="H32" s="38"/>
      <c r="I32" s="38"/>
      <c r="J32" s="38"/>
      <c r="K32" s="38"/>
      <c r="L32" s="38"/>
      <c r="M32" s="38"/>
      <c r="N32" s="38"/>
      <c r="O32" s="38"/>
      <c r="P32" s="38"/>
      <c r="Q32" s="38"/>
      <c r="R32" s="38"/>
      <c r="S32" s="38"/>
      <c r="T32" s="38"/>
      <c r="U32" s="38"/>
      <c r="V32" s="38"/>
      <c r="W32" s="38"/>
      <c r="X32" s="38"/>
      <c r="Y32" s="38"/>
      <c r="Z32" s="38"/>
      <c r="AA32" s="38"/>
      <c r="AB32" s="38"/>
      <c r="AC32" s="38"/>
      <c r="AD32" s="38"/>
      <c r="AE32" s="38"/>
      <c r="AF32" s="38"/>
      <c r="AG32" s="38"/>
      <c r="AH32" s="38"/>
      <c r="AI32" s="38"/>
      <c r="AJ32" s="38"/>
      <c r="AK32" s="38"/>
      <c r="AL32" s="38"/>
      <c r="AM32" s="38"/>
      <c r="AN32" s="38">
        <f>34592/5</f>
        <v>6918.4</v>
      </c>
      <c r="AO32" s="38"/>
      <c r="AP32" s="38"/>
      <c r="AQ32" s="38"/>
      <c r="AR32" s="38"/>
      <c r="AS32" s="38"/>
      <c r="AT32" s="38"/>
      <c r="AU32" s="38"/>
      <c r="AV32" s="38"/>
      <c r="AW32" s="38"/>
      <c r="AX32" s="38"/>
      <c r="AY32" s="38">
        <v>10710</v>
      </c>
      <c r="AZ32" s="38">
        <v>10115</v>
      </c>
      <c r="BA32" s="38"/>
      <c r="BB32" s="38"/>
      <c r="BC32" s="38"/>
      <c r="BD32" s="38"/>
      <c r="BE32" s="38"/>
      <c r="BF32" s="38"/>
      <c r="BG32" s="38"/>
      <c r="BH32" s="38"/>
      <c r="BI32" s="38"/>
      <c r="BJ32" s="107">
        <f t="shared" si="2"/>
        <v>10115</v>
      </c>
      <c r="BK32" s="107">
        <f t="shared" si="3"/>
        <v>9247.8000000000011</v>
      </c>
      <c r="BL32" s="108">
        <f t="shared" si="4"/>
        <v>2039.1381807028174</v>
      </c>
      <c r="BM32" s="65">
        <f t="shared" si="5"/>
        <v>0.22049981408581687</v>
      </c>
      <c r="BN32" s="109">
        <f t="shared" si="0"/>
        <v>10115</v>
      </c>
      <c r="BO32" s="66">
        <v>0</v>
      </c>
      <c r="BP32" s="109">
        <f t="shared" si="6"/>
        <v>10115</v>
      </c>
      <c r="BQ32" s="76">
        <f t="shared" si="1"/>
        <v>101150</v>
      </c>
      <c r="BR32" s="110" t="s">
        <v>902</v>
      </c>
    </row>
    <row r="33" spans="1:70" ht="34" x14ac:dyDescent="0.2">
      <c r="A33" s="63">
        <v>29</v>
      </c>
      <c r="B33" s="63" t="s">
        <v>554</v>
      </c>
      <c r="C33" s="157" t="s">
        <v>557</v>
      </c>
      <c r="D33" s="63" t="s">
        <v>558</v>
      </c>
      <c r="E33" s="63">
        <v>50</v>
      </c>
      <c r="F33" s="38"/>
      <c r="G33" s="38"/>
      <c r="H33" s="38"/>
      <c r="I33" s="38"/>
      <c r="J33" s="38"/>
      <c r="K33" s="38"/>
      <c r="L33" s="38"/>
      <c r="M33" s="38"/>
      <c r="N33" s="38"/>
      <c r="O33" s="38"/>
      <c r="P33" s="38"/>
      <c r="Q33" s="38"/>
      <c r="R33" s="38"/>
      <c r="S33" s="38"/>
      <c r="T33" s="38"/>
      <c r="U33" s="38"/>
      <c r="V33" s="38"/>
      <c r="W33" s="38"/>
      <c r="X33" s="38"/>
      <c r="Y33" s="38"/>
      <c r="Z33" s="38"/>
      <c r="AA33" s="38"/>
      <c r="AB33" s="38"/>
      <c r="AC33" s="38"/>
      <c r="AD33" s="38"/>
      <c r="AE33" s="38"/>
      <c r="AF33" s="38"/>
      <c r="AG33" s="38"/>
      <c r="AH33" s="38"/>
      <c r="AI33" s="38"/>
      <c r="AJ33" s="38"/>
      <c r="AK33" s="38"/>
      <c r="AL33" s="38"/>
      <c r="AM33" s="38"/>
      <c r="AN33" s="38"/>
      <c r="AO33" s="38"/>
      <c r="AP33" s="38"/>
      <c r="AQ33" s="38"/>
      <c r="AR33" s="38"/>
      <c r="AS33" s="38"/>
      <c r="AT33" s="38"/>
      <c r="AU33" s="38"/>
      <c r="AV33" s="38"/>
      <c r="AW33" s="38"/>
      <c r="AX33" s="38"/>
      <c r="AY33" s="38">
        <v>5355</v>
      </c>
      <c r="AZ33" s="38">
        <v>5950</v>
      </c>
      <c r="BA33" s="38">
        <v>6840</v>
      </c>
      <c r="BB33" s="38"/>
      <c r="BC33" s="38"/>
      <c r="BD33" s="38"/>
      <c r="BE33" s="38"/>
      <c r="BF33" s="38"/>
      <c r="BG33" s="38"/>
      <c r="BH33" s="38"/>
      <c r="BI33" s="38"/>
      <c r="BJ33" s="107">
        <f t="shared" si="2"/>
        <v>5950</v>
      </c>
      <c r="BK33" s="107">
        <f t="shared" si="3"/>
        <v>6048.333333333333</v>
      </c>
      <c r="BL33" s="108">
        <f t="shared" si="4"/>
        <v>747.36760254464855</v>
      </c>
      <c r="BM33" s="65">
        <f t="shared" si="5"/>
        <v>0.12356587531738472</v>
      </c>
      <c r="BN33" s="109">
        <f t="shared" si="0"/>
        <v>6049</v>
      </c>
      <c r="BO33" s="66">
        <v>0</v>
      </c>
      <c r="BP33" s="109">
        <f t="shared" si="6"/>
        <v>6049</v>
      </c>
      <c r="BQ33" s="76">
        <f t="shared" si="1"/>
        <v>302450</v>
      </c>
      <c r="BR33" s="110" t="s">
        <v>903</v>
      </c>
    </row>
    <row r="34" spans="1:70" ht="34" x14ac:dyDescent="0.2">
      <c r="A34" s="63">
        <v>30</v>
      </c>
      <c r="B34" s="126" t="s">
        <v>559</v>
      </c>
      <c r="C34" s="157" t="s">
        <v>560</v>
      </c>
      <c r="D34" s="63" t="s">
        <v>513</v>
      </c>
      <c r="E34" s="63">
        <v>7</v>
      </c>
      <c r="F34" s="38"/>
      <c r="G34" s="38"/>
      <c r="H34" s="38"/>
      <c r="I34" s="38"/>
      <c r="J34" s="38"/>
      <c r="K34" s="38"/>
      <c r="L34" s="38"/>
      <c r="M34" s="38"/>
      <c r="N34" s="38"/>
      <c r="O34" s="38"/>
      <c r="P34" s="38"/>
      <c r="Q34" s="38"/>
      <c r="R34" s="38"/>
      <c r="S34" s="38"/>
      <c r="T34" s="38"/>
      <c r="U34" s="38"/>
      <c r="V34" s="38"/>
      <c r="W34" s="38"/>
      <c r="X34" s="38"/>
      <c r="Y34" s="38"/>
      <c r="Z34" s="38"/>
      <c r="AA34" s="38"/>
      <c r="AB34" s="38"/>
      <c r="AC34" s="38"/>
      <c r="AD34" s="38"/>
      <c r="AE34" s="38"/>
      <c r="AF34" s="38"/>
      <c r="AG34" s="38"/>
      <c r="AH34" s="38"/>
      <c r="AI34" s="38"/>
      <c r="AJ34" s="38"/>
      <c r="AK34" s="38"/>
      <c r="AL34" s="38"/>
      <c r="AM34" s="38"/>
      <c r="AN34" s="38"/>
      <c r="AO34" s="38"/>
      <c r="AP34" s="38"/>
      <c r="AQ34" s="38"/>
      <c r="AR34" s="38"/>
      <c r="AS34" s="38"/>
      <c r="AT34" s="38"/>
      <c r="AU34" s="38"/>
      <c r="AV34" s="38"/>
      <c r="AW34" s="38"/>
      <c r="AX34" s="38"/>
      <c r="AY34" s="38">
        <v>59500</v>
      </c>
      <c r="AZ34" s="38">
        <v>66640</v>
      </c>
      <c r="BA34" s="38">
        <v>91600</v>
      </c>
      <c r="BB34" s="38"/>
      <c r="BC34" s="38"/>
      <c r="BD34" s="38"/>
      <c r="BE34" s="38"/>
      <c r="BF34" s="38"/>
      <c r="BG34" s="38"/>
      <c r="BH34" s="38"/>
      <c r="BI34" s="38"/>
      <c r="BJ34" s="107">
        <f t="shared" si="2"/>
        <v>66640</v>
      </c>
      <c r="BK34" s="107">
        <f t="shared" si="3"/>
        <v>72580</v>
      </c>
      <c r="BL34" s="108">
        <f t="shared" si="4"/>
        <v>16854.233889441548</v>
      </c>
      <c r="BM34" s="65">
        <f t="shared" si="5"/>
        <v>0.23221595328522388</v>
      </c>
      <c r="BN34" s="109">
        <f t="shared" si="0"/>
        <v>66640</v>
      </c>
      <c r="BO34" s="66">
        <v>0</v>
      </c>
      <c r="BP34" s="109">
        <f t="shared" si="6"/>
        <v>66640</v>
      </c>
      <c r="BQ34" s="76">
        <f t="shared" si="1"/>
        <v>466480</v>
      </c>
      <c r="BR34" s="110" t="s">
        <v>902</v>
      </c>
    </row>
    <row r="35" spans="1:70" ht="51" x14ac:dyDescent="0.2">
      <c r="A35" s="63">
        <v>31</v>
      </c>
      <c r="B35" s="63" t="s">
        <v>561</v>
      </c>
      <c r="C35" s="157" t="s">
        <v>562</v>
      </c>
      <c r="D35" s="63" t="s">
        <v>513</v>
      </c>
      <c r="E35" s="63">
        <v>3</v>
      </c>
      <c r="F35" s="38"/>
      <c r="G35" s="38"/>
      <c r="H35" s="38"/>
      <c r="I35" s="38"/>
      <c r="J35" s="38"/>
      <c r="K35" s="38"/>
      <c r="L35" s="38"/>
      <c r="M35" s="38"/>
      <c r="N35" s="38"/>
      <c r="O35" s="38"/>
      <c r="P35" s="38"/>
      <c r="Q35" s="38"/>
      <c r="R35" s="38"/>
      <c r="S35" s="38"/>
      <c r="T35" s="38"/>
      <c r="U35" s="38"/>
      <c r="V35" s="38"/>
      <c r="W35" s="38"/>
      <c r="X35" s="38"/>
      <c r="Y35" s="38"/>
      <c r="Z35" s="38"/>
      <c r="AA35" s="38"/>
      <c r="AB35" s="38"/>
      <c r="AC35" s="38"/>
      <c r="AD35" s="38"/>
      <c r="AE35" s="38"/>
      <c r="AF35" s="38"/>
      <c r="AG35" s="38"/>
      <c r="AH35" s="38"/>
      <c r="AI35" s="38"/>
      <c r="AJ35" s="38"/>
      <c r="AK35" s="38"/>
      <c r="AL35" s="38"/>
      <c r="AM35" s="38"/>
      <c r="AN35" s="38"/>
      <c r="AO35" s="38"/>
      <c r="AP35" s="38">
        <v>42800</v>
      </c>
      <c r="AQ35" s="38"/>
      <c r="AR35" s="38"/>
      <c r="AS35" s="38"/>
      <c r="AT35" s="38"/>
      <c r="AU35" s="38"/>
      <c r="AV35" s="38"/>
      <c r="AW35" s="38"/>
      <c r="AX35" s="38"/>
      <c r="AY35" s="38">
        <v>33201</v>
      </c>
      <c r="AZ35" s="38">
        <v>33320</v>
      </c>
      <c r="BA35" s="38"/>
      <c r="BB35" s="38"/>
      <c r="BC35" s="38"/>
      <c r="BD35" s="38"/>
      <c r="BE35" s="38"/>
      <c r="BF35" s="38"/>
      <c r="BG35" s="38"/>
      <c r="BH35" s="38"/>
      <c r="BI35" s="38"/>
      <c r="BJ35" s="107">
        <f t="shared" si="2"/>
        <v>33320</v>
      </c>
      <c r="BK35" s="107">
        <f t="shared" si="3"/>
        <v>36440.333333333336</v>
      </c>
      <c r="BL35" s="108">
        <f t="shared" si="4"/>
        <v>5507.954278435257</v>
      </c>
      <c r="BM35" s="65">
        <f t="shared" si="5"/>
        <v>0.1511499422371344</v>
      </c>
      <c r="BN35" s="109">
        <f>ROUNDUP(IF(BM35&lt;15%,BK35,BJ35),0)</f>
        <v>33320</v>
      </c>
      <c r="BO35" s="66">
        <v>0</v>
      </c>
      <c r="BP35" s="109">
        <f t="shared" si="6"/>
        <v>33320</v>
      </c>
      <c r="BQ35" s="76">
        <f t="shared" si="1"/>
        <v>99960</v>
      </c>
      <c r="BR35" s="110" t="s">
        <v>903</v>
      </c>
    </row>
    <row r="36" spans="1:70" ht="34" x14ac:dyDescent="0.2">
      <c r="A36" s="63">
        <v>32</v>
      </c>
      <c r="B36" s="126" t="s">
        <v>563</v>
      </c>
      <c r="C36" s="157" t="s">
        <v>564</v>
      </c>
      <c r="D36" s="63" t="s">
        <v>513</v>
      </c>
      <c r="E36" s="63">
        <v>1</v>
      </c>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38"/>
      <c r="AK36" s="38"/>
      <c r="AL36" s="38"/>
      <c r="AM36" s="38"/>
      <c r="AN36" s="38"/>
      <c r="AO36" s="38"/>
      <c r="AP36" s="38"/>
      <c r="AQ36" s="38"/>
      <c r="AR36" s="38"/>
      <c r="AS36" s="38"/>
      <c r="AT36" s="38"/>
      <c r="AU36" s="38"/>
      <c r="AV36" s="38"/>
      <c r="AW36" s="38"/>
      <c r="AX36" s="38"/>
      <c r="AY36" s="38">
        <v>33201</v>
      </c>
      <c r="AZ36" s="38">
        <v>33320</v>
      </c>
      <c r="BA36" s="38">
        <v>39600</v>
      </c>
      <c r="BB36" s="38"/>
      <c r="BC36" s="38"/>
      <c r="BD36" s="38"/>
      <c r="BE36" s="38"/>
      <c r="BF36" s="38"/>
      <c r="BG36" s="38"/>
      <c r="BH36" s="38"/>
      <c r="BI36" s="38"/>
      <c r="BJ36" s="107">
        <f t="shared" si="2"/>
        <v>33320</v>
      </c>
      <c r="BK36" s="107">
        <f t="shared" si="3"/>
        <v>35373.666666666664</v>
      </c>
      <c r="BL36" s="108">
        <f t="shared" si="4"/>
        <v>3660.5956254868324</v>
      </c>
      <c r="BM36" s="65">
        <f t="shared" si="5"/>
        <v>0.10348363543936165</v>
      </c>
      <c r="BN36" s="109">
        <f t="shared" si="0"/>
        <v>35374</v>
      </c>
      <c r="BO36" s="66">
        <v>0</v>
      </c>
      <c r="BP36" s="109">
        <f t="shared" si="6"/>
        <v>35374</v>
      </c>
      <c r="BQ36" s="76">
        <f t="shared" si="1"/>
        <v>35374</v>
      </c>
      <c r="BR36" s="110" t="s">
        <v>903</v>
      </c>
    </row>
    <row r="37" spans="1:70" ht="34" x14ac:dyDescent="0.2">
      <c r="A37" s="63">
        <v>33</v>
      </c>
      <c r="B37" s="63" t="s">
        <v>565</v>
      </c>
      <c r="C37" s="157" t="s">
        <v>566</v>
      </c>
      <c r="D37" s="63" t="s">
        <v>567</v>
      </c>
      <c r="E37" s="63">
        <v>10</v>
      </c>
      <c r="F37" s="38"/>
      <c r="G37" s="38"/>
      <c r="H37" s="38"/>
      <c r="I37" s="38"/>
      <c r="J37" s="38"/>
      <c r="K37" s="38"/>
      <c r="L37" s="38"/>
      <c r="M37" s="38"/>
      <c r="N37" s="38"/>
      <c r="O37" s="38"/>
      <c r="P37" s="38"/>
      <c r="Q37" s="38"/>
      <c r="R37" s="38"/>
      <c r="S37" s="38"/>
      <c r="T37" s="38"/>
      <c r="U37" s="38"/>
      <c r="V37" s="38"/>
      <c r="W37" s="38"/>
      <c r="X37" s="38"/>
      <c r="Y37" s="38"/>
      <c r="Z37" s="38"/>
      <c r="AA37" s="38"/>
      <c r="AB37" s="38"/>
      <c r="AC37" s="38"/>
      <c r="AD37" s="38"/>
      <c r="AE37" s="38"/>
      <c r="AF37" s="38"/>
      <c r="AG37" s="38"/>
      <c r="AH37" s="38"/>
      <c r="AI37" s="38"/>
      <c r="AJ37" s="38"/>
      <c r="AK37" s="38"/>
      <c r="AL37" s="38">
        <v>37600</v>
      </c>
      <c r="AM37" s="38"/>
      <c r="AN37" s="38"/>
      <c r="AO37" s="38"/>
      <c r="AP37" s="38"/>
      <c r="AQ37" s="38"/>
      <c r="AR37" s="38"/>
      <c r="AS37" s="38"/>
      <c r="AT37" s="38"/>
      <c r="AU37" s="38"/>
      <c r="AV37" s="38"/>
      <c r="AW37" s="38"/>
      <c r="AX37" s="38"/>
      <c r="AY37" s="38">
        <v>61880</v>
      </c>
      <c r="AZ37" s="38">
        <v>61880</v>
      </c>
      <c r="BA37" s="38"/>
      <c r="BB37" s="38"/>
      <c r="BC37" s="38"/>
      <c r="BD37" s="38"/>
      <c r="BE37" s="38"/>
      <c r="BF37" s="38"/>
      <c r="BG37" s="38"/>
      <c r="BH37" s="38"/>
      <c r="BI37" s="38"/>
      <c r="BJ37" s="107">
        <f t="shared" si="2"/>
        <v>61880</v>
      </c>
      <c r="BK37" s="107">
        <f t="shared" si="3"/>
        <v>53786.666666666664</v>
      </c>
      <c r="BL37" s="108">
        <f t="shared" si="4"/>
        <v>14018.064535924103</v>
      </c>
      <c r="BM37" s="65">
        <f t="shared" si="5"/>
        <v>0.26062341105461273</v>
      </c>
      <c r="BN37" s="109">
        <f t="shared" si="0"/>
        <v>61880</v>
      </c>
      <c r="BO37" s="66">
        <v>0</v>
      </c>
      <c r="BP37" s="109">
        <f t="shared" si="6"/>
        <v>61880</v>
      </c>
      <c r="BQ37" s="76">
        <f t="shared" si="1"/>
        <v>618800</v>
      </c>
      <c r="BR37" s="110" t="s">
        <v>902</v>
      </c>
    </row>
    <row r="38" spans="1:70" ht="47.25" customHeight="1" x14ac:dyDescent="0.2">
      <c r="A38" s="63">
        <v>34</v>
      </c>
      <c r="B38" s="63" t="s">
        <v>568</v>
      </c>
      <c r="C38" s="157" t="s">
        <v>569</v>
      </c>
      <c r="D38" s="63" t="s">
        <v>570</v>
      </c>
      <c r="E38" s="63">
        <v>10</v>
      </c>
      <c r="F38" s="38"/>
      <c r="G38" s="38"/>
      <c r="H38" s="38"/>
      <c r="I38" s="38"/>
      <c r="J38" s="38"/>
      <c r="K38" s="38"/>
      <c r="L38" s="38"/>
      <c r="M38" s="38"/>
      <c r="N38" s="38"/>
      <c r="O38" s="38"/>
      <c r="P38" s="38"/>
      <c r="Q38" s="38"/>
      <c r="R38" s="38"/>
      <c r="S38" s="38"/>
      <c r="T38" s="38"/>
      <c r="U38" s="38"/>
      <c r="V38" s="38"/>
      <c r="W38" s="38"/>
      <c r="X38" s="38"/>
      <c r="Y38" s="38"/>
      <c r="Z38" s="38"/>
      <c r="AA38" s="38"/>
      <c r="AB38" s="38"/>
      <c r="AC38" s="38"/>
      <c r="AD38" s="38"/>
      <c r="AE38" s="38"/>
      <c r="AF38" s="38"/>
      <c r="AG38" s="38"/>
      <c r="AH38" s="38"/>
      <c r="AI38" s="38"/>
      <c r="AJ38" s="38"/>
      <c r="AK38" s="38"/>
      <c r="AL38" s="38"/>
      <c r="AM38" s="38"/>
      <c r="AN38" s="38">
        <v>31096</v>
      </c>
      <c r="AO38" s="38"/>
      <c r="AP38" s="38"/>
      <c r="AQ38" s="38"/>
      <c r="AR38" s="38"/>
      <c r="AS38" s="38"/>
      <c r="AT38" s="38"/>
      <c r="AU38" s="38"/>
      <c r="AV38" s="38"/>
      <c r="AW38" s="38"/>
      <c r="AX38" s="38"/>
      <c r="AY38" s="38">
        <v>34510</v>
      </c>
      <c r="AZ38" s="38">
        <v>33320</v>
      </c>
      <c r="BA38" s="38">
        <v>53100</v>
      </c>
      <c r="BB38" s="38"/>
      <c r="BC38" s="38"/>
      <c r="BD38" s="38"/>
      <c r="BE38" s="38"/>
      <c r="BF38" s="38"/>
      <c r="BG38" s="38"/>
      <c r="BH38" s="38"/>
      <c r="BI38" s="38"/>
      <c r="BJ38" s="107">
        <f t="shared" si="2"/>
        <v>33915</v>
      </c>
      <c r="BK38" s="107">
        <f t="shared" si="3"/>
        <v>38006.5</v>
      </c>
      <c r="BL38" s="108">
        <f t="shared" si="4"/>
        <v>10161.324503560876</v>
      </c>
      <c r="BM38" s="65">
        <f t="shared" si="5"/>
        <v>0.26735754419798918</v>
      </c>
      <c r="BN38" s="109">
        <f t="shared" si="0"/>
        <v>33915</v>
      </c>
      <c r="BO38" s="66">
        <v>0</v>
      </c>
      <c r="BP38" s="109">
        <f t="shared" si="6"/>
        <v>33915</v>
      </c>
      <c r="BQ38" s="76">
        <f t="shared" si="1"/>
        <v>339150</v>
      </c>
      <c r="BR38" s="110" t="s">
        <v>902</v>
      </c>
    </row>
    <row r="39" spans="1:70" ht="51" x14ac:dyDescent="0.2">
      <c r="A39" s="63">
        <v>35</v>
      </c>
      <c r="B39" s="63" t="s">
        <v>571</v>
      </c>
      <c r="C39" s="157" t="s">
        <v>572</v>
      </c>
      <c r="D39" s="63" t="s">
        <v>573</v>
      </c>
      <c r="E39" s="63">
        <v>10</v>
      </c>
      <c r="F39" s="38"/>
      <c r="G39" s="38"/>
      <c r="H39" s="38"/>
      <c r="I39" s="38"/>
      <c r="J39" s="38"/>
      <c r="K39" s="38"/>
      <c r="L39" s="38"/>
      <c r="M39" s="38"/>
      <c r="N39" s="38"/>
      <c r="O39" s="38"/>
      <c r="P39" s="38"/>
      <c r="Q39" s="38"/>
      <c r="R39" s="38"/>
      <c r="S39" s="38"/>
      <c r="T39" s="38"/>
      <c r="U39" s="38"/>
      <c r="V39" s="38"/>
      <c r="W39" s="38"/>
      <c r="X39" s="38"/>
      <c r="Y39" s="38"/>
      <c r="Z39" s="38"/>
      <c r="AA39" s="38"/>
      <c r="AB39" s="38"/>
      <c r="AC39" s="38"/>
      <c r="AD39" s="38"/>
      <c r="AE39" s="38"/>
      <c r="AF39" s="38"/>
      <c r="AG39" s="38"/>
      <c r="AH39" s="38"/>
      <c r="AI39" s="38"/>
      <c r="AJ39" s="38"/>
      <c r="AK39" s="38"/>
      <c r="AL39" s="38">
        <v>79900</v>
      </c>
      <c r="AM39" s="38"/>
      <c r="AN39" s="38">
        <v>88596</v>
      </c>
      <c r="AO39" s="38"/>
      <c r="AP39" s="38"/>
      <c r="AQ39" s="38"/>
      <c r="AR39" s="38"/>
      <c r="AS39" s="38"/>
      <c r="AT39" s="38"/>
      <c r="AU39" s="38"/>
      <c r="AV39" s="38"/>
      <c r="AW39" s="38"/>
      <c r="AX39" s="38"/>
      <c r="AY39" s="38">
        <v>77350</v>
      </c>
      <c r="AZ39" s="38">
        <v>71400</v>
      </c>
      <c r="BA39" s="38"/>
      <c r="BB39" s="38"/>
      <c r="BC39" s="38"/>
      <c r="BD39" s="38"/>
      <c r="BE39" s="38"/>
      <c r="BF39" s="38"/>
      <c r="BG39" s="38"/>
      <c r="BH39" s="38"/>
      <c r="BI39" s="38"/>
      <c r="BJ39" s="107">
        <f t="shared" si="2"/>
        <v>78625</v>
      </c>
      <c r="BK39" s="107">
        <f t="shared" si="3"/>
        <v>79311.5</v>
      </c>
      <c r="BL39" s="108">
        <f t="shared" si="4"/>
        <v>7141.1387280554445</v>
      </c>
      <c r="BM39" s="65">
        <f t="shared" si="5"/>
        <v>9.0039133392451842E-2</v>
      </c>
      <c r="BN39" s="109">
        <f t="shared" si="0"/>
        <v>79312</v>
      </c>
      <c r="BO39" s="66">
        <v>0</v>
      </c>
      <c r="BP39" s="109">
        <f t="shared" si="6"/>
        <v>79312</v>
      </c>
      <c r="BQ39" s="76">
        <f t="shared" si="1"/>
        <v>793120</v>
      </c>
      <c r="BR39" s="110" t="s">
        <v>903</v>
      </c>
    </row>
    <row r="40" spans="1:70" ht="34" x14ac:dyDescent="0.2">
      <c r="A40" s="63">
        <v>36</v>
      </c>
      <c r="B40" s="63" t="s">
        <v>574</v>
      </c>
      <c r="C40" s="157" t="s">
        <v>575</v>
      </c>
      <c r="D40" s="63" t="s">
        <v>576</v>
      </c>
      <c r="E40" s="63">
        <v>10</v>
      </c>
      <c r="F40" s="38"/>
      <c r="G40" s="38"/>
      <c r="H40" s="38"/>
      <c r="I40" s="38"/>
      <c r="J40" s="38"/>
      <c r="K40" s="38"/>
      <c r="L40" s="38"/>
      <c r="M40" s="38"/>
      <c r="N40" s="38"/>
      <c r="O40" s="38"/>
      <c r="P40" s="38"/>
      <c r="Q40" s="38"/>
      <c r="R40" s="38"/>
      <c r="S40" s="38"/>
      <c r="T40" s="38"/>
      <c r="U40" s="38"/>
      <c r="V40" s="38"/>
      <c r="W40" s="38"/>
      <c r="X40" s="38"/>
      <c r="Y40" s="38"/>
      <c r="Z40" s="38"/>
      <c r="AA40" s="38"/>
      <c r="AB40" s="38"/>
      <c r="AC40" s="38"/>
      <c r="AD40" s="38"/>
      <c r="AE40" s="38"/>
      <c r="AF40" s="38"/>
      <c r="AG40" s="38"/>
      <c r="AH40" s="38"/>
      <c r="AI40" s="38"/>
      <c r="AJ40" s="38"/>
      <c r="AK40" s="38"/>
      <c r="AL40" s="38"/>
      <c r="AM40" s="38"/>
      <c r="AN40" s="38">
        <v>30360</v>
      </c>
      <c r="AO40" s="38"/>
      <c r="AP40" s="38"/>
      <c r="AQ40" s="38"/>
      <c r="AR40" s="38"/>
      <c r="AS40" s="38"/>
      <c r="AT40" s="38"/>
      <c r="AU40" s="38"/>
      <c r="AV40" s="38"/>
      <c r="AW40" s="38"/>
      <c r="AX40" s="38"/>
      <c r="AY40" s="38">
        <v>45220</v>
      </c>
      <c r="AZ40" s="38">
        <v>45220</v>
      </c>
      <c r="BA40" s="38"/>
      <c r="BB40" s="38"/>
      <c r="BC40" s="38"/>
      <c r="BD40" s="38"/>
      <c r="BE40" s="38"/>
      <c r="BF40" s="38"/>
      <c r="BG40" s="38"/>
      <c r="BH40" s="38"/>
      <c r="BI40" s="38"/>
      <c r="BJ40" s="107">
        <f t="shared" si="2"/>
        <v>45220</v>
      </c>
      <c r="BK40" s="107">
        <f t="shared" si="3"/>
        <v>40266.666666666664</v>
      </c>
      <c r="BL40" s="108">
        <f t="shared" si="4"/>
        <v>8579.4250001578475</v>
      </c>
      <c r="BM40" s="65">
        <f t="shared" si="5"/>
        <v>0.21306519040127106</v>
      </c>
      <c r="BN40" s="109">
        <f t="shared" si="0"/>
        <v>45220</v>
      </c>
      <c r="BO40" s="66">
        <v>0</v>
      </c>
      <c r="BP40" s="109">
        <f t="shared" si="6"/>
        <v>45220</v>
      </c>
      <c r="BQ40" s="76">
        <f t="shared" si="1"/>
        <v>452200</v>
      </c>
      <c r="BR40" s="110" t="s">
        <v>902</v>
      </c>
    </row>
    <row r="41" spans="1:70" ht="34" x14ac:dyDescent="0.2">
      <c r="A41" s="63">
        <v>37</v>
      </c>
      <c r="B41" s="126" t="s">
        <v>574</v>
      </c>
      <c r="C41" s="157" t="s">
        <v>577</v>
      </c>
      <c r="D41" s="126" t="s">
        <v>578</v>
      </c>
      <c r="E41" s="63">
        <v>120</v>
      </c>
      <c r="F41" s="38"/>
      <c r="G41" s="38"/>
      <c r="H41" s="38"/>
      <c r="I41" s="38"/>
      <c r="J41" s="38"/>
      <c r="K41" s="38"/>
      <c r="L41" s="38"/>
      <c r="M41" s="38"/>
      <c r="N41" s="38"/>
      <c r="O41" s="38"/>
      <c r="P41" s="38"/>
      <c r="Q41" s="38"/>
      <c r="R41" s="38"/>
      <c r="S41" s="38"/>
      <c r="T41" s="38"/>
      <c r="U41" s="38"/>
      <c r="V41" s="38"/>
      <c r="W41" s="38"/>
      <c r="X41" s="38"/>
      <c r="Y41" s="38"/>
      <c r="Z41" s="38"/>
      <c r="AA41" s="38"/>
      <c r="AB41" s="38"/>
      <c r="AC41" s="38"/>
      <c r="AD41" s="38"/>
      <c r="AE41" s="38"/>
      <c r="AF41" s="38"/>
      <c r="AG41" s="38"/>
      <c r="AH41" s="38"/>
      <c r="AI41" s="38"/>
      <c r="AJ41" s="38"/>
      <c r="AK41" s="38"/>
      <c r="AL41" s="38"/>
      <c r="AM41" s="38"/>
      <c r="AN41" s="38"/>
      <c r="AO41" s="38"/>
      <c r="AP41" s="38"/>
      <c r="AQ41" s="38"/>
      <c r="AR41" s="38"/>
      <c r="AS41" s="38"/>
      <c r="AT41" s="38"/>
      <c r="AU41" s="38"/>
      <c r="AV41" s="38"/>
      <c r="AW41" s="38"/>
      <c r="AX41" s="38"/>
      <c r="AY41" s="38">
        <v>10710</v>
      </c>
      <c r="AZ41" s="38">
        <v>10115</v>
      </c>
      <c r="BA41" s="38"/>
      <c r="BB41" s="38"/>
      <c r="BC41" s="38"/>
      <c r="BD41" s="38"/>
      <c r="BE41" s="38"/>
      <c r="BF41" s="38"/>
      <c r="BG41" s="38"/>
      <c r="BH41" s="38"/>
      <c r="BI41" s="38"/>
      <c r="BJ41" s="107">
        <f t="shared" si="2"/>
        <v>10412.5</v>
      </c>
      <c r="BK41" s="107">
        <f t="shared" si="3"/>
        <v>10412.5</v>
      </c>
      <c r="BL41" s="108">
        <f t="shared" si="4"/>
        <v>420.72853480599576</v>
      </c>
      <c r="BM41" s="65">
        <f t="shared" si="5"/>
        <v>4.0406101782088429E-2</v>
      </c>
      <c r="BN41" s="109">
        <f t="shared" si="0"/>
        <v>10413</v>
      </c>
      <c r="BO41" s="66">
        <v>0</v>
      </c>
      <c r="BP41" s="109">
        <f t="shared" si="6"/>
        <v>10413</v>
      </c>
      <c r="BQ41" s="76">
        <f t="shared" si="1"/>
        <v>1249560</v>
      </c>
      <c r="BR41" s="110" t="s">
        <v>903</v>
      </c>
    </row>
    <row r="42" spans="1:70" ht="51" x14ac:dyDescent="0.2">
      <c r="A42" s="63">
        <v>38</v>
      </c>
      <c r="B42" s="63" t="s">
        <v>579</v>
      </c>
      <c r="C42" s="157" t="s">
        <v>1163</v>
      </c>
      <c r="D42" s="63" t="s">
        <v>1146</v>
      </c>
      <c r="E42" s="63">
        <v>15</v>
      </c>
      <c r="F42" s="38"/>
      <c r="G42" s="38"/>
      <c r="H42" s="38"/>
      <c r="I42" s="38"/>
      <c r="J42" s="38"/>
      <c r="K42" s="38"/>
      <c r="L42" s="38"/>
      <c r="M42" s="38"/>
      <c r="N42" s="38"/>
      <c r="O42" s="38"/>
      <c r="P42" s="38"/>
      <c r="Q42" s="38"/>
      <c r="R42" s="38"/>
      <c r="S42" s="38"/>
      <c r="T42" s="38"/>
      <c r="U42" s="38"/>
      <c r="V42" s="38"/>
      <c r="W42" s="38"/>
      <c r="X42" s="38"/>
      <c r="Y42" s="38"/>
      <c r="Z42" s="38"/>
      <c r="AA42" s="38"/>
      <c r="AB42" s="38"/>
      <c r="AC42" s="38"/>
      <c r="AD42" s="38"/>
      <c r="AE42" s="38"/>
      <c r="AF42" s="38"/>
      <c r="AG42" s="38"/>
      <c r="AH42" s="38"/>
      <c r="AI42" s="38"/>
      <c r="AJ42" s="38"/>
      <c r="AK42" s="38"/>
      <c r="AL42" s="38"/>
      <c r="AM42" s="38"/>
      <c r="AN42" s="38"/>
      <c r="AO42" s="38"/>
      <c r="AP42" s="38"/>
      <c r="AQ42" s="38"/>
      <c r="AR42" s="38"/>
      <c r="AS42" s="38"/>
      <c r="AT42" s="38"/>
      <c r="AU42" s="38"/>
      <c r="AV42" s="38"/>
      <c r="AW42" s="38"/>
      <c r="AX42" s="38"/>
      <c r="AY42" s="38">
        <v>27370</v>
      </c>
      <c r="AZ42" s="38">
        <v>26180</v>
      </c>
      <c r="BA42" s="38"/>
      <c r="BB42" s="38"/>
      <c r="BC42" s="38"/>
      <c r="BD42" s="38"/>
      <c r="BE42" s="38"/>
      <c r="BF42" s="38"/>
      <c r="BG42" s="38"/>
      <c r="BH42" s="38"/>
      <c r="BI42" s="38"/>
      <c r="BJ42" s="107">
        <f t="shared" si="2"/>
        <v>26775</v>
      </c>
      <c r="BK42" s="107">
        <f t="shared" si="3"/>
        <v>26775</v>
      </c>
      <c r="BL42" s="108">
        <f t="shared" si="4"/>
        <v>841.45706961199153</v>
      </c>
      <c r="BM42" s="65">
        <f t="shared" si="5"/>
        <v>3.1426968052735448E-2</v>
      </c>
      <c r="BN42" s="109">
        <f t="shared" si="0"/>
        <v>26775</v>
      </c>
      <c r="BO42" s="66">
        <v>0</v>
      </c>
      <c r="BP42" s="109">
        <f t="shared" si="6"/>
        <v>26775</v>
      </c>
      <c r="BQ42" s="76">
        <f t="shared" si="1"/>
        <v>401625</v>
      </c>
      <c r="BR42" s="110" t="s">
        <v>903</v>
      </c>
    </row>
    <row r="43" spans="1:70" ht="34" x14ac:dyDescent="0.2">
      <c r="A43" s="63">
        <v>39</v>
      </c>
      <c r="B43" s="63" t="s">
        <v>579</v>
      </c>
      <c r="C43" s="157" t="s">
        <v>1145</v>
      </c>
      <c r="D43" s="63" t="s">
        <v>1146</v>
      </c>
      <c r="E43" s="63">
        <v>15</v>
      </c>
      <c r="F43" s="38"/>
      <c r="G43" s="38"/>
      <c r="H43" s="38"/>
      <c r="I43" s="38"/>
      <c r="J43" s="38"/>
      <c r="K43" s="38"/>
      <c r="L43" s="38"/>
      <c r="M43" s="38"/>
      <c r="N43" s="38"/>
      <c r="O43" s="38"/>
      <c r="P43" s="38"/>
      <c r="Q43" s="38"/>
      <c r="R43" s="38"/>
      <c r="S43" s="38"/>
      <c r="T43" s="38"/>
      <c r="U43" s="38"/>
      <c r="V43" s="38"/>
      <c r="W43" s="38"/>
      <c r="X43" s="38"/>
      <c r="Y43" s="38"/>
      <c r="Z43" s="38"/>
      <c r="AA43" s="38"/>
      <c r="AB43" s="38"/>
      <c r="AC43" s="38"/>
      <c r="AD43" s="38"/>
      <c r="AE43" s="38"/>
      <c r="AF43" s="38"/>
      <c r="AG43" s="38"/>
      <c r="AH43" s="38"/>
      <c r="AI43" s="38"/>
      <c r="AJ43" s="38"/>
      <c r="AK43" s="38">
        <f>115000*4</f>
        <v>460000</v>
      </c>
      <c r="AL43" s="38"/>
      <c r="AM43" s="38"/>
      <c r="AN43" s="38">
        <f>131891.2*4</f>
        <v>527564.80000000005</v>
      </c>
      <c r="AO43" s="38"/>
      <c r="AP43" s="38"/>
      <c r="AQ43" s="38"/>
      <c r="AR43" s="38"/>
      <c r="AS43" s="38"/>
      <c r="AT43" s="38"/>
      <c r="AU43" s="38"/>
      <c r="AV43" s="38"/>
      <c r="AW43" s="38"/>
      <c r="AX43" s="38"/>
      <c r="AY43" s="38"/>
      <c r="AZ43" s="38"/>
      <c r="BA43" s="38"/>
      <c r="BB43" s="38"/>
      <c r="BC43" s="38"/>
      <c r="BD43" s="38"/>
      <c r="BE43" s="38"/>
      <c r="BF43" s="38"/>
      <c r="BG43" s="38"/>
      <c r="BH43" s="38"/>
      <c r="BI43" s="38"/>
      <c r="BJ43" s="107">
        <f t="shared" si="2"/>
        <v>493782.4</v>
      </c>
      <c r="BK43" s="107">
        <f t="shared" si="3"/>
        <v>493782.4</v>
      </c>
      <c r="BL43" s="108">
        <f t="shared" si="4"/>
        <v>47775.528249512878</v>
      </c>
      <c r="BM43" s="65">
        <f t="shared" si="5"/>
        <v>9.6754214507266512E-2</v>
      </c>
      <c r="BN43" s="109">
        <f t="shared" si="0"/>
        <v>493783</v>
      </c>
      <c r="BO43" s="66">
        <v>0</v>
      </c>
      <c r="BP43" s="109">
        <f t="shared" si="6"/>
        <v>493783</v>
      </c>
      <c r="BQ43" s="76">
        <f t="shared" si="1"/>
        <v>7406745</v>
      </c>
      <c r="BR43" s="110" t="s">
        <v>903</v>
      </c>
    </row>
    <row r="44" spans="1:70" ht="55.25" customHeight="1" x14ac:dyDescent="0.2">
      <c r="A44" s="63">
        <v>40</v>
      </c>
      <c r="B44" s="126" t="s">
        <v>579</v>
      </c>
      <c r="C44" s="157" t="s">
        <v>1147</v>
      </c>
      <c r="D44" s="63" t="s">
        <v>162</v>
      </c>
      <c r="E44" s="63">
        <v>15</v>
      </c>
      <c r="F44" s="38"/>
      <c r="G44" s="38"/>
      <c r="H44" s="38"/>
      <c r="I44" s="38"/>
      <c r="J44" s="38"/>
      <c r="K44" s="38"/>
      <c r="L44" s="38"/>
      <c r="M44" s="38"/>
      <c r="N44" s="38"/>
      <c r="O44" s="38"/>
      <c r="P44" s="38"/>
      <c r="Q44" s="38"/>
      <c r="R44" s="38"/>
      <c r="S44" s="38"/>
      <c r="T44" s="38"/>
      <c r="U44" s="38"/>
      <c r="V44" s="38"/>
      <c r="W44" s="38"/>
      <c r="X44" s="38"/>
      <c r="Y44" s="38"/>
      <c r="Z44" s="38"/>
      <c r="AA44" s="38"/>
      <c r="AB44" s="38"/>
      <c r="AC44" s="38"/>
      <c r="AD44" s="38"/>
      <c r="AE44" s="38"/>
      <c r="AF44" s="38"/>
      <c r="AG44" s="38"/>
      <c r="AH44" s="38"/>
      <c r="AI44" s="38"/>
      <c r="AJ44" s="38"/>
      <c r="AK44" s="38"/>
      <c r="AL44" s="38"/>
      <c r="AM44" s="38"/>
      <c r="AN44" s="38"/>
      <c r="AO44" s="38"/>
      <c r="AP44" s="38"/>
      <c r="AQ44" s="38"/>
      <c r="AR44" s="38"/>
      <c r="AS44" s="38"/>
      <c r="AT44" s="38"/>
      <c r="AU44" s="38"/>
      <c r="AV44" s="38"/>
      <c r="AW44" s="38"/>
      <c r="AX44" s="38"/>
      <c r="AY44" s="38">
        <v>49980</v>
      </c>
      <c r="AZ44" s="38">
        <v>53550</v>
      </c>
      <c r="BA44" s="38">
        <v>80000</v>
      </c>
      <c r="BB44" s="38"/>
      <c r="BC44" s="38"/>
      <c r="BD44" s="38"/>
      <c r="BE44" s="38"/>
      <c r="BF44" s="38"/>
      <c r="BG44" s="38"/>
      <c r="BH44" s="38"/>
      <c r="BI44" s="38"/>
      <c r="BJ44" s="107">
        <f t="shared" si="2"/>
        <v>53550</v>
      </c>
      <c r="BK44" s="107">
        <f t="shared" si="3"/>
        <v>61176.666666666664</v>
      </c>
      <c r="BL44" s="108">
        <f t="shared" si="4"/>
        <v>16398.921712519179</v>
      </c>
      <c r="BM44" s="65">
        <f t="shared" si="5"/>
        <v>0.26805843806221075</v>
      </c>
      <c r="BN44" s="109">
        <f t="shared" si="0"/>
        <v>53550</v>
      </c>
      <c r="BO44" s="66">
        <v>0</v>
      </c>
      <c r="BP44" s="109">
        <f t="shared" si="6"/>
        <v>53550</v>
      </c>
      <c r="BQ44" s="76">
        <f t="shared" si="1"/>
        <v>803250</v>
      </c>
      <c r="BR44" s="110" t="s">
        <v>902</v>
      </c>
    </row>
    <row r="45" spans="1:70" ht="63" customHeight="1" x14ac:dyDescent="0.2">
      <c r="A45" s="63">
        <v>41</v>
      </c>
      <c r="B45" s="63" t="s">
        <v>579</v>
      </c>
      <c r="C45" s="157" t="s">
        <v>1148</v>
      </c>
      <c r="D45" s="63" t="s">
        <v>162</v>
      </c>
      <c r="E45" s="63">
        <v>15</v>
      </c>
      <c r="F45" s="38"/>
      <c r="G45" s="38"/>
      <c r="H45" s="38"/>
      <c r="I45" s="38"/>
      <c r="J45" s="38"/>
      <c r="K45" s="38"/>
      <c r="L45" s="38"/>
      <c r="M45" s="38"/>
      <c r="N45" s="38"/>
      <c r="O45" s="38"/>
      <c r="P45" s="38"/>
      <c r="Q45" s="38"/>
      <c r="R45" s="38"/>
      <c r="S45" s="38"/>
      <c r="T45" s="38"/>
      <c r="U45" s="38"/>
      <c r="V45" s="38"/>
      <c r="W45" s="38"/>
      <c r="X45" s="38"/>
      <c r="Y45" s="38"/>
      <c r="Z45" s="38"/>
      <c r="AA45" s="38"/>
      <c r="AB45" s="38"/>
      <c r="AC45" s="38"/>
      <c r="AD45" s="38"/>
      <c r="AE45" s="38"/>
      <c r="AF45" s="38"/>
      <c r="AG45" s="38"/>
      <c r="AH45" s="38"/>
      <c r="AI45" s="38"/>
      <c r="AJ45" s="38"/>
      <c r="AK45" s="38">
        <v>47800</v>
      </c>
      <c r="AL45" s="38">
        <v>49800</v>
      </c>
      <c r="AM45" s="38"/>
      <c r="AN45" s="38"/>
      <c r="AO45" s="38"/>
      <c r="AP45" s="38"/>
      <c r="AQ45" s="38"/>
      <c r="AR45" s="38"/>
      <c r="AS45" s="38"/>
      <c r="AT45" s="38"/>
      <c r="AU45" s="38"/>
      <c r="AV45" s="38"/>
      <c r="AW45" s="38"/>
      <c r="AX45" s="38"/>
      <c r="AY45" s="38">
        <v>33201</v>
      </c>
      <c r="AZ45" s="38">
        <v>33320</v>
      </c>
      <c r="BA45" s="38"/>
      <c r="BB45" s="38"/>
      <c r="BC45" s="38"/>
      <c r="BD45" s="38"/>
      <c r="BE45" s="38"/>
      <c r="BF45" s="38"/>
      <c r="BG45" s="38"/>
      <c r="BH45" s="38"/>
      <c r="BI45" s="38"/>
      <c r="BJ45" s="107">
        <f t="shared" si="2"/>
        <v>40560</v>
      </c>
      <c r="BK45" s="107">
        <f t="shared" si="3"/>
        <v>41030.25</v>
      </c>
      <c r="BL45" s="108">
        <f t="shared" si="4"/>
        <v>9008.942608134801</v>
      </c>
      <c r="BM45" s="65">
        <f t="shared" si="5"/>
        <v>0.21956830894607762</v>
      </c>
      <c r="BN45" s="109">
        <f t="shared" si="0"/>
        <v>40560</v>
      </c>
      <c r="BO45" s="66">
        <v>0</v>
      </c>
      <c r="BP45" s="109">
        <f t="shared" si="6"/>
        <v>40560</v>
      </c>
      <c r="BQ45" s="76">
        <f t="shared" si="1"/>
        <v>608400</v>
      </c>
      <c r="BR45" s="110" t="s">
        <v>902</v>
      </c>
    </row>
    <row r="46" spans="1:70" ht="34" x14ac:dyDescent="0.2">
      <c r="A46" s="63">
        <v>42</v>
      </c>
      <c r="B46" s="126" t="s">
        <v>580</v>
      </c>
      <c r="C46" s="157" t="s">
        <v>581</v>
      </c>
      <c r="D46" s="63" t="s">
        <v>513</v>
      </c>
      <c r="E46" s="63">
        <v>5</v>
      </c>
      <c r="F46" s="38"/>
      <c r="G46" s="38"/>
      <c r="H46" s="38"/>
      <c r="I46" s="38"/>
      <c r="J46" s="38"/>
      <c r="K46" s="38"/>
      <c r="L46" s="38"/>
      <c r="M46" s="38"/>
      <c r="N46" s="38"/>
      <c r="O46" s="38"/>
      <c r="P46" s="38"/>
      <c r="Q46" s="38"/>
      <c r="R46" s="38"/>
      <c r="S46" s="38"/>
      <c r="T46" s="38"/>
      <c r="U46" s="38"/>
      <c r="V46" s="38"/>
      <c r="W46" s="38"/>
      <c r="X46" s="38"/>
      <c r="Y46" s="38"/>
      <c r="Z46" s="38"/>
      <c r="AA46" s="38"/>
      <c r="AB46" s="38"/>
      <c r="AC46" s="38"/>
      <c r="AD46" s="38"/>
      <c r="AE46" s="38"/>
      <c r="AF46" s="38"/>
      <c r="AG46" s="38"/>
      <c r="AH46" s="38"/>
      <c r="AI46" s="38"/>
      <c r="AJ46" s="38"/>
      <c r="AK46" s="38"/>
      <c r="AL46" s="38">
        <v>44600</v>
      </c>
      <c r="AM46" s="38"/>
      <c r="AN46" s="38"/>
      <c r="AO46" s="38"/>
      <c r="AP46" s="38"/>
      <c r="AQ46" s="38"/>
      <c r="AR46" s="38"/>
      <c r="AS46" s="38"/>
      <c r="AT46" s="38"/>
      <c r="AU46" s="38"/>
      <c r="AV46" s="38"/>
      <c r="AW46" s="38"/>
      <c r="AX46" s="38"/>
      <c r="AY46" s="38">
        <v>41650</v>
      </c>
      <c r="AZ46" s="38">
        <v>41650</v>
      </c>
      <c r="BA46" s="38"/>
      <c r="BB46" s="38"/>
      <c r="BC46" s="38"/>
      <c r="BD46" s="38"/>
      <c r="BE46" s="38"/>
      <c r="BF46" s="38"/>
      <c r="BG46" s="38"/>
      <c r="BH46" s="38"/>
      <c r="BI46" s="38"/>
      <c r="BJ46" s="107">
        <f t="shared" si="2"/>
        <v>41650</v>
      </c>
      <c r="BK46" s="107">
        <f t="shared" si="3"/>
        <v>42633.333333333336</v>
      </c>
      <c r="BL46" s="108">
        <f t="shared" si="4"/>
        <v>1703.183294109396</v>
      </c>
      <c r="BM46" s="65">
        <f t="shared" si="5"/>
        <v>3.9949569056514367E-2</v>
      </c>
      <c r="BN46" s="109">
        <f t="shared" si="0"/>
        <v>42634</v>
      </c>
      <c r="BO46" s="66">
        <v>0</v>
      </c>
      <c r="BP46" s="109">
        <f t="shared" si="6"/>
        <v>42634</v>
      </c>
      <c r="BQ46" s="76">
        <f t="shared" si="1"/>
        <v>213170</v>
      </c>
      <c r="BR46" s="110" t="s">
        <v>903</v>
      </c>
    </row>
    <row r="47" spans="1:70" ht="63" customHeight="1" x14ac:dyDescent="0.2">
      <c r="A47" s="63">
        <v>43</v>
      </c>
      <c r="B47" s="126" t="s">
        <v>582</v>
      </c>
      <c r="C47" s="157" t="s">
        <v>583</v>
      </c>
      <c r="D47" s="63" t="s">
        <v>584</v>
      </c>
      <c r="E47" s="63">
        <v>10</v>
      </c>
      <c r="F47" s="38"/>
      <c r="G47" s="38"/>
      <c r="H47" s="38"/>
      <c r="I47" s="38"/>
      <c r="J47" s="38"/>
      <c r="K47" s="38"/>
      <c r="L47" s="38"/>
      <c r="M47" s="38"/>
      <c r="N47" s="38"/>
      <c r="O47" s="38"/>
      <c r="P47" s="38"/>
      <c r="Q47" s="38"/>
      <c r="R47" s="38"/>
      <c r="S47" s="38"/>
      <c r="T47" s="38"/>
      <c r="U47" s="38"/>
      <c r="V47" s="38"/>
      <c r="W47" s="38"/>
      <c r="X47" s="38"/>
      <c r="Y47" s="38"/>
      <c r="Z47" s="38"/>
      <c r="AA47" s="38"/>
      <c r="AB47" s="38"/>
      <c r="AC47" s="38"/>
      <c r="AD47" s="38"/>
      <c r="AE47" s="38"/>
      <c r="AF47" s="38"/>
      <c r="AG47" s="38"/>
      <c r="AH47" s="38"/>
      <c r="AI47" s="38"/>
      <c r="AJ47" s="38"/>
      <c r="AK47" s="38"/>
      <c r="AL47" s="38"/>
      <c r="AM47" s="38"/>
      <c r="AN47" s="38"/>
      <c r="AO47" s="38"/>
      <c r="AP47" s="38"/>
      <c r="AQ47" s="38"/>
      <c r="AR47" s="38"/>
      <c r="AS47" s="38"/>
      <c r="AT47" s="38"/>
      <c r="AU47" s="38"/>
      <c r="AV47" s="38"/>
      <c r="AW47" s="38"/>
      <c r="AX47" s="38"/>
      <c r="AY47" s="38">
        <v>45101</v>
      </c>
      <c r="AZ47" s="38">
        <v>45220</v>
      </c>
      <c r="BA47" s="38">
        <v>41400</v>
      </c>
      <c r="BB47" s="38"/>
      <c r="BC47" s="38"/>
      <c r="BD47" s="38"/>
      <c r="BE47" s="38"/>
      <c r="BF47" s="38"/>
      <c r="BG47" s="38"/>
      <c r="BH47" s="38"/>
      <c r="BI47" s="38"/>
      <c r="BJ47" s="107">
        <f t="shared" si="2"/>
        <v>45101</v>
      </c>
      <c r="BK47" s="107">
        <f t="shared" si="3"/>
        <v>43907</v>
      </c>
      <c r="BL47" s="108">
        <f t="shared" si="4"/>
        <v>2171.9408371316194</v>
      </c>
      <c r="BM47" s="65">
        <f t="shared" si="5"/>
        <v>4.9466846678926354E-2</v>
      </c>
      <c r="BN47" s="109">
        <f t="shared" si="0"/>
        <v>43907</v>
      </c>
      <c r="BO47" s="66">
        <v>0</v>
      </c>
      <c r="BP47" s="109">
        <f t="shared" si="6"/>
        <v>43907</v>
      </c>
      <c r="BQ47" s="76">
        <f t="shared" si="1"/>
        <v>439070</v>
      </c>
      <c r="BR47" s="110" t="s">
        <v>903</v>
      </c>
    </row>
    <row r="48" spans="1:70" ht="189" customHeight="1" x14ac:dyDescent="0.2">
      <c r="A48" s="63">
        <v>44</v>
      </c>
      <c r="B48" s="323" t="s">
        <v>837</v>
      </c>
      <c r="C48" s="157" t="s">
        <v>585</v>
      </c>
      <c r="D48" s="63" t="s">
        <v>7</v>
      </c>
      <c r="E48" s="63">
        <v>5</v>
      </c>
      <c r="F48" s="54">
        <v>50000</v>
      </c>
      <c r="G48" s="70">
        <f t="shared" ref="G48" si="7">((F48*5.1%)+F48)</f>
        <v>52550</v>
      </c>
      <c r="H48" s="54">
        <v>70000</v>
      </c>
      <c r="I48" s="70">
        <f t="shared" ref="I48" si="8">((H48*5.1%)+H48)</f>
        <v>73570</v>
      </c>
      <c r="J48" s="54">
        <v>142800</v>
      </c>
      <c r="K48" s="70"/>
      <c r="L48" s="54">
        <v>48500</v>
      </c>
      <c r="M48" s="70">
        <f t="shared" ref="M48" si="9">((L48*5.1%)+L48)</f>
        <v>50973.5</v>
      </c>
      <c r="N48" s="54">
        <v>50500</v>
      </c>
      <c r="O48" s="70">
        <f t="shared" ref="O48" si="10">((N48*5.1%)+N48)</f>
        <v>53075.5</v>
      </c>
      <c r="P48" s="38"/>
      <c r="Q48" s="38"/>
      <c r="R48" s="38"/>
      <c r="S48" s="38"/>
      <c r="T48" s="38"/>
      <c r="U48" s="38"/>
      <c r="V48" s="38"/>
      <c r="W48" s="38"/>
      <c r="X48" s="38"/>
      <c r="Y48" s="38"/>
      <c r="Z48" s="38"/>
      <c r="AA48" s="38"/>
      <c r="AB48" s="38"/>
      <c r="AC48" s="38"/>
      <c r="AD48" s="38"/>
      <c r="AE48" s="38"/>
      <c r="AF48" s="38"/>
      <c r="AG48" s="38"/>
      <c r="AH48" s="38"/>
      <c r="AI48" s="38"/>
      <c r="AJ48" s="38"/>
      <c r="AK48" s="38"/>
      <c r="AL48" s="38"/>
      <c r="AM48" s="38"/>
      <c r="AN48" s="38"/>
      <c r="AO48" s="38"/>
      <c r="AP48" s="38"/>
      <c r="AQ48" s="38"/>
      <c r="AR48" s="38"/>
      <c r="AS48" s="38"/>
      <c r="AT48" s="38"/>
      <c r="AU48" s="38"/>
      <c r="AV48" s="38"/>
      <c r="AW48" s="38"/>
      <c r="AX48" s="38"/>
      <c r="AY48" s="38"/>
      <c r="AZ48" s="38"/>
      <c r="BA48" s="38"/>
      <c r="BB48" s="38"/>
      <c r="BC48" s="38"/>
      <c r="BD48" s="38"/>
      <c r="BE48" s="38"/>
      <c r="BF48" s="38"/>
      <c r="BG48" s="38"/>
      <c r="BH48" s="38"/>
      <c r="BI48" s="38"/>
      <c r="BJ48" s="107">
        <f t="shared" si="2"/>
        <v>52812.75</v>
      </c>
      <c r="BK48" s="107">
        <f t="shared" si="3"/>
        <v>57542.25</v>
      </c>
      <c r="BL48" s="108">
        <f t="shared" si="4"/>
        <v>10722.432283923892</v>
      </c>
      <c r="BM48" s="65">
        <f t="shared" si="5"/>
        <v>0.1863401636870976</v>
      </c>
      <c r="BN48" s="66">
        <f t="shared" ref="BN48:BN111" si="11">BP48/1.19</f>
        <v>44380.672268907569</v>
      </c>
      <c r="BO48" s="66">
        <f t="shared" ref="BO48:BO111" si="12">BN48*19%</f>
        <v>8432.3277310924386</v>
      </c>
      <c r="BP48" s="109">
        <f>ROUNDUP(IF(BM48&lt;15%,BK48,BJ48),0)</f>
        <v>52813</v>
      </c>
      <c r="BQ48" s="76">
        <f>BP48*E48</f>
        <v>264065</v>
      </c>
      <c r="BR48" s="110" t="s">
        <v>902</v>
      </c>
    </row>
    <row r="49" spans="1:70" ht="82.25" customHeight="1" x14ac:dyDescent="0.2">
      <c r="A49" s="63">
        <v>45</v>
      </c>
      <c r="B49" s="63" t="s">
        <v>586</v>
      </c>
      <c r="C49" s="157" t="s">
        <v>587</v>
      </c>
      <c r="D49" s="63" t="s">
        <v>513</v>
      </c>
      <c r="E49" s="63">
        <v>2</v>
      </c>
      <c r="F49" s="38"/>
      <c r="G49" s="38"/>
      <c r="H49" s="38"/>
      <c r="I49" s="38"/>
      <c r="J49" s="38"/>
      <c r="K49" s="38"/>
      <c r="L49" s="38"/>
      <c r="M49" s="38"/>
      <c r="N49" s="38"/>
      <c r="O49" s="38"/>
      <c r="P49" s="38"/>
      <c r="Q49" s="38"/>
      <c r="R49" s="38"/>
      <c r="S49" s="38"/>
      <c r="T49" s="38"/>
      <c r="U49" s="38"/>
      <c r="V49" s="38"/>
      <c r="W49" s="38"/>
      <c r="X49" s="38"/>
      <c r="Y49" s="38"/>
      <c r="Z49" s="38"/>
      <c r="AA49" s="38"/>
      <c r="AB49" s="38"/>
      <c r="AC49" s="38"/>
      <c r="AD49" s="38"/>
      <c r="AE49" s="38"/>
      <c r="AF49" s="38"/>
      <c r="AG49" s="38"/>
      <c r="AH49" s="38"/>
      <c r="AI49" s="38"/>
      <c r="AJ49" s="38"/>
      <c r="AK49" s="38"/>
      <c r="AL49" s="38"/>
      <c r="AM49" s="38"/>
      <c r="AN49" s="38">
        <v>395600</v>
      </c>
      <c r="AO49" s="38"/>
      <c r="AP49" s="38"/>
      <c r="AQ49" s="38"/>
      <c r="AR49" s="38"/>
      <c r="AS49" s="38"/>
      <c r="AT49" s="38"/>
      <c r="AU49" s="38"/>
      <c r="AV49" s="38"/>
      <c r="AW49" s="38"/>
      <c r="AX49" s="38"/>
      <c r="AY49" s="38">
        <v>333200</v>
      </c>
      <c r="AZ49" s="38">
        <v>339150</v>
      </c>
      <c r="BA49" s="38"/>
      <c r="BB49" s="38"/>
      <c r="BC49" s="38"/>
      <c r="BD49" s="38"/>
      <c r="BE49" s="38"/>
      <c r="BF49" s="38"/>
      <c r="BG49" s="38"/>
      <c r="BH49" s="38"/>
      <c r="BI49" s="38"/>
      <c r="BJ49" s="107">
        <f t="shared" si="2"/>
        <v>339150</v>
      </c>
      <c r="BK49" s="107">
        <f t="shared" si="3"/>
        <v>355983.33333333331</v>
      </c>
      <c r="BL49" s="108">
        <f t="shared" si="4"/>
        <v>34437.782061760794</v>
      </c>
      <c r="BM49" s="65">
        <f t="shared" si="5"/>
        <v>9.6739871890334186E-2</v>
      </c>
      <c r="BN49" s="109">
        <f>ROUNDUP(IF(BM49&lt;15%,BK49,BJ49),0)</f>
        <v>355984</v>
      </c>
      <c r="BO49" s="66">
        <v>0</v>
      </c>
      <c r="BP49" s="109">
        <f t="shared" si="6"/>
        <v>355984</v>
      </c>
      <c r="BQ49" s="76">
        <f>BN49*E49</f>
        <v>711968</v>
      </c>
      <c r="BR49" s="110" t="s">
        <v>903</v>
      </c>
    </row>
    <row r="50" spans="1:70" ht="216.5" customHeight="1" x14ac:dyDescent="0.2">
      <c r="A50" s="63">
        <v>46</v>
      </c>
      <c r="B50" s="126" t="s">
        <v>588</v>
      </c>
      <c r="C50" s="157" t="s">
        <v>589</v>
      </c>
      <c r="D50" s="63" t="s">
        <v>590</v>
      </c>
      <c r="E50" s="63">
        <v>2</v>
      </c>
      <c r="F50" s="38"/>
      <c r="G50" s="38"/>
      <c r="H50" s="38"/>
      <c r="I50" s="38"/>
      <c r="J50" s="38"/>
      <c r="K50" s="38"/>
      <c r="L50" s="38"/>
      <c r="M50" s="38"/>
      <c r="N50" s="38"/>
      <c r="O50" s="38"/>
      <c r="P50" s="38"/>
      <c r="Q50" s="38"/>
      <c r="R50" s="38"/>
      <c r="S50" s="38"/>
      <c r="T50" s="38"/>
      <c r="U50" s="38"/>
      <c r="V50" s="38"/>
      <c r="W50" s="38"/>
      <c r="X50" s="38"/>
      <c r="Y50" s="38"/>
      <c r="Z50" s="38"/>
      <c r="AA50" s="38"/>
      <c r="AB50" s="38"/>
      <c r="AC50" s="38"/>
      <c r="AD50" s="38"/>
      <c r="AE50" s="38"/>
      <c r="AF50" s="38"/>
      <c r="AG50" s="38"/>
      <c r="AH50" s="38"/>
      <c r="AI50" s="38"/>
      <c r="AJ50" s="38"/>
      <c r="AK50" s="38"/>
      <c r="AL50" s="38"/>
      <c r="AM50" s="38"/>
      <c r="AN50" s="38"/>
      <c r="AO50" s="38"/>
      <c r="AP50" s="38"/>
      <c r="AQ50" s="38"/>
      <c r="AR50" s="38"/>
      <c r="AS50" s="38"/>
      <c r="AT50" s="38"/>
      <c r="AU50" s="38"/>
      <c r="AV50" s="38"/>
      <c r="AW50" s="38"/>
      <c r="AX50" s="38"/>
      <c r="AY50" s="38">
        <v>77350</v>
      </c>
      <c r="AZ50" s="38">
        <v>77350</v>
      </c>
      <c r="BA50" s="38">
        <v>112500</v>
      </c>
      <c r="BB50" s="38"/>
      <c r="BC50" s="38"/>
      <c r="BD50" s="38"/>
      <c r="BE50" s="38"/>
      <c r="BF50" s="38"/>
      <c r="BG50" s="38"/>
      <c r="BH50" s="38"/>
      <c r="BI50" s="38"/>
      <c r="BJ50" s="107">
        <f t="shared" si="2"/>
        <v>77350</v>
      </c>
      <c r="BK50" s="107">
        <f t="shared" si="3"/>
        <v>89066.666666666672</v>
      </c>
      <c r="BL50" s="108">
        <f t="shared" si="4"/>
        <v>20293.861962015362</v>
      </c>
      <c r="BM50" s="65">
        <f t="shared" si="5"/>
        <v>0.22785024657951378</v>
      </c>
      <c r="BN50" s="109">
        <f>ROUNDUP(IF(BM50&lt;15%,BK50,BJ50),0)</f>
        <v>77350</v>
      </c>
      <c r="BO50" s="66">
        <v>0</v>
      </c>
      <c r="BP50" s="109">
        <f t="shared" si="6"/>
        <v>77350</v>
      </c>
      <c r="BQ50" s="76">
        <f>BN50*E50</f>
        <v>154700</v>
      </c>
      <c r="BR50" s="110" t="s">
        <v>902</v>
      </c>
    </row>
    <row r="51" spans="1:70" ht="34" x14ac:dyDescent="0.2">
      <c r="A51" s="63">
        <v>47</v>
      </c>
      <c r="B51" s="63" t="s">
        <v>591</v>
      </c>
      <c r="C51" s="157" t="s">
        <v>592</v>
      </c>
      <c r="D51" s="63" t="s">
        <v>509</v>
      </c>
      <c r="E51" s="63">
        <v>30</v>
      </c>
      <c r="F51" s="38"/>
      <c r="G51" s="38"/>
      <c r="H51" s="38"/>
      <c r="I51" s="38"/>
      <c r="J51" s="38"/>
      <c r="K51" s="38"/>
      <c r="L51" s="38"/>
      <c r="M51" s="38"/>
      <c r="N51" s="38"/>
      <c r="O51" s="38"/>
      <c r="P51" s="38"/>
      <c r="Q51" s="38"/>
      <c r="R51" s="38"/>
      <c r="S51" s="38"/>
      <c r="T51" s="38"/>
      <c r="U51" s="38"/>
      <c r="V51" s="38"/>
      <c r="W51" s="38"/>
      <c r="X51" s="38"/>
      <c r="Y51" s="38"/>
      <c r="Z51" s="38"/>
      <c r="AA51" s="38"/>
      <c r="AB51" s="38"/>
      <c r="AC51" s="38"/>
      <c r="AD51" s="38"/>
      <c r="AE51" s="38"/>
      <c r="AF51" s="38"/>
      <c r="AG51" s="38"/>
      <c r="AH51" s="38"/>
      <c r="AI51" s="38"/>
      <c r="AJ51" s="38"/>
      <c r="AK51" s="38"/>
      <c r="AL51" s="38"/>
      <c r="AM51" s="38"/>
      <c r="AN51" s="38"/>
      <c r="AO51" s="38"/>
      <c r="AP51" s="38"/>
      <c r="AQ51" s="38"/>
      <c r="AR51" s="38"/>
      <c r="AS51" s="38"/>
      <c r="AT51" s="38"/>
      <c r="AU51" s="38"/>
      <c r="AV51" s="38"/>
      <c r="AW51" s="38"/>
      <c r="AX51" s="38"/>
      <c r="AY51" s="38">
        <v>112455</v>
      </c>
      <c r="AZ51" s="38">
        <v>110194</v>
      </c>
      <c r="BA51" s="38">
        <v>153000</v>
      </c>
      <c r="BB51" s="38"/>
      <c r="BC51" s="38"/>
      <c r="BD51" s="38"/>
      <c r="BE51" s="38"/>
      <c r="BF51" s="38"/>
      <c r="BG51" s="38"/>
      <c r="BH51" s="38"/>
      <c r="BI51" s="38"/>
      <c r="BJ51" s="107">
        <f t="shared" si="2"/>
        <v>112455</v>
      </c>
      <c r="BK51" s="107">
        <f t="shared" si="3"/>
        <v>125216.33333333333</v>
      </c>
      <c r="BL51" s="108">
        <f t="shared" si="4"/>
        <v>24087.904232899386</v>
      </c>
      <c r="BM51" s="65">
        <f t="shared" si="5"/>
        <v>0.19237030498869465</v>
      </c>
      <c r="BN51" s="109">
        <f>ROUNDUP(IF(BM51&lt;15%,BK51,BJ51),0)</f>
        <v>112455</v>
      </c>
      <c r="BO51" s="66">
        <v>0</v>
      </c>
      <c r="BP51" s="109">
        <f t="shared" si="6"/>
        <v>112455</v>
      </c>
      <c r="BQ51" s="76">
        <f>BN51*E51</f>
        <v>3373650</v>
      </c>
      <c r="BR51" s="110" t="s">
        <v>902</v>
      </c>
    </row>
    <row r="52" spans="1:70" ht="34" x14ac:dyDescent="0.2">
      <c r="A52" s="63">
        <v>48</v>
      </c>
      <c r="B52" s="63" t="s">
        <v>593</v>
      </c>
      <c r="C52" s="157" t="s">
        <v>594</v>
      </c>
      <c r="D52" s="63" t="s">
        <v>595</v>
      </c>
      <c r="E52" s="63">
        <v>50</v>
      </c>
      <c r="F52" s="38"/>
      <c r="G52" s="38"/>
      <c r="H52" s="38"/>
      <c r="I52" s="38"/>
      <c r="J52" s="38"/>
      <c r="K52" s="38"/>
      <c r="L52" s="38"/>
      <c r="M52" s="38"/>
      <c r="N52" s="38"/>
      <c r="O52" s="38"/>
      <c r="P52" s="38"/>
      <c r="Q52" s="38"/>
      <c r="R52" s="38"/>
      <c r="S52" s="38"/>
      <c r="T52" s="38"/>
      <c r="U52" s="38"/>
      <c r="V52" s="38"/>
      <c r="W52" s="38"/>
      <c r="X52" s="38"/>
      <c r="Y52" s="38"/>
      <c r="Z52" s="38"/>
      <c r="AA52" s="38"/>
      <c r="AB52" s="38"/>
      <c r="AC52" s="38"/>
      <c r="AD52" s="38"/>
      <c r="AE52" s="38"/>
      <c r="AF52" s="38"/>
      <c r="AG52" s="38"/>
      <c r="AH52" s="38"/>
      <c r="AI52" s="38"/>
      <c r="AJ52" s="38"/>
      <c r="AK52" s="38"/>
      <c r="AL52" s="38"/>
      <c r="AM52" s="38"/>
      <c r="AN52" s="38"/>
      <c r="AO52" s="38"/>
      <c r="AP52" s="38"/>
      <c r="AQ52" s="38"/>
      <c r="AR52" s="38"/>
      <c r="AS52" s="38"/>
      <c r="AT52" s="38"/>
      <c r="AU52" s="38"/>
      <c r="AV52" s="38"/>
      <c r="AW52" s="38"/>
      <c r="AX52" s="38"/>
      <c r="AY52" s="38">
        <v>22015</v>
      </c>
      <c r="AZ52" s="38">
        <v>22015</v>
      </c>
      <c r="BA52" s="38">
        <v>15300</v>
      </c>
      <c r="BB52" s="38"/>
      <c r="BC52" s="38"/>
      <c r="BD52" s="38"/>
      <c r="BE52" s="38"/>
      <c r="BF52" s="38"/>
      <c r="BG52" s="38"/>
      <c r="BH52" s="38"/>
      <c r="BI52" s="38"/>
      <c r="BJ52" s="107">
        <f t="shared" si="2"/>
        <v>22015</v>
      </c>
      <c r="BK52" s="107">
        <f t="shared" si="3"/>
        <v>19776.666666666668</v>
      </c>
      <c r="BL52" s="108">
        <f t="shared" si="4"/>
        <v>3876.9070576083423</v>
      </c>
      <c r="BM52" s="65">
        <f t="shared" si="5"/>
        <v>0.19603440372197919</v>
      </c>
      <c r="BN52" s="109">
        <f>ROUNDUP(IF(BM52&lt;15%,BK52,BJ52),0)</f>
        <v>22015</v>
      </c>
      <c r="BO52" s="66">
        <v>0</v>
      </c>
      <c r="BP52" s="109">
        <f t="shared" si="6"/>
        <v>22015</v>
      </c>
      <c r="BQ52" s="76">
        <f>BN52*E52</f>
        <v>1100750</v>
      </c>
      <c r="BR52" s="110" t="s">
        <v>902</v>
      </c>
    </row>
    <row r="53" spans="1:70" ht="141.75" customHeight="1" x14ac:dyDescent="0.2">
      <c r="A53" s="63">
        <v>49</v>
      </c>
      <c r="B53" s="126" t="s">
        <v>839</v>
      </c>
      <c r="C53" s="157" t="s">
        <v>596</v>
      </c>
      <c r="D53" s="63" t="s">
        <v>597</v>
      </c>
      <c r="E53" s="63">
        <v>150</v>
      </c>
      <c r="F53" s="88"/>
      <c r="G53" s="70"/>
      <c r="H53" s="38"/>
      <c r="I53" s="38"/>
      <c r="J53" s="88">
        <v>33320</v>
      </c>
      <c r="K53" s="70">
        <f t="shared" ref="K53:K57" si="13">((J53*5.1%)+J53)</f>
        <v>35019.32</v>
      </c>
      <c r="L53" s="88">
        <v>21500</v>
      </c>
      <c r="M53" s="70">
        <f t="shared" ref="M53" si="14">((L53*5.1%)+L53)</f>
        <v>22596.5</v>
      </c>
      <c r="N53" s="88">
        <v>20800</v>
      </c>
      <c r="O53" s="70">
        <f t="shared" ref="O53" si="15">((N53*5.1%)+N53)</f>
        <v>21860.799999999999</v>
      </c>
      <c r="P53" s="38"/>
      <c r="Q53" s="38"/>
      <c r="R53" s="38"/>
      <c r="S53" s="38"/>
      <c r="T53" s="38"/>
      <c r="U53" s="38"/>
      <c r="V53" s="38"/>
      <c r="W53" s="38"/>
      <c r="X53" s="38"/>
      <c r="Y53" s="38"/>
      <c r="Z53" s="38"/>
      <c r="AA53" s="38"/>
      <c r="AB53" s="38"/>
      <c r="AC53" s="38"/>
      <c r="AD53" s="38"/>
      <c r="AE53" s="38"/>
      <c r="AF53" s="38"/>
      <c r="AG53" s="38"/>
      <c r="AH53" s="38"/>
      <c r="AI53" s="38"/>
      <c r="AJ53" s="38"/>
      <c r="AK53" s="38"/>
      <c r="AL53" s="38"/>
      <c r="AM53" s="38"/>
      <c r="AN53" s="38"/>
      <c r="AO53" s="38"/>
      <c r="AP53" s="38"/>
      <c r="AQ53" s="38"/>
      <c r="AR53" s="38"/>
      <c r="AS53" s="38"/>
      <c r="AT53" s="38"/>
      <c r="AU53" s="38"/>
      <c r="AV53" s="38"/>
      <c r="AW53" s="38"/>
      <c r="AX53" s="38"/>
      <c r="AY53" s="38"/>
      <c r="AZ53" s="38"/>
      <c r="BA53" s="38"/>
      <c r="BB53" s="38"/>
      <c r="BC53" s="38"/>
      <c r="BD53" s="38"/>
      <c r="BE53" s="38"/>
      <c r="BF53" s="38"/>
      <c r="BG53" s="38"/>
      <c r="BH53" s="38"/>
      <c r="BI53" s="38"/>
      <c r="BJ53" s="107">
        <f t="shared" si="2"/>
        <v>22596.5</v>
      </c>
      <c r="BK53" s="107">
        <f t="shared" si="3"/>
        <v>26492.206666666665</v>
      </c>
      <c r="BL53" s="108">
        <f t="shared" si="4"/>
        <v>7393.8528503165062</v>
      </c>
      <c r="BM53" s="65">
        <f t="shared" si="5"/>
        <v>0.27909539372647602</v>
      </c>
      <c r="BN53" s="66">
        <f t="shared" si="11"/>
        <v>18989.0756302521</v>
      </c>
      <c r="BO53" s="66">
        <f t="shared" si="12"/>
        <v>3607.9243697478992</v>
      </c>
      <c r="BP53" s="109">
        <f t="shared" ref="BP53:BP116" si="16">ROUNDUP(IF(BM53&lt;15%,BK53,BJ53),0)</f>
        <v>22597</v>
      </c>
      <c r="BQ53" s="76">
        <f t="shared" ref="BQ53:BQ84" si="17">BP53*E53</f>
        <v>3389550</v>
      </c>
      <c r="BR53" s="110" t="s">
        <v>902</v>
      </c>
    </row>
    <row r="54" spans="1:70" ht="141.75" customHeight="1" x14ac:dyDescent="0.2">
      <c r="A54" s="63">
        <v>50</v>
      </c>
      <c r="B54" s="126" t="s">
        <v>841</v>
      </c>
      <c r="C54" s="157" t="s">
        <v>598</v>
      </c>
      <c r="D54" s="63" t="s">
        <v>597</v>
      </c>
      <c r="E54" s="63">
        <v>150</v>
      </c>
      <c r="F54" s="88">
        <v>50000</v>
      </c>
      <c r="G54" s="70">
        <f t="shared" ref="G54:G55" si="18">((F54*5.1%)+F54)</f>
        <v>52550</v>
      </c>
      <c r="H54" s="88">
        <v>60000</v>
      </c>
      <c r="I54" s="70">
        <f t="shared" ref="I54:I55" si="19">((H54*5.1%)+H54)</f>
        <v>63060</v>
      </c>
      <c r="J54" s="88">
        <v>38080</v>
      </c>
      <c r="K54" s="70">
        <f t="shared" si="13"/>
        <v>40022.080000000002</v>
      </c>
      <c r="L54" s="38"/>
      <c r="M54" s="38"/>
      <c r="N54" s="38"/>
      <c r="O54" s="38"/>
      <c r="P54" s="38"/>
      <c r="Q54" s="38"/>
      <c r="R54" s="38"/>
      <c r="S54" s="38"/>
      <c r="T54" s="38"/>
      <c r="U54" s="38"/>
      <c r="V54" s="38"/>
      <c r="W54" s="38"/>
      <c r="X54" s="38"/>
      <c r="Y54" s="38"/>
      <c r="Z54" s="38"/>
      <c r="AA54" s="38"/>
      <c r="AB54" s="38"/>
      <c r="AC54" s="38"/>
      <c r="AD54" s="38"/>
      <c r="AE54" s="38"/>
      <c r="AF54" s="38"/>
      <c r="AG54" s="38"/>
      <c r="AH54" s="38"/>
      <c r="AI54" s="38"/>
      <c r="AJ54" s="38"/>
      <c r="AK54" s="38"/>
      <c r="AL54" s="38"/>
      <c r="AM54" s="38"/>
      <c r="AN54" s="38"/>
      <c r="AO54" s="38"/>
      <c r="AP54" s="38"/>
      <c r="AQ54" s="38"/>
      <c r="AR54" s="38"/>
      <c r="AS54" s="38"/>
      <c r="AT54" s="38"/>
      <c r="AU54" s="38"/>
      <c r="AV54" s="38"/>
      <c r="AW54" s="38"/>
      <c r="AX54" s="38"/>
      <c r="AY54" s="38"/>
      <c r="AZ54" s="38"/>
      <c r="BA54" s="38"/>
      <c r="BB54" s="38"/>
      <c r="BC54" s="38"/>
      <c r="BD54" s="38"/>
      <c r="BE54" s="38"/>
      <c r="BF54" s="38"/>
      <c r="BG54" s="38"/>
      <c r="BH54" s="38"/>
      <c r="BI54" s="38"/>
      <c r="BJ54" s="107">
        <f t="shared" si="2"/>
        <v>52550</v>
      </c>
      <c r="BK54" s="107">
        <f t="shared" si="3"/>
        <v>51877.360000000008</v>
      </c>
      <c r="BL54" s="108">
        <f t="shared" si="4"/>
        <v>11533.679937851542</v>
      </c>
      <c r="BM54" s="65">
        <f t="shared" si="5"/>
        <v>0.2223258843135337</v>
      </c>
      <c r="BN54" s="66">
        <f t="shared" si="11"/>
        <v>44159.663865546223</v>
      </c>
      <c r="BO54" s="66">
        <f t="shared" si="12"/>
        <v>8390.3361344537825</v>
      </c>
      <c r="BP54" s="109">
        <f t="shared" si="16"/>
        <v>52550</v>
      </c>
      <c r="BQ54" s="76">
        <f t="shared" si="17"/>
        <v>7882500</v>
      </c>
      <c r="BR54" s="110" t="s">
        <v>902</v>
      </c>
    </row>
    <row r="55" spans="1:70" ht="141.75" customHeight="1" x14ac:dyDescent="0.2">
      <c r="A55" s="63">
        <v>51</v>
      </c>
      <c r="B55" s="63" t="s">
        <v>842</v>
      </c>
      <c r="C55" s="158" t="s">
        <v>599</v>
      </c>
      <c r="D55" s="63" t="s">
        <v>597</v>
      </c>
      <c r="E55" s="63">
        <v>100</v>
      </c>
      <c r="F55" s="38">
        <v>50000</v>
      </c>
      <c r="G55" s="70">
        <f t="shared" si="18"/>
        <v>52550</v>
      </c>
      <c r="H55" s="38">
        <v>55000</v>
      </c>
      <c r="I55" s="70">
        <f t="shared" si="19"/>
        <v>57805</v>
      </c>
      <c r="J55" s="38">
        <v>39270</v>
      </c>
      <c r="K55" s="70">
        <f t="shared" si="13"/>
        <v>41272.769999999997</v>
      </c>
      <c r="L55" s="38"/>
      <c r="M55" s="38"/>
      <c r="N55" s="38"/>
      <c r="O55" s="38"/>
      <c r="P55" s="38"/>
      <c r="Q55" s="38"/>
      <c r="R55" s="38"/>
      <c r="S55" s="38"/>
      <c r="T55" s="38"/>
      <c r="U55" s="38"/>
      <c r="V55" s="38"/>
      <c r="W55" s="38"/>
      <c r="X55" s="38"/>
      <c r="Y55" s="38"/>
      <c r="Z55" s="38"/>
      <c r="AA55" s="38"/>
      <c r="AB55" s="38"/>
      <c r="AC55" s="38"/>
      <c r="AD55" s="38"/>
      <c r="AE55" s="38"/>
      <c r="AF55" s="38"/>
      <c r="AG55" s="38"/>
      <c r="AH55" s="38"/>
      <c r="AI55" s="38"/>
      <c r="AJ55" s="38"/>
      <c r="AK55" s="38"/>
      <c r="AL55" s="38"/>
      <c r="AM55" s="38"/>
      <c r="AN55" s="38"/>
      <c r="AO55" s="38"/>
      <c r="AP55" s="38"/>
      <c r="AQ55" s="38"/>
      <c r="AR55" s="38"/>
      <c r="AS55" s="38"/>
      <c r="AT55" s="38"/>
      <c r="AU55" s="38"/>
      <c r="AV55" s="38"/>
      <c r="AW55" s="38"/>
      <c r="AX55" s="38"/>
      <c r="AY55" s="38"/>
      <c r="AZ55" s="38"/>
      <c r="BA55" s="38"/>
      <c r="BB55" s="38"/>
      <c r="BC55" s="38"/>
      <c r="BD55" s="38"/>
      <c r="BE55" s="38"/>
      <c r="BF55" s="38"/>
      <c r="BG55" s="38"/>
      <c r="BH55" s="38"/>
      <c r="BI55" s="38"/>
      <c r="BJ55" s="107">
        <f t="shared" si="2"/>
        <v>52550</v>
      </c>
      <c r="BK55" s="107">
        <f t="shared" si="3"/>
        <v>50542.59</v>
      </c>
      <c r="BL55" s="108">
        <f t="shared" si="4"/>
        <v>8446.9478733031137</v>
      </c>
      <c r="BM55" s="65">
        <f t="shared" si="5"/>
        <v>0.16712534662950818</v>
      </c>
      <c r="BN55" s="66">
        <f t="shared" si="11"/>
        <v>44159.663865546223</v>
      </c>
      <c r="BO55" s="66">
        <f t="shared" si="12"/>
        <v>8390.3361344537825</v>
      </c>
      <c r="BP55" s="109">
        <f t="shared" si="16"/>
        <v>52550</v>
      </c>
      <c r="BQ55" s="76">
        <f t="shared" si="17"/>
        <v>5255000</v>
      </c>
      <c r="BR55" s="110" t="s">
        <v>902</v>
      </c>
    </row>
    <row r="56" spans="1:70" ht="126" customHeight="1" x14ac:dyDescent="0.2">
      <c r="A56" s="63">
        <v>52</v>
      </c>
      <c r="B56" s="126" t="s">
        <v>840</v>
      </c>
      <c r="C56" s="157" t="s">
        <v>600</v>
      </c>
      <c r="D56" s="63" t="s">
        <v>597</v>
      </c>
      <c r="E56" s="63">
        <v>10</v>
      </c>
      <c r="F56" s="38"/>
      <c r="G56" s="38"/>
      <c r="H56" s="38"/>
      <c r="I56" s="38"/>
      <c r="J56" s="88">
        <v>26180</v>
      </c>
      <c r="K56" s="70">
        <f t="shared" si="13"/>
        <v>27515.18</v>
      </c>
      <c r="L56" s="88">
        <v>21500</v>
      </c>
      <c r="M56" s="70">
        <f t="shared" ref="M56:M57" si="20">((L56*5.1%)+L56)</f>
        <v>22596.5</v>
      </c>
      <c r="N56" s="88">
        <v>20800</v>
      </c>
      <c r="O56" s="70">
        <f t="shared" ref="O56:O57" si="21">((N56*5.1%)+N56)</f>
        <v>21860.799999999999</v>
      </c>
      <c r="P56" s="38"/>
      <c r="Q56" s="38"/>
      <c r="R56" s="38"/>
      <c r="S56" s="38"/>
      <c r="T56" s="38"/>
      <c r="U56" s="38"/>
      <c r="V56" s="38"/>
      <c r="W56" s="38"/>
      <c r="X56" s="38"/>
      <c r="Y56" s="38"/>
      <c r="Z56" s="38"/>
      <c r="AA56" s="38"/>
      <c r="AB56" s="38"/>
      <c r="AC56" s="38"/>
      <c r="AD56" s="38"/>
      <c r="AE56" s="38"/>
      <c r="AF56" s="38"/>
      <c r="AG56" s="38"/>
      <c r="AH56" s="38"/>
      <c r="AI56" s="38"/>
      <c r="AJ56" s="38"/>
      <c r="AK56" s="38"/>
      <c r="AL56" s="38"/>
      <c r="AM56" s="38"/>
      <c r="AN56" s="38"/>
      <c r="AO56" s="38"/>
      <c r="AP56" s="38"/>
      <c r="AQ56" s="38"/>
      <c r="AR56" s="38"/>
      <c r="AS56" s="38"/>
      <c r="AT56" s="38"/>
      <c r="AU56" s="38"/>
      <c r="AV56" s="38"/>
      <c r="AW56" s="38"/>
      <c r="AX56" s="38"/>
      <c r="AY56" s="38"/>
      <c r="AZ56" s="38"/>
      <c r="BA56" s="38"/>
      <c r="BB56" s="38"/>
      <c r="BC56" s="38"/>
      <c r="BD56" s="38"/>
      <c r="BE56" s="38"/>
      <c r="BF56" s="38"/>
      <c r="BG56" s="38"/>
      <c r="BH56" s="38"/>
      <c r="BI56" s="38"/>
      <c r="BJ56" s="107">
        <f t="shared" si="2"/>
        <v>22596.5</v>
      </c>
      <c r="BK56" s="107">
        <f t="shared" si="3"/>
        <v>23990.826666666664</v>
      </c>
      <c r="BL56" s="108">
        <f t="shared" si="4"/>
        <v>3074.2663248543554</v>
      </c>
      <c r="BM56" s="65">
        <f t="shared" si="5"/>
        <v>0.12814340946099215</v>
      </c>
      <c r="BN56" s="66">
        <f t="shared" si="11"/>
        <v>20160.504201680673</v>
      </c>
      <c r="BO56" s="66">
        <f t="shared" si="12"/>
        <v>3830.4957983193281</v>
      </c>
      <c r="BP56" s="109">
        <f t="shared" si="16"/>
        <v>23991</v>
      </c>
      <c r="BQ56" s="76">
        <f t="shared" si="17"/>
        <v>239910</v>
      </c>
      <c r="BR56" s="110" t="s">
        <v>903</v>
      </c>
    </row>
    <row r="57" spans="1:70" ht="160.5" customHeight="1" x14ac:dyDescent="0.2">
      <c r="A57" s="63">
        <v>53</v>
      </c>
      <c r="B57" s="126" t="s">
        <v>843</v>
      </c>
      <c r="C57" s="157" t="s">
        <v>601</v>
      </c>
      <c r="D57" s="63" t="s">
        <v>602</v>
      </c>
      <c r="E57" s="63">
        <v>10</v>
      </c>
      <c r="F57" s="88">
        <v>50000</v>
      </c>
      <c r="G57" s="70">
        <f>((F57*5.1%)+F57)</f>
        <v>52550</v>
      </c>
      <c r="H57" s="88">
        <v>55000</v>
      </c>
      <c r="I57" s="70">
        <f>((H57*5.1%)+H57)</f>
        <v>57805</v>
      </c>
      <c r="J57" s="88">
        <v>28560</v>
      </c>
      <c r="K57" s="70">
        <f t="shared" si="13"/>
        <v>30016.560000000001</v>
      </c>
      <c r="L57" s="88">
        <v>42500</v>
      </c>
      <c r="M57" s="70">
        <f t="shared" si="20"/>
        <v>44667.5</v>
      </c>
      <c r="N57" s="88">
        <v>45000</v>
      </c>
      <c r="O57" s="70">
        <f t="shared" si="21"/>
        <v>47295</v>
      </c>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8"/>
      <c r="BF57" s="38"/>
      <c r="BG57" s="38"/>
      <c r="BH57" s="38"/>
      <c r="BI57" s="38"/>
      <c r="BJ57" s="107">
        <f t="shared" si="2"/>
        <v>47295</v>
      </c>
      <c r="BK57" s="107">
        <f t="shared" si="3"/>
        <v>46466.811999999998</v>
      </c>
      <c r="BL57" s="108">
        <f t="shared" si="4"/>
        <v>10489.207468475417</v>
      </c>
      <c r="BM57" s="65">
        <f t="shared" si="5"/>
        <v>0.22573546617477044</v>
      </c>
      <c r="BN57" s="66">
        <f t="shared" si="11"/>
        <v>39743.697478991598</v>
      </c>
      <c r="BO57" s="66">
        <f t="shared" si="12"/>
        <v>7551.3025210084033</v>
      </c>
      <c r="BP57" s="109">
        <f t="shared" si="16"/>
        <v>47295</v>
      </c>
      <c r="BQ57" s="76">
        <f t="shared" si="17"/>
        <v>472950</v>
      </c>
      <c r="BR57" s="110" t="s">
        <v>902</v>
      </c>
    </row>
    <row r="58" spans="1:70" ht="51" x14ac:dyDescent="0.2">
      <c r="A58" s="63">
        <v>54</v>
      </c>
      <c r="B58" s="126" t="s">
        <v>603</v>
      </c>
      <c r="C58" s="157" t="s">
        <v>604</v>
      </c>
      <c r="D58" s="63" t="s">
        <v>605</v>
      </c>
      <c r="E58" s="63">
        <v>200</v>
      </c>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v>20444</v>
      </c>
      <c r="AN58" s="38"/>
      <c r="AO58" s="38"/>
      <c r="AP58" s="38"/>
      <c r="AQ58" s="38"/>
      <c r="AR58" s="38"/>
      <c r="AS58" s="38"/>
      <c r="AT58" s="38"/>
      <c r="AU58" s="38"/>
      <c r="AV58" s="38"/>
      <c r="AW58" s="38"/>
      <c r="AX58" s="38"/>
      <c r="AY58" s="38">
        <v>16660</v>
      </c>
      <c r="AZ58" s="38">
        <v>16184</v>
      </c>
      <c r="BA58" s="38">
        <v>20700</v>
      </c>
      <c r="BB58" s="38"/>
      <c r="BC58" s="38"/>
      <c r="BD58" s="38"/>
      <c r="BE58" s="38"/>
      <c r="BF58" s="38"/>
      <c r="BG58" s="38"/>
      <c r="BH58" s="38"/>
      <c r="BI58" s="38"/>
      <c r="BJ58" s="107">
        <f t="shared" si="2"/>
        <v>18552</v>
      </c>
      <c r="BK58" s="107">
        <f t="shared" si="3"/>
        <v>18497</v>
      </c>
      <c r="BL58" s="108">
        <f t="shared" si="4"/>
        <v>2406.1418633710414</v>
      </c>
      <c r="BM58" s="65">
        <f t="shared" si="5"/>
        <v>0.13008281685522199</v>
      </c>
      <c r="BN58" s="66">
        <f t="shared" si="11"/>
        <v>15543.697478991597</v>
      </c>
      <c r="BO58" s="66">
        <f t="shared" si="12"/>
        <v>2953.3025210084033</v>
      </c>
      <c r="BP58" s="109">
        <f t="shared" si="16"/>
        <v>18497</v>
      </c>
      <c r="BQ58" s="76">
        <f t="shared" si="17"/>
        <v>3699400</v>
      </c>
      <c r="BR58" s="110" t="s">
        <v>903</v>
      </c>
    </row>
    <row r="59" spans="1:70" ht="51" x14ac:dyDescent="0.2">
      <c r="A59" s="63">
        <v>55</v>
      </c>
      <c r="B59" s="126" t="s">
        <v>606</v>
      </c>
      <c r="C59" s="157" t="s">
        <v>607</v>
      </c>
      <c r="D59" s="63" t="s">
        <v>7</v>
      </c>
      <c r="E59" s="63">
        <v>1002</v>
      </c>
      <c r="F59" s="38"/>
      <c r="G59" s="38"/>
      <c r="H59" s="38"/>
      <c r="I59" s="38"/>
      <c r="J59" s="38"/>
      <c r="K59" s="38"/>
      <c r="L59" s="38"/>
      <c r="M59" s="38"/>
      <c r="N59" s="38"/>
      <c r="O59" s="38"/>
      <c r="P59" s="38"/>
      <c r="Q59" s="38"/>
      <c r="R59" s="38"/>
      <c r="S59" s="38"/>
      <c r="T59" s="38"/>
      <c r="U59" s="38"/>
      <c r="V59" s="38"/>
      <c r="W59" s="38"/>
      <c r="X59" s="38"/>
      <c r="Y59" s="38"/>
      <c r="Z59" s="38"/>
      <c r="AA59" s="38"/>
      <c r="AB59" s="38"/>
      <c r="AC59" s="38"/>
      <c r="AD59" s="38"/>
      <c r="AE59" s="38"/>
      <c r="AF59" s="38"/>
      <c r="AG59" s="38"/>
      <c r="AH59" s="38"/>
      <c r="AI59" s="38"/>
      <c r="AJ59" s="38"/>
      <c r="AK59" s="38">
        <f>7142.86*1.19</f>
        <v>8500.0033999999996</v>
      </c>
      <c r="AL59" s="38"/>
      <c r="AM59" s="38"/>
      <c r="AN59" s="38"/>
      <c r="AO59" s="38"/>
      <c r="AP59" s="38"/>
      <c r="AQ59" s="38"/>
      <c r="AR59" s="38"/>
      <c r="AS59" s="38"/>
      <c r="AT59" s="38"/>
      <c r="AU59" s="38"/>
      <c r="AV59" s="38"/>
      <c r="AW59" s="38"/>
      <c r="AX59" s="38"/>
      <c r="AY59" s="38">
        <v>6797.28</v>
      </c>
      <c r="AZ59" s="38">
        <v>6797.28</v>
      </c>
      <c r="BA59" s="38"/>
      <c r="BB59" s="38"/>
      <c r="BC59" s="38"/>
      <c r="BD59" s="38"/>
      <c r="BE59" s="38"/>
      <c r="BF59" s="38"/>
      <c r="BG59" s="38"/>
      <c r="BH59" s="38"/>
      <c r="BI59" s="38"/>
      <c r="BJ59" s="107">
        <f t="shared" si="2"/>
        <v>6797.28</v>
      </c>
      <c r="BK59" s="107">
        <f t="shared" si="3"/>
        <v>7364.8544666666667</v>
      </c>
      <c r="BL59" s="108">
        <f t="shared" si="4"/>
        <v>983.06781334547338</v>
      </c>
      <c r="BM59" s="65">
        <f t="shared" si="5"/>
        <v>0.13348095577378188</v>
      </c>
      <c r="BN59" s="66">
        <f t="shared" si="11"/>
        <v>6189.0756302521013</v>
      </c>
      <c r="BO59" s="66">
        <f t="shared" si="12"/>
        <v>1175.9243697478992</v>
      </c>
      <c r="BP59" s="109">
        <f t="shared" si="16"/>
        <v>7365</v>
      </c>
      <c r="BQ59" s="76">
        <f t="shared" si="17"/>
        <v>7379730</v>
      </c>
      <c r="BR59" s="110" t="s">
        <v>903</v>
      </c>
    </row>
    <row r="60" spans="1:70" ht="110.25" customHeight="1" x14ac:dyDescent="0.2">
      <c r="A60" s="63">
        <v>56</v>
      </c>
      <c r="B60" s="63" t="s">
        <v>846</v>
      </c>
      <c r="C60" s="20" t="s">
        <v>1126</v>
      </c>
      <c r="D60" s="63" t="s">
        <v>608</v>
      </c>
      <c r="E60" s="63">
        <v>5</v>
      </c>
      <c r="F60" s="38"/>
      <c r="G60" s="38"/>
      <c r="H60" s="38"/>
      <c r="I60" s="38"/>
      <c r="J60" s="89">
        <v>84371</v>
      </c>
      <c r="K60" s="70">
        <f t="shared" ref="K60" si="22">((J60*5.1%)+J60)</f>
        <v>88673.921000000002</v>
      </c>
      <c r="L60" s="89">
        <v>98500</v>
      </c>
      <c r="M60" s="70">
        <f t="shared" ref="M60" si="23">((L60*5.1%)+L60)</f>
        <v>103523.5</v>
      </c>
      <c r="N60" s="89">
        <v>105600</v>
      </c>
      <c r="O60" s="70">
        <f t="shared" ref="O60" si="24">((N60*5.1%)+N60)</f>
        <v>110985.60000000001</v>
      </c>
      <c r="P60" s="38"/>
      <c r="Q60" s="38"/>
      <c r="R60" s="38"/>
      <c r="S60" s="38"/>
      <c r="T60" s="38"/>
      <c r="U60" s="38"/>
      <c r="V60" s="38"/>
      <c r="W60" s="38"/>
      <c r="X60" s="38"/>
      <c r="Y60" s="38"/>
      <c r="Z60" s="38"/>
      <c r="AA60" s="38"/>
      <c r="AB60" s="38"/>
      <c r="AC60" s="38"/>
      <c r="AD60" s="38"/>
      <c r="AE60" s="38"/>
      <c r="AF60" s="38"/>
      <c r="AG60" s="38"/>
      <c r="AH60" s="38"/>
      <c r="AI60" s="38"/>
      <c r="AJ60" s="38"/>
      <c r="AK60" s="38">
        <f>50420.17*1.19</f>
        <v>60000.002299999993</v>
      </c>
      <c r="AL60" s="38"/>
      <c r="AM60" s="38"/>
      <c r="AN60" s="38"/>
      <c r="AO60" s="38"/>
      <c r="AP60" s="38"/>
      <c r="AQ60" s="38"/>
      <c r="AR60" s="38"/>
      <c r="AS60" s="38"/>
      <c r="AT60" s="38"/>
      <c r="AU60" s="38"/>
      <c r="AV60" s="38"/>
      <c r="AW60" s="38"/>
      <c r="AX60" s="38"/>
      <c r="AY60" s="38"/>
      <c r="AZ60" s="38"/>
      <c r="BA60" s="38"/>
      <c r="BB60" s="38"/>
      <c r="BC60" s="38"/>
      <c r="BD60" s="38"/>
      <c r="BE60" s="38"/>
      <c r="BF60" s="38"/>
      <c r="BG60" s="38"/>
      <c r="BH60" s="38"/>
      <c r="BI60" s="38"/>
      <c r="BJ60" s="107">
        <f t="shared" si="2"/>
        <v>96098.710500000001</v>
      </c>
      <c r="BK60" s="107">
        <f t="shared" si="3"/>
        <v>90795.755825</v>
      </c>
      <c r="BL60" s="108">
        <f t="shared" si="4"/>
        <v>22527.804285609374</v>
      </c>
      <c r="BM60" s="65">
        <f t="shared" si="5"/>
        <v>0.24811516883046306</v>
      </c>
      <c r="BN60" s="66">
        <f t="shared" si="11"/>
        <v>80755.462184873948</v>
      </c>
      <c r="BO60" s="66">
        <f t="shared" si="12"/>
        <v>15343.53781512605</v>
      </c>
      <c r="BP60" s="109">
        <f t="shared" si="16"/>
        <v>96099</v>
      </c>
      <c r="BQ60" s="76">
        <f t="shared" si="17"/>
        <v>480495</v>
      </c>
      <c r="BR60" s="110" t="s">
        <v>902</v>
      </c>
    </row>
    <row r="61" spans="1:70" ht="34" x14ac:dyDescent="0.2">
      <c r="A61" s="63">
        <v>57</v>
      </c>
      <c r="B61" s="126" t="s">
        <v>609</v>
      </c>
      <c r="C61" s="157" t="s">
        <v>610</v>
      </c>
      <c r="D61" s="63" t="s">
        <v>7</v>
      </c>
      <c r="E61" s="63">
        <v>10</v>
      </c>
      <c r="F61" s="38"/>
      <c r="G61" s="38"/>
      <c r="H61" s="38"/>
      <c r="I61" s="38"/>
      <c r="J61" s="38"/>
      <c r="K61" s="38"/>
      <c r="L61" s="38"/>
      <c r="M61" s="38"/>
      <c r="N61" s="38"/>
      <c r="O61" s="38"/>
      <c r="P61" s="38"/>
      <c r="Q61" s="38"/>
      <c r="R61" s="38"/>
      <c r="S61" s="38"/>
      <c r="T61" s="38"/>
      <c r="U61" s="38"/>
      <c r="V61" s="38"/>
      <c r="W61" s="38"/>
      <c r="X61" s="38"/>
      <c r="Y61" s="38"/>
      <c r="Z61" s="38"/>
      <c r="AA61" s="38"/>
      <c r="AB61" s="38"/>
      <c r="AC61" s="38"/>
      <c r="AD61" s="38"/>
      <c r="AE61" s="38"/>
      <c r="AF61" s="38"/>
      <c r="AG61" s="38"/>
      <c r="AH61" s="38"/>
      <c r="AI61" s="38"/>
      <c r="AJ61" s="38"/>
      <c r="AK61" s="38">
        <f>27310.92*1.19</f>
        <v>32499.994799999997</v>
      </c>
      <c r="AL61" s="38"/>
      <c r="AM61" s="38"/>
      <c r="AN61" s="38"/>
      <c r="AO61" s="38"/>
      <c r="AP61" s="38"/>
      <c r="AQ61" s="38"/>
      <c r="AR61" s="38"/>
      <c r="AS61" s="38"/>
      <c r="AT61" s="38"/>
      <c r="AU61" s="38"/>
      <c r="AV61" s="38"/>
      <c r="AW61" s="38"/>
      <c r="AX61" s="38"/>
      <c r="AY61" s="38">
        <v>26197.85</v>
      </c>
      <c r="AZ61" s="38">
        <v>26197.85</v>
      </c>
      <c r="BA61" s="38"/>
      <c r="BB61" s="38"/>
      <c r="BC61" s="38"/>
      <c r="BD61" s="38"/>
      <c r="BE61" s="38"/>
      <c r="BF61" s="38"/>
      <c r="BG61" s="38"/>
      <c r="BH61" s="38"/>
      <c r="BI61" s="38"/>
      <c r="BJ61" s="107">
        <f t="shared" si="2"/>
        <v>26197.85</v>
      </c>
      <c r="BK61" s="107">
        <f t="shared" si="3"/>
        <v>28298.564933333331</v>
      </c>
      <c r="BL61" s="108">
        <f t="shared" si="4"/>
        <v>3638.5449967519571</v>
      </c>
      <c r="BM61" s="65">
        <f t="shared" si="5"/>
        <v>0.12857701460564372</v>
      </c>
      <c r="BN61" s="66">
        <f t="shared" si="11"/>
        <v>23780.672268907565</v>
      </c>
      <c r="BO61" s="66">
        <f t="shared" si="12"/>
        <v>4518.3277310924377</v>
      </c>
      <c r="BP61" s="109">
        <f t="shared" si="16"/>
        <v>28299</v>
      </c>
      <c r="BQ61" s="76">
        <f t="shared" si="17"/>
        <v>282990</v>
      </c>
      <c r="BR61" s="110" t="s">
        <v>903</v>
      </c>
    </row>
    <row r="62" spans="1:70" ht="78.75" customHeight="1" x14ac:dyDescent="0.2">
      <c r="A62" s="63">
        <v>58</v>
      </c>
      <c r="B62" s="126" t="s">
        <v>611</v>
      </c>
      <c r="C62" s="157" t="s">
        <v>612</v>
      </c>
      <c r="D62" s="63" t="s">
        <v>7</v>
      </c>
      <c r="E62" s="63">
        <v>5</v>
      </c>
      <c r="F62" s="38"/>
      <c r="G62" s="38"/>
      <c r="H62" s="38"/>
      <c r="I62" s="38"/>
      <c r="J62" s="38"/>
      <c r="K62" s="38"/>
      <c r="L62" s="38"/>
      <c r="M62" s="38"/>
      <c r="N62" s="38"/>
      <c r="O62" s="38"/>
      <c r="P62" s="38"/>
      <c r="Q62" s="38"/>
      <c r="R62" s="38"/>
      <c r="S62" s="38"/>
      <c r="T62" s="38"/>
      <c r="U62" s="38"/>
      <c r="V62" s="38"/>
      <c r="W62" s="38"/>
      <c r="X62" s="38"/>
      <c r="Y62" s="38"/>
      <c r="Z62" s="38"/>
      <c r="AA62" s="38"/>
      <c r="AB62" s="38"/>
      <c r="AC62" s="38"/>
      <c r="AD62" s="38"/>
      <c r="AE62" s="38"/>
      <c r="AF62" s="38"/>
      <c r="AG62" s="38"/>
      <c r="AH62" s="38"/>
      <c r="AI62" s="38"/>
      <c r="AJ62" s="38"/>
      <c r="AK62" s="38">
        <f>32689.08*1.19</f>
        <v>38900.0052</v>
      </c>
      <c r="AL62" s="38"/>
      <c r="AM62" s="38">
        <v>30307</v>
      </c>
      <c r="AN62" s="38"/>
      <c r="AO62" s="38"/>
      <c r="AP62" s="38"/>
      <c r="AQ62" s="38"/>
      <c r="AR62" s="38"/>
      <c r="AS62" s="38"/>
      <c r="AT62" s="38"/>
      <c r="AU62" s="38"/>
      <c r="AV62" s="38"/>
      <c r="AW62" s="38"/>
      <c r="AX62" s="38"/>
      <c r="AY62" s="38">
        <v>39650.799999999996</v>
      </c>
      <c r="AZ62" s="38">
        <v>39650.799999999996</v>
      </c>
      <c r="BA62" s="38">
        <v>52200</v>
      </c>
      <c r="BB62" s="38"/>
      <c r="BC62" s="38"/>
      <c r="BD62" s="38"/>
      <c r="BE62" s="38"/>
      <c r="BF62" s="38"/>
      <c r="BG62" s="38"/>
      <c r="BH62" s="38"/>
      <c r="BI62" s="38"/>
      <c r="BJ62" s="107">
        <f t="shared" si="2"/>
        <v>39650.799999999996</v>
      </c>
      <c r="BK62" s="107">
        <f t="shared" si="3"/>
        <v>40141.721039999997</v>
      </c>
      <c r="BL62" s="108">
        <f t="shared" si="4"/>
        <v>7812.6131123672994</v>
      </c>
      <c r="BM62" s="65">
        <f t="shared" si="5"/>
        <v>0.19462576366823608</v>
      </c>
      <c r="BN62" s="66">
        <f t="shared" si="11"/>
        <v>33320.168067226892</v>
      </c>
      <c r="BO62" s="66">
        <f t="shared" si="12"/>
        <v>6330.8319327731097</v>
      </c>
      <c r="BP62" s="109">
        <f t="shared" si="16"/>
        <v>39651</v>
      </c>
      <c r="BQ62" s="76">
        <f t="shared" si="17"/>
        <v>198255</v>
      </c>
      <c r="BR62" s="110" t="s">
        <v>902</v>
      </c>
    </row>
    <row r="63" spans="1:70" ht="34" x14ac:dyDescent="0.2">
      <c r="A63" s="63">
        <v>59</v>
      </c>
      <c r="B63" s="126" t="s">
        <v>613</v>
      </c>
      <c r="C63" s="157" t="s">
        <v>614</v>
      </c>
      <c r="D63" s="63" t="s">
        <v>7</v>
      </c>
      <c r="E63" s="63">
        <v>5</v>
      </c>
      <c r="F63" s="38"/>
      <c r="G63" s="38"/>
      <c r="H63" s="38"/>
      <c r="I63" s="38"/>
      <c r="J63" s="38"/>
      <c r="K63" s="38"/>
      <c r="L63" s="38"/>
      <c r="M63" s="38"/>
      <c r="N63" s="38"/>
      <c r="O63" s="38"/>
      <c r="P63" s="38"/>
      <c r="Q63" s="38"/>
      <c r="R63" s="38"/>
      <c r="S63" s="38"/>
      <c r="T63" s="38"/>
      <c r="U63" s="38"/>
      <c r="V63" s="38"/>
      <c r="W63" s="38"/>
      <c r="X63" s="38"/>
      <c r="Y63" s="38"/>
      <c r="Z63" s="38"/>
      <c r="AA63" s="38"/>
      <c r="AB63" s="38"/>
      <c r="AC63" s="38"/>
      <c r="AD63" s="38"/>
      <c r="AE63" s="38"/>
      <c r="AF63" s="38"/>
      <c r="AG63" s="38"/>
      <c r="AH63" s="38"/>
      <c r="AI63" s="38"/>
      <c r="AJ63" s="38"/>
      <c r="AK63" s="38">
        <f>19579.83*1.19</f>
        <v>23299.9977</v>
      </c>
      <c r="AL63" s="38"/>
      <c r="AM63" s="38">
        <v>32101</v>
      </c>
      <c r="AN63" s="38"/>
      <c r="AO63" s="38"/>
      <c r="AP63" s="38"/>
      <c r="AQ63" s="38"/>
      <c r="AR63" s="38"/>
      <c r="AS63" s="38"/>
      <c r="AT63" s="38"/>
      <c r="AU63" s="38"/>
      <c r="AV63" s="38"/>
      <c r="AW63" s="38"/>
      <c r="AX63" s="38"/>
      <c r="AY63" s="38"/>
      <c r="AZ63" s="38"/>
      <c r="BA63" s="38">
        <v>33300</v>
      </c>
      <c r="BB63" s="38"/>
      <c r="BC63" s="38"/>
      <c r="BD63" s="38"/>
      <c r="BE63" s="38"/>
      <c r="BF63" s="38"/>
      <c r="BG63" s="38"/>
      <c r="BH63" s="38"/>
      <c r="BI63" s="38"/>
      <c r="BJ63" s="107">
        <f t="shared" si="2"/>
        <v>32101</v>
      </c>
      <c r="BK63" s="107">
        <f t="shared" si="3"/>
        <v>29566.999233333336</v>
      </c>
      <c r="BL63" s="108">
        <f t="shared" si="4"/>
        <v>5460.3920568125513</v>
      </c>
      <c r="BM63" s="65">
        <f t="shared" si="5"/>
        <v>0.18467860108903433</v>
      </c>
      <c r="BN63" s="66">
        <f t="shared" si="11"/>
        <v>26975.63025210084</v>
      </c>
      <c r="BO63" s="66">
        <f t="shared" si="12"/>
        <v>5125.3697478991598</v>
      </c>
      <c r="BP63" s="109">
        <f t="shared" si="16"/>
        <v>32101</v>
      </c>
      <c r="BQ63" s="76">
        <f t="shared" si="17"/>
        <v>160505</v>
      </c>
      <c r="BR63" s="110" t="s">
        <v>902</v>
      </c>
    </row>
    <row r="64" spans="1:70" ht="85" x14ac:dyDescent="0.2">
      <c r="A64" s="63">
        <v>60</v>
      </c>
      <c r="B64" s="126" t="s">
        <v>615</v>
      </c>
      <c r="C64" s="157" t="s">
        <v>616</v>
      </c>
      <c r="D64" s="63" t="s">
        <v>7</v>
      </c>
      <c r="E64" s="63">
        <v>5</v>
      </c>
      <c r="F64" s="38"/>
      <c r="G64" s="38"/>
      <c r="H64" s="38"/>
      <c r="I64" s="38"/>
      <c r="J64" s="38"/>
      <c r="K64" s="38"/>
      <c r="L64" s="38"/>
      <c r="M64" s="38"/>
      <c r="N64" s="38"/>
      <c r="O64" s="38"/>
      <c r="P64" s="38"/>
      <c r="Q64" s="38"/>
      <c r="R64" s="38"/>
      <c r="S64" s="38"/>
      <c r="T64" s="38"/>
      <c r="U64" s="38"/>
      <c r="V64" s="38"/>
      <c r="W64" s="38"/>
      <c r="X64" s="38"/>
      <c r="Y64" s="38"/>
      <c r="Z64" s="38"/>
      <c r="AA64" s="38"/>
      <c r="AB64" s="38"/>
      <c r="AC64" s="38"/>
      <c r="AD64" s="38"/>
      <c r="AE64" s="38"/>
      <c r="AF64" s="38"/>
      <c r="AG64" s="38"/>
      <c r="AH64" s="38"/>
      <c r="AI64" s="38"/>
      <c r="AJ64" s="38"/>
      <c r="AK64" s="38"/>
      <c r="AL64" s="38"/>
      <c r="AM64" s="38">
        <v>53621</v>
      </c>
      <c r="AN64" s="38"/>
      <c r="AO64" s="38"/>
      <c r="AP64" s="38"/>
      <c r="AQ64" s="38"/>
      <c r="AR64" s="38"/>
      <c r="AS64" s="38"/>
      <c r="AT64" s="38"/>
      <c r="AU64" s="38"/>
      <c r="AV64" s="38"/>
      <c r="AW64" s="38"/>
      <c r="AX64" s="38"/>
      <c r="AY64" s="38">
        <v>31154.199999999997</v>
      </c>
      <c r="AZ64" s="38">
        <v>31154.199999999997</v>
      </c>
      <c r="BA64" s="38">
        <v>45000</v>
      </c>
      <c r="BB64" s="38"/>
      <c r="BC64" s="38"/>
      <c r="BD64" s="38"/>
      <c r="BE64" s="38"/>
      <c r="BF64" s="38"/>
      <c r="BG64" s="38"/>
      <c r="BH64" s="38"/>
      <c r="BI64" s="38"/>
      <c r="BJ64" s="107">
        <f t="shared" si="2"/>
        <v>38077.1</v>
      </c>
      <c r="BK64" s="107">
        <f t="shared" si="3"/>
        <v>40232.35</v>
      </c>
      <c r="BL64" s="108">
        <f t="shared" si="4"/>
        <v>11057.607489717966</v>
      </c>
      <c r="BM64" s="65">
        <f t="shared" si="5"/>
        <v>0.27484368896467559</v>
      </c>
      <c r="BN64" s="66">
        <f t="shared" si="11"/>
        <v>31998.319327731093</v>
      </c>
      <c r="BO64" s="66">
        <f t="shared" si="12"/>
        <v>6079.680672268908</v>
      </c>
      <c r="BP64" s="76">
        <f t="shared" si="16"/>
        <v>38078</v>
      </c>
      <c r="BQ64" s="76">
        <f t="shared" si="17"/>
        <v>190390</v>
      </c>
      <c r="BR64" s="110" t="s">
        <v>902</v>
      </c>
    </row>
    <row r="65" spans="1:70" ht="34" x14ac:dyDescent="0.2">
      <c r="A65" s="63">
        <v>61</v>
      </c>
      <c r="B65" s="126" t="s">
        <v>617</v>
      </c>
      <c r="C65" s="157" t="s">
        <v>1149</v>
      </c>
      <c r="D65" s="63" t="s">
        <v>162</v>
      </c>
      <c r="E65" s="63">
        <v>5</v>
      </c>
      <c r="F65" s="38"/>
      <c r="G65" s="38"/>
      <c r="H65" s="38"/>
      <c r="I65" s="38"/>
      <c r="J65" s="38"/>
      <c r="K65" s="38"/>
      <c r="L65" s="38"/>
      <c r="M65" s="38"/>
      <c r="N65" s="38"/>
      <c r="O65" s="38"/>
      <c r="P65" s="38"/>
      <c r="Q65" s="38"/>
      <c r="R65" s="38"/>
      <c r="S65" s="38"/>
      <c r="T65" s="38"/>
      <c r="U65" s="38"/>
      <c r="V65" s="38"/>
      <c r="W65" s="38"/>
      <c r="X65" s="38"/>
      <c r="Y65" s="38"/>
      <c r="Z65" s="38"/>
      <c r="AA65" s="38"/>
      <c r="AB65" s="38"/>
      <c r="AC65" s="38"/>
      <c r="AD65" s="38"/>
      <c r="AE65" s="38"/>
      <c r="AF65" s="38"/>
      <c r="AG65" s="38"/>
      <c r="AH65" s="38"/>
      <c r="AI65" s="38"/>
      <c r="AJ65" s="38"/>
      <c r="AK65" s="38">
        <f>42941.18*1.19</f>
        <v>51100.004199999996</v>
      </c>
      <c r="AL65" s="38"/>
      <c r="AM65" s="38">
        <v>66174</v>
      </c>
      <c r="AN65" s="38"/>
      <c r="AO65" s="38"/>
      <c r="AP65" s="38"/>
      <c r="AQ65" s="38"/>
      <c r="AR65" s="38"/>
      <c r="AS65" s="38"/>
      <c r="AT65" s="38"/>
      <c r="AU65" s="38"/>
      <c r="AV65" s="38"/>
      <c r="AW65" s="38"/>
      <c r="AX65" s="38"/>
      <c r="AY65" s="38"/>
      <c r="AZ65" s="38"/>
      <c r="BA65" s="38">
        <v>50220</v>
      </c>
      <c r="BB65" s="38"/>
      <c r="BC65" s="38"/>
      <c r="BD65" s="38"/>
      <c r="BE65" s="38"/>
      <c r="BF65" s="38"/>
      <c r="BG65" s="38"/>
      <c r="BH65" s="38"/>
      <c r="BI65" s="38"/>
      <c r="BJ65" s="107">
        <f t="shared" si="2"/>
        <v>51100.004199999996</v>
      </c>
      <c r="BK65" s="107">
        <f t="shared" si="3"/>
        <v>55831.334733333329</v>
      </c>
      <c r="BL65" s="108">
        <f t="shared" si="4"/>
        <v>8967.8116317047788</v>
      </c>
      <c r="BM65" s="65">
        <f t="shared" si="5"/>
        <v>0.16062327140373148</v>
      </c>
      <c r="BN65" s="66">
        <f t="shared" si="11"/>
        <v>42942.016806722691</v>
      </c>
      <c r="BO65" s="66">
        <f t="shared" si="12"/>
        <v>8158.9831932773113</v>
      </c>
      <c r="BP65" s="109">
        <f t="shared" si="16"/>
        <v>51101</v>
      </c>
      <c r="BQ65" s="76">
        <f t="shared" si="17"/>
        <v>255505</v>
      </c>
      <c r="BR65" s="110" t="s">
        <v>902</v>
      </c>
    </row>
    <row r="66" spans="1:70" ht="68" x14ac:dyDescent="0.2">
      <c r="A66" s="63">
        <v>62</v>
      </c>
      <c r="B66" s="126" t="s">
        <v>618</v>
      </c>
      <c r="C66" s="158" t="s">
        <v>1150</v>
      </c>
      <c r="D66" s="63" t="s">
        <v>162</v>
      </c>
      <c r="E66" s="63">
        <v>3</v>
      </c>
      <c r="F66" s="38"/>
      <c r="G66" s="38"/>
      <c r="H66" s="38"/>
      <c r="I66" s="38"/>
      <c r="J66" s="38"/>
      <c r="K66" s="38"/>
      <c r="L66" s="38"/>
      <c r="M66" s="38"/>
      <c r="N66" s="38"/>
      <c r="O66" s="38"/>
      <c r="P66" s="38"/>
      <c r="Q66" s="38"/>
      <c r="R66" s="38"/>
      <c r="S66" s="38"/>
      <c r="T66" s="38"/>
      <c r="U66" s="38"/>
      <c r="V66" s="38"/>
      <c r="W66" s="38"/>
      <c r="X66" s="38"/>
      <c r="Y66" s="38"/>
      <c r="Z66" s="38"/>
      <c r="AA66" s="38"/>
      <c r="AB66" s="38"/>
      <c r="AC66" s="38"/>
      <c r="AD66" s="38"/>
      <c r="AE66" s="38"/>
      <c r="AF66" s="38"/>
      <c r="AG66" s="38"/>
      <c r="AH66" s="38"/>
      <c r="AI66" s="38"/>
      <c r="AJ66" s="38"/>
      <c r="AK66" s="38"/>
      <c r="AL66" s="38"/>
      <c r="AM66" s="38"/>
      <c r="AN66" s="38"/>
      <c r="AO66" s="38"/>
      <c r="AP66" s="38"/>
      <c r="AQ66" s="38"/>
      <c r="AR66" s="38"/>
      <c r="AS66" s="38"/>
      <c r="AT66" s="38"/>
      <c r="AU66" s="38"/>
      <c r="AV66" s="38"/>
      <c r="AW66" s="38"/>
      <c r="AX66" s="38"/>
      <c r="AY66" s="38">
        <v>109480</v>
      </c>
      <c r="AZ66" s="38">
        <v>96294.8</v>
      </c>
      <c r="BA66" s="38"/>
      <c r="BB66" s="38"/>
      <c r="BC66" s="38"/>
      <c r="BD66" s="38"/>
      <c r="BE66" s="38"/>
      <c r="BF66" s="38"/>
      <c r="BG66" s="38"/>
      <c r="BH66" s="38"/>
      <c r="BI66" s="38"/>
      <c r="BJ66" s="107">
        <f t="shared" si="2"/>
        <v>102887.4</v>
      </c>
      <c r="BK66" s="107">
        <f t="shared" si="3"/>
        <v>102887.4</v>
      </c>
      <c r="BL66" s="108">
        <f t="shared" si="4"/>
        <v>9323.3443313008647</v>
      </c>
      <c r="BM66" s="65">
        <f t="shared" si="5"/>
        <v>9.0616968951502952E-2</v>
      </c>
      <c r="BN66" s="66">
        <f t="shared" si="11"/>
        <v>86460.504201680669</v>
      </c>
      <c r="BO66" s="66">
        <f t="shared" si="12"/>
        <v>16427.495798319327</v>
      </c>
      <c r="BP66" s="109">
        <f t="shared" si="16"/>
        <v>102888</v>
      </c>
      <c r="BQ66" s="76">
        <f t="shared" si="17"/>
        <v>308664</v>
      </c>
      <c r="BR66" s="110" t="s">
        <v>903</v>
      </c>
    </row>
    <row r="67" spans="1:70" ht="119" x14ac:dyDescent="0.2">
      <c r="A67" s="63">
        <v>63</v>
      </c>
      <c r="B67" s="126" t="s">
        <v>619</v>
      </c>
      <c r="C67" s="157" t="s">
        <v>620</v>
      </c>
      <c r="D67" s="63" t="s">
        <v>597</v>
      </c>
      <c r="E67" s="63">
        <v>30</v>
      </c>
      <c r="F67" s="88">
        <v>65000</v>
      </c>
      <c r="G67" s="70"/>
      <c r="H67" s="88">
        <v>68000</v>
      </c>
      <c r="I67" s="70"/>
      <c r="J67" s="54">
        <v>40460</v>
      </c>
      <c r="K67" s="70">
        <f t="shared" ref="K67:K72" si="25">((J67*5.1%)+J67)</f>
        <v>42523.46</v>
      </c>
      <c r="L67" s="88">
        <v>43500</v>
      </c>
      <c r="M67" s="70">
        <f t="shared" ref="M67:M72" si="26">((L67*5.1%)+L67)</f>
        <v>45718.5</v>
      </c>
      <c r="N67" s="88">
        <v>43500</v>
      </c>
      <c r="O67" s="70">
        <f t="shared" ref="O67:O72" si="27">((N67*5.1%)+N67)</f>
        <v>45718.5</v>
      </c>
      <c r="P67" s="38"/>
      <c r="Q67" s="38"/>
      <c r="R67" s="38"/>
      <c r="S67" s="38"/>
      <c r="T67" s="38"/>
      <c r="U67" s="38"/>
      <c r="V67" s="38"/>
      <c r="W67" s="38"/>
      <c r="X67" s="38"/>
      <c r="Y67" s="38"/>
      <c r="Z67" s="38"/>
      <c r="AA67" s="38"/>
      <c r="AB67" s="38"/>
      <c r="AC67" s="38"/>
      <c r="AD67" s="38"/>
      <c r="AE67" s="38"/>
      <c r="AF67" s="38"/>
      <c r="AG67" s="38"/>
      <c r="AH67" s="38"/>
      <c r="AI67" s="38"/>
      <c r="AJ67" s="38"/>
      <c r="AK67" s="38"/>
      <c r="AL67" s="38"/>
      <c r="AM67" s="38"/>
      <c r="AN67" s="38"/>
      <c r="AO67" s="38"/>
      <c r="AP67" s="38"/>
      <c r="AQ67" s="38"/>
      <c r="AR67" s="38"/>
      <c r="AS67" s="38"/>
      <c r="AT67" s="38"/>
      <c r="AU67" s="38"/>
      <c r="AV67" s="38"/>
      <c r="AW67" s="38"/>
      <c r="AX67" s="38"/>
      <c r="AY67" s="38">
        <v>53811.799999999996</v>
      </c>
      <c r="AZ67" s="38">
        <v>53811.799999999996</v>
      </c>
      <c r="BA67" s="38">
        <v>29700</v>
      </c>
      <c r="BB67" s="38"/>
      <c r="BC67" s="38"/>
      <c r="BD67" s="38"/>
      <c r="BE67" s="38"/>
      <c r="BF67" s="38"/>
      <c r="BG67" s="38"/>
      <c r="BH67" s="38"/>
      <c r="BI67" s="38"/>
      <c r="BJ67" s="107">
        <f t="shared" si="2"/>
        <v>45718.5</v>
      </c>
      <c r="BK67" s="107">
        <f t="shared" si="3"/>
        <v>45214.009999999987</v>
      </c>
      <c r="BL67" s="108">
        <f t="shared" si="4"/>
        <v>8902.5453851244511</v>
      </c>
      <c r="BM67" s="65">
        <f t="shared" si="5"/>
        <v>0.19689793904863678</v>
      </c>
      <c r="BN67" s="66">
        <f t="shared" si="11"/>
        <v>38419.327731092439</v>
      </c>
      <c r="BO67" s="66">
        <f t="shared" si="12"/>
        <v>7299.6722689075632</v>
      </c>
      <c r="BP67" s="109">
        <f t="shared" si="16"/>
        <v>45719</v>
      </c>
      <c r="BQ67" s="76">
        <f t="shared" si="17"/>
        <v>1371570</v>
      </c>
      <c r="BR67" s="110" t="s">
        <v>902</v>
      </c>
    </row>
    <row r="68" spans="1:70" ht="119" x14ac:dyDescent="0.2">
      <c r="A68" s="63">
        <v>64</v>
      </c>
      <c r="B68" s="126" t="s">
        <v>621</v>
      </c>
      <c r="C68" s="157" t="s">
        <v>622</v>
      </c>
      <c r="D68" s="63" t="s">
        <v>597</v>
      </c>
      <c r="E68" s="63">
        <v>30</v>
      </c>
      <c r="F68" s="88">
        <v>65000</v>
      </c>
      <c r="G68" s="70"/>
      <c r="H68" s="88">
        <v>68000</v>
      </c>
      <c r="I68" s="70"/>
      <c r="J68" s="54">
        <v>40460</v>
      </c>
      <c r="K68" s="70">
        <f t="shared" si="25"/>
        <v>42523.46</v>
      </c>
      <c r="L68" s="88">
        <v>43500</v>
      </c>
      <c r="M68" s="70">
        <f t="shared" si="26"/>
        <v>45718.5</v>
      </c>
      <c r="N68" s="88">
        <v>45000</v>
      </c>
      <c r="O68" s="70">
        <f t="shared" si="27"/>
        <v>47295</v>
      </c>
      <c r="P68" s="38"/>
      <c r="Q68" s="38"/>
      <c r="R68" s="38"/>
      <c r="S68" s="38"/>
      <c r="T68" s="38"/>
      <c r="U68" s="38"/>
      <c r="V68" s="38"/>
      <c r="W68" s="38"/>
      <c r="X68" s="38"/>
      <c r="Y68" s="38"/>
      <c r="Z68" s="38"/>
      <c r="AA68" s="38"/>
      <c r="AB68" s="38"/>
      <c r="AC68" s="38"/>
      <c r="AD68" s="38"/>
      <c r="AE68" s="38"/>
      <c r="AF68" s="38"/>
      <c r="AG68" s="38"/>
      <c r="AH68" s="38"/>
      <c r="AI68" s="38"/>
      <c r="AJ68" s="38"/>
      <c r="AK68" s="38"/>
      <c r="AL68" s="38"/>
      <c r="AM68" s="38"/>
      <c r="AN68" s="38"/>
      <c r="AO68" s="38"/>
      <c r="AP68" s="38"/>
      <c r="AQ68" s="38"/>
      <c r="AR68" s="38"/>
      <c r="AS68" s="38"/>
      <c r="AT68" s="38"/>
      <c r="AU68" s="38"/>
      <c r="AV68" s="38"/>
      <c r="AW68" s="38"/>
      <c r="AX68" s="38"/>
      <c r="AY68" s="38">
        <v>53811.799999999996</v>
      </c>
      <c r="AZ68" s="38">
        <v>53811.799999999996</v>
      </c>
      <c r="BA68" s="38">
        <v>29700</v>
      </c>
      <c r="BB68" s="38"/>
      <c r="BC68" s="38"/>
      <c r="BD68" s="38"/>
      <c r="BE68" s="38"/>
      <c r="BF68" s="38"/>
      <c r="BG68" s="38"/>
      <c r="BH68" s="38"/>
      <c r="BI68" s="38"/>
      <c r="BJ68" s="107">
        <f t="shared" si="2"/>
        <v>46506.75</v>
      </c>
      <c r="BK68" s="107">
        <f t="shared" si="3"/>
        <v>45476.759999999987</v>
      </c>
      <c r="BL68" s="108">
        <f t="shared" si="4"/>
        <v>8943.5826771602497</v>
      </c>
      <c r="BM68" s="65">
        <f t="shared" si="5"/>
        <v>0.19666270589989815</v>
      </c>
      <c r="BN68" s="66">
        <f t="shared" si="11"/>
        <v>39081.512605042022</v>
      </c>
      <c r="BO68" s="66">
        <f t="shared" si="12"/>
        <v>7425.4873949579842</v>
      </c>
      <c r="BP68" s="76">
        <f t="shared" si="16"/>
        <v>46507</v>
      </c>
      <c r="BQ68" s="76">
        <f t="shared" si="17"/>
        <v>1395210</v>
      </c>
      <c r="BR68" s="110" t="s">
        <v>902</v>
      </c>
    </row>
    <row r="69" spans="1:70" ht="119" x14ac:dyDescent="0.2">
      <c r="A69" s="63">
        <v>65</v>
      </c>
      <c r="B69" s="126" t="s">
        <v>623</v>
      </c>
      <c r="C69" s="157" t="s">
        <v>624</v>
      </c>
      <c r="D69" s="63" t="s">
        <v>597</v>
      </c>
      <c r="E69" s="63">
        <v>50</v>
      </c>
      <c r="F69" s="88">
        <v>65000</v>
      </c>
      <c r="G69" s="70"/>
      <c r="H69" s="88">
        <v>68000</v>
      </c>
      <c r="I69" s="70"/>
      <c r="J69" s="54">
        <v>40460</v>
      </c>
      <c r="K69" s="70">
        <f t="shared" si="25"/>
        <v>42523.46</v>
      </c>
      <c r="L69" s="88">
        <v>43500</v>
      </c>
      <c r="M69" s="70">
        <f t="shared" si="26"/>
        <v>45718.5</v>
      </c>
      <c r="N69" s="88">
        <v>45000</v>
      </c>
      <c r="O69" s="70">
        <f t="shared" si="27"/>
        <v>47295</v>
      </c>
      <c r="P69" s="38"/>
      <c r="Q69" s="38"/>
      <c r="R69" s="38"/>
      <c r="S69" s="38"/>
      <c r="T69" s="38"/>
      <c r="U69" s="38"/>
      <c r="V69" s="38"/>
      <c r="W69" s="38"/>
      <c r="X69" s="38"/>
      <c r="Y69" s="38"/>
      <c r="Z69" s="38"/>
      <c r="AA69" s="38"/>
      <c r="AB69" s="38"/>
      <c r="AC69" s="38"/>
      <c r="AD69" s="38"/>
      <c r="AE69" s="38"/>
      <c r="AF69" s="38"/>
      <c r="AG69" s="38"/>
      <c r="AH69" s="38"/>
      <c r="AI69" s="38"/>
      <c r="AJ69" s="38"/>
      <c r="AK69" s="38"/>
      <c r="AL69" s="38"/>
      <c r="AM69" s="38"/>
      <c r="AN69" s="38"/>
      <c r="AO69" s="38"/>
      <c r="AP69" s="38"/>
      <c r="AQ69" s="38"/>
      <c r="AR69" s="38"/>
      <c r="AS69" s="38"/>
      <c r="AT69" s="38"/>
      <c r="AU69" s="38"/>
      <c r="AV69" s="38"/>
      <c r="AW69" s="38"/>
      <c r="AX69" s="38"/>
      <c r="AY69" s="38">
        <v>53811.799999999996</v>
      </c>
      <c r="AZ69" s="38">
        <v>53811.799999999996</v>
      </c>
      <c r="BA69" s="38">
        <v>29700</v>
      </c>
      <c r="BB69" s="38"/>
      <c r="BC69" s="38"/>
      <c r="BD69" s="38"/>
      <c r="BE69" s="38"/>
      <c r="BF69" s="38"/>
      <c r="BG69" s="38"/>
      <c r="BH69" s="38"/>
      <c r="BI69" s="38"/>
      <c r="BJ69" s="107">
        <f t="shared" si="2"/>
        <v>46506.75</v>
      </c>
      <c r="BK69" s="107">
        <f t="shared" si="3"/>
        <v>45476.759999999987</v>
      </c>
      <c r="BL69" s="108">
        <f t="shared" si="4"/>
        <v>8943.5826771602497</v>
      </c>
      <c r="BM69" s="65">
        <f t="shared" si="5"/>
        <v>0.19666270589989815</v>
      </c>
      <c r="BN69" s="66">
        <f t="shared" si="11"/>
        <v>39081.512605042022</v>
      </c>
      <c r="BO69" s="66">
        <f t="shared" si="12"/>
        <v>7425.4873949579842</v>
      </c>
      <c r="BP69" s="76">
        <f t="shared" si="16"/>
        <v>46507</v>
      </c>
      <c r="BQ69" s="76">
        <f t="shared" si="17"/>
        <v>2325350</v>
      </c>
      <c r="BR69" s="110" t="s">
        <v>902</v>
      </c>
    </row>
    <row r="70" spans="1:70" ht="119" x14ac:dyDescent="0.2">
      <c r="A70" s="63">
        <v>66</v>
      </c>
      <c r="B70" s="126" t="s">
        <v>625</v>
      </c>
      <c r="C70" s="157" t="s">
        <v>626</v>
      </c>
      <c r="D70" s="63" t="s">
        <v>597</v>
      </c>
      <c r="E70" s="63">
        <v>100</v>
      </c>
      <c r="F70" s="88">
        <v>65000</v>
      </c>
      <c r="G70" s="70"/>
      <c r="H70" s="88">
        <v>66000</v>
      </c>
      <c r="I70" s="70"/>
      <c r="J70" s="54">
        <v>45220</v>
      </c>
      <c r="K70" s="70">
        <f t="shared" si="25"/>
        <v>47526.22</v>
      </c>
      <c r="L70" s="88">
        <v>54500</v>
      </c>
      <c r="M70" s="70">
        <f t="shared" si="26"/>
        <v>57279.5</v>
      </c>
      <c r="N70" s="88">
        <v>55000</v>
      </c>
      <c r="O70" s="70">
        <f t="shared" si="27"/>
        <v>57805</v>
      </c>
      <c r="P70" s="38"/>
      <c r="Q70" s="38"/>
      <c r="R70" s="38"/>
      <c r="S70" s="38"/>
      <c r="T70" s="38"/>
      <c r="U70" s="38"/>
      <c r="V70" s="38"/>
      <c r="W70" s="38"/>
      <c r="X70" s="38"/>
      <c r="Y70" s="38"/>
      <c r="Z70" s="38"/>
      <c r="AA70" s="38"/>
      <c r="AB70" s="38"/>
      <c r="AC70" s="38"/>
      <c r="AD70" s="38"/>
      <c r="AE70" s="38"/>
      <c r="AF70" s="38"/>
      <c r="AG70" s="38"/>
      <c r="AH70" s="38"/>
      <c r="AI70" s="38"/>
      <c r="AJ70" s="38"/>
      <c r="AK70" s="38"/>
      <c r="AL70" s="38"/>
      <c r="AM70" s="87">
        <v>34791</v>
      </c>
      <c r="AN70" s="87"/>
      <c r="AO70" s="87"/>
      <c r="AP70" s="87"/>
      <c r="AQ70" s="87"/>
      <c r="AR70" s="87"/>
      <c r="AS70" s="87"/>
      <c r="AT70" s="87"/>
      <c r="AU70" s="87"/>
      <c r="AV70" s="87"/>
      <c r="AW70" s="87"/>
      <c r="AX70" s="87"/>
      <c r="AY70" s="87"/>
      <c r="AZ70" s="87"/>
      <c r="BA70" s="87">
        <v>36000</v>
      </c>
      <c r="BB70" s="87"/>
      <c r="BC70" s="87"/>
      <c r="BD70" s="87"/>
      <c r="BE70" s="87"/>
      <c r="BF70" s="87"/>
      <c r="BG70" s="87"/>
      <c r="BH70" s="87"/>
      <c r="BI70" s="87"/>
      <c r="BJ70" s="107">
        <f t="shared" ref="BJ70:BJ133" si="28">MEDIAN(G70,I70,K70,M70,O70,Q70,S70,U70,W70,Y70,AA70,AC70,AE70,AG70,AI70,AJ70,AK70,AL70,AM70,AN70,AO70,AP70,AQ70,AR70,AU70,AX70,AY70,AZ70,BA70,BB70,BC70,BF70,BI70)</f>
        <v>47526.22</v>
      </c>
      <c r="BK70" s="107">
        <f t="shared" ref="BK70:BK133" si="29">AVERAGE(G70,I70,K70,M70,O70,Q70,S70,U70,W70,Y70,AA70,AC70,AE70,AG70,AI70,AJ70,AK70,AL70,AM70,AN70,AO70,AP70,AQ70,AR70,AU70,AX70,AY70,AZ70,BA70,BB70,BC70,BF70,BI70)</f>
        <v>46680.343999999997</v>
      </c>
      <c r="BL70" s="108">
        <f t="shared" ref="BL70:BL133" si="30">STDEV(G70,I70,K70,M70,O70,Q70,S70,U70,W70,Y70,AA70,AC70,AE70,AG70,AI70,AJ70,AK70,AL70,AM70,AN70,AO70,AP70,AQ70,AR70,AU70,AX70,AY70,AZ70,BA70,BB70,BC70,BF70,BI70)</f>
        <v>11093.261850631672</v>
      </c>
      <c r="BM70" s="65">
        <f t="shared" ref="BM70:BM133" si="31">BL70/BK70</f>
        <v>0.2376431041431844</v>
      </c>
      <c r="BN70" s="66">
        <f t="shared" si="11"/>
        <v>39938.655462184877</v>
      </c>
      <c r="BO70" s="66">
        <f t="shared" si="12"/>
        <v>7588.3445378151264</v>
      </c>
      <c r="BP70" s="76">
        <f t="shared" si="16"/>
        <v>47527</v>
      </c>
      <c r="BQ70" s="76">
        <f t="shared" si="17"/>
        <v>4752700</v>
      </c>
      <c r="BR70" s="110" t="s">
        <v>902</v>
      </c>
    </row>
    <row r="71" spans="1:70" ht="119" x14ac:dyDescent="0.2">
      <c r="A71" s="63">
        <v>67</v>
      </c>
      <c r="B71" s="126" t="s">
        <v>627</v>
      </c>
      <c r="C71" s="157" t="s">
        <v>628</v>
      </c>
      <c r="D71" s="63" t="s">
        <v>597</v>
      </c>
      <c r="E71" s="63">
        <v>100</v>
      </c>
      <c r="F71" s="88">
        <v>65000</v>
      </c>
      <c r="G71" s="70"/>
      <c r="H71" s="88">
        <v>66000</v>
      </c>
      <c r="I71" s="70"/>
      <c r="J71" s="54">
        <v>45220</v>
      </c>
      <c r="K71" s="70">
        <f t="shared" si="25"/>
        <v>47526.22</v>
      </c>
      <c r="L71" s="88">
        <v>54500</v>
      </c>
      <c r="M71" s="70"/>
      <c r="N71" s="88">
        <v>55000</v>
      </c>
      <c r="O71" s="70"/>
      <c r="P71" s="38"/>
      <c r="Q71" s="38"/>
      <c r="R71" s="38"/>
      <c r="S71" s="38"/>
      <c r="T71" s="38"/>
      <c r="U71" s="38"/>
      <c r="V71" s="38"/>
      <c r="W71" s="38"/>
      <c r="X71" s="38"/>
      <c r="Y71" s="38"/>
      <c r="Z71" s="38"/>
      <c r="AA71" s="38"/>
      <c r="AB71" s="38"/>
      <c r="AC71" s="38"/>
      <c r="AD71" s="38"/>
      <c r="AE71" s="38"/>
      <c r="AF71" s="38"/>
      <c r="AG71" s="38"/>
      <c r="AH71" s="38"/>
      <c r="AI71" s="38"/>
      <c r="AJ71" s="38"/>
      <c r="AK71" s="38">
        <f>27310.92*1.19</f>
        <v>32499.994799999997</v>
      </c>
      <c r="AL71" s="38"/>
      <c r="AM71" s="38">
        <v>34970</v>
      </c>
      <c r="AN71" s="38"/>
      <c r="AO71" s="38"/>
      <c r="AP71" s="38"/>
      <c r="AQ71" s="38"/>
      <c r="AR71" s="38"/>
      <c r="AS71" s="38"/>
      <c r="AT71" s="38"/>
      <c r="AU71" s="38"/>
      <c r="AV71" s="38"/>
      <c r="AW71" s="38"/>
      <c r="AX71" s="38"/>
      <c r="AY71" s="38"/>
      <c r="AZ71" s="38"/>
      <c r="BA71" s="87">
        <v>36000</v>
      </c>
      <c r="BB71" s="38"/>
      <c r="BC71" s="38"/>
      <c r="BD71" s="38"/>
      <c r="BE71" s="38"/>
      <c r="BF71" s="38"/>
      <c r="BG71" s="38"/>
      <c r="BH71" s="38"/>
      <c r="BI71" s="38"/>
      <c r="BJ71" s="107">
        <f t="shared" si="28"/>
        <v>35485</v>
      </c>
      <c r="BK71" s="107">
        <f t="shared" si="29"/>
        <v>37749.053700000004</v>
      </c>
      <c r="BL71" s="108">
        <f t="shared" si="30"/>
        <v>6681.5150104970135</v>
      </c>
      <c r="BM71" s="65">
        <f t="shared" si="31"/>
        <v>0.17699821202397487</v>
      </c>
      <c r="BN71" s="66">
        <f t="shared" si="11"/>
        <v>29819.327731092439</v>
      </c>
      <c r="BO71" s="66">
        <f t="shared" si="12"/>
        <v>5665.6722689075632</v>
      </c>
      <c r="BP71" s="109">
        <f t="shared" si="16"/>
        <v>35485</v>
      </c>
      <c r="BQ71" s="76">
        <f t="shared" si="17"/>
        <v>3548500</v>
      </c>
      <c r="BR71" s="110" t="s">
        <v>902</v>
      </c>
    </row>
    <row r="72" spans="1:70" ht="119" x14ac:dyDescent="0.2">
      <c r="A72" s="63">
        <v>68</v>
      </c>
      <c r="B72" s="126" t="s">
        <v>629</v>
      </c>
      <c r="C72" s="157" t="s">
        <v>630</v>
      </c>
      <c r="D72" s="63" t="s">
        <v>597</v>
      </c>
      <c r="E72" s="63">
        <v>100</v>
      </c>
      <c r="F72" s="88">
        <v>65000</v>
      </c>
      <c r="G72" s="70">
        <f>((F72*5.1%)+F72)</f>
        <v>68315</v>
      </c>
      <c r="H72" s="88">
        <v>66000</v>
      </c>
      <c r="I72" s="70">
        <f t="shared" ref="I72" si="32">((H72*5.1%)+H72)</f>
        <v>69366</v>
      </c>
      <c r="J72" s="54">
        <v>45220</v>
      </c>
      <c r="K72" s="70">
        <f t="shared" si="25"/>
        <v>47526.22</v>
      </c>
      <c r="L72" s="88">
        <v>54500</v>
      </c>
      <c r="M72" s="70">
        <f t="shared" si="26"/>
        <v>57279.5</v>
      </c>
      <c r="N72" s="88">
        <v>55000</v>
      </c>
      <c r="O72" s="70">
        <f t="shared" si="27"/>
        <v>57805</v>
      </c>
      <c r="P72" s="38"/>
      <c r="Q72" s="38"/>
      <c r="R72" s="38"/>
      <c r="S72" s="38"/>
      <c r="T72" s="38"/>
      <c r="U72" s="38"/>
      <c r="V72" s="38"/>
      <c r="W72" s="38"/>
      <c r="X72" s="38"/>
      <c r="Y72" s="38"/>
      <c r="Z72" s="38"/>
      <c r="AA72" s="38"/>
      <c r="AB72" s="38"/>
      <c r="AC72" s="38"/>
      <c r="AD72" s="38"/>
      <c r="AE72" s="38"/>
      <c r="AF72" s="38"/>
      <c r="AG72" s="38"/>
      <c r="AH72" s="38"/>
      <c r="AI72" s="38"/>
      <c r="AJ72" s="38"/>
      <c r="AK72" s="38">
        <f>27310.92*1.19</f>
        <v>32499.994799999997</v>
      </c>
      <c r="AL72" s="38"/>
      <c r="AM72" s="38"/>
      <c r="AN72" s="38"/>
      <c r="AO72" s="38"/>
      <c r="AP72" s="38"/>
      <c r="AQ72" s="38"/>
      <c r="AR72" s="38"/>
      <c r="AS72" s="38"/>
      <c r="AT72" s="38"/>
      <c r="AU72" s="38"/>
      <c r="AV72" s="38"/>
      <c r="AW72" s="38"/>
      <c r="AX72" s="38"/>
      <c r="AY72" s="38"/>
      <c r="AZ72" s="38"/>
      <c r="BA72" s="87"/>
      <c r="BB72" s="38"/>
      <c r="BC72" s="38"/>
      <c r="BD72" s="38"/>
      <c r="BE72" s="38"/>
      <c r="BF72" s="38"/>
      <c r="BG72" s="38"/>
      <c r="BH72" s="38"/>
      <c r="BI72" s="38"/>
      <c r="BJ72" s="107">
        <f t="shared" si="28"/>
        <v>57542.25</v>
      </c>
      <c r="BK72" s="107">
        <f t="shared" si="29"/>
        <v>55465.285799999991</v>
      </c>
      <c r="BL72" s="108">
        <f t="shared" si="30"/>
        <v>13838.670474321878</v>
      </c>
      <c r="BM72" s="65">
        <f t="shared" si="31"/>
        <v>0.2495014724024352</v>
      </c>
      <c r="BN72" s="66">
        <f t="shared" si="11"/>
        <v>48355.462184873955</v>
      </c>
      <c r="BO72" s="66">
        <f t="shared" si="12"/>
        <v>9187.537815126052</v>
      </c>
      <c r="BP72" s="109">
        <f t="shared" si="16"/>
        <v>57543</v>
      </c>
      <c r="BQ72" s="76">
        <f t="shared" si="17"/>
        <v>5754300</v>
      </c>
      <c r="BR72" s="110" t="s">
        <v>902</v>
      </c>
    </row>
    <row r="73" spans="1:70" ht="153" x14ac:dyDescent="0.2">
      <c r="A73" s="63">
        <v>69</v>
      </c>
      <c r="B73" s="126" t="s">
        <v>631</v>
      </c>
      <c r="C73" s="157" t="s">
        <v>632</v>
      </c>
      <c r="D73" s="63" t="s">
        <v>633</v>
      </c>
      <c r="E73" s="63">
        <v>150</v>
      </c>
      <c r="F73" s="38"/>
      <c r="G73" s="38"/>
      <c r="H73" s="38"/>
      <c r="I73" s="38"/>
      <c r="J73" s="38"/>
      <c r="K73" s="38"/>
      <c r="L73" s="38"/>
      <c r="M73" s="38"/>
      <c r="N73" s="38"/>
      <c r="O73" s="38"/>
      <c r="P73" s="38"/>
      <c r="Q73" s="38"/>
      <c r="R73" s="38"/>
      <c r="S73" s="38"/>
      <c r="T73" s="38"/>
      <c r="U73" s="38"/>
      <c r="V73" s="38"/>
      <c r="W73" s="38"/>
      <c r="X73" s="38"/>
      <c r="Y73" s="38"/>
      <c r="Z73" s="38"/>
      <c r="AA73" s="38"/>
      <c r="AB73" s="38"/>
      <c r="AC73" s="38"/>
      <c r="AD73" s="38"/>
      <c r="AE73" s="38"/>
      <c r="AF73" s="38"/>
      <c r="AG73" s="38"/>
      <c r="AH73" s="38"/>
      <c r="AI73" s="38"/>
      <c r="AJ73" s="38"/>
      <c r="AK73" s="38"/>
      <c r="AL73" s="38"/>
      <c r="AM73" s="38"/>
      <c r="AN73" s="38"/>
      <c r="AO73" s="38"/>
      <c r="AP73" s="38"/>
      <c r="AQ73" s="38"/>
      <c r="AR73" s="38"/>
      <c r="AS73" s="38"/>
      <c r="AT73" s="38"/>
      <c r="AU73" s="38"/>
      <c r="AV73" s="38"/>
      <c r="AW73" s="38"/>
      <c r="AX73" s="38"/>
      <c r="AY73" s="38"/>
      <c r="AZ73" s="38"/>
      <c r="BA73" s="38">
        <v>500000</v>
      </c>
      <c r="BB73" s="38"/>
      <c r="BC73" s="38">
        <v>700000</v>
      </c>
      <c r="BD73" s="38"/>
      <c r="BE73" s="38"/>
      <c r="BF73" s="38"/>
      <c r="BG73" s="38"/>
      <c r="BH73" s="38"/>
      <c r="BI73" s="38"/>
      <c r="BJ73" s="107">
        <f t="shared" si="28"/>
        <v>600000</v>
      </c>
      <c r="BK73" s="107">
        <f t="shared" si="29"/>
        <v>600000</v>
      </c>
      <c r="BL73" s="108">
        <f t="shared" si="30"/>
        <v>141421.35623730952</v>
      </c>
      <c r="BM73" s="65">
        <f t="shared" si="31"/>
        <v>0.23570226039551587</v>
      </c>
      <c r="BN73" s="66">
        <f t="shared" si="11"/>
        <v>504201.68067226891</v>
      </c>
      <c r="BO73" s="66">
        <f t="shared" si="12"/>
        <v>95798.319327731093</v>
      </c>
      <c r="BP73" s="109">
        <f t="shared" si="16"/>
        <v>600000</v>
      </c>
      <c r="BQ73" s="76">
        <f t="shared" si="17"/>
        <v>90000000</v>
      </c>
      <c r="BR73" s="110" t="s">
        <v>902</v>
      </c>
    </row>
    <row r="74" spans="1:70" ht="102" x14ac:dyDescent="0.2">
      <c r="A74" s="63">
        <v>70</v>
      </c>
      <c r="B74" s="126" t="s">
        <v>634</v>
      </c>
      <c r="C74" s="157" t="s">
        <v>1151</v>
      </c>
      <c r="D74" s="63" t="s">
        <v>7</v>
      </c>
      <c r="E74" s="63">
        <v>150</v>
      </c>
      <c r="F74" s="38"/>
      <c r="G74" s="38"/>
      <c r="H74" s="38"/>
      <c r="I74" s="38"/>
      <c r="J74" s="38"/>
      <c r="K74" s="38"/>
      <c r="L74" s="38"/>
      <c r="M74" s="38"/>
      <c r="N74" s="38"/>
      <c r="O74" s="38"/>
      <c r="P74" s="38"/>
      <c r="Q74" s="38"/>
      <c r="R74" s="38"/>
      <c r="S74" s="38"/>
      <c r="T74" s="38"/>
      <c r="U74" s="38"/>
      <c r="V74" s="38"/>
      <c r="W74" s="38"/>
      <c r="X74" s="38"/>
      <c r="Y74" s="38"/>
      <c r="Z74" s="38"/>
      <c r="AA74" s="38"/>
      <c r="AB74" s="38"/>
      <c r="AC74" s="38"/>
      <c r="AD74" s="38"/>
      <c r="AE74" s="38"/>
      <c r="AF74" s="38"/>
      <c r="AG74" s="38"/>
      <c r="AH74" s="38"/>
      <c r="AI74" s="38"/>
      <c r="AJ74" s="38"/>
      <c r="AK74" s="38">
        <f>7563.03*1.19</f>
        <v>9000.0056999999997</v>
      </c>
      <c r="AL74" s="38"/>
      <c r="AM74" s="38"/>
      <c r="AN74" s="38"/>
      <c r="AO74" s="38"/>
      <c r="AP74" s="38"/>
      <c r="AQ74" s="38"/>
      <c r="AR74" s="38"/>
      <c r="AS74" s="38"/>
      <c r="AT74" s="38"/>
      <c r="AU74" s="38"/>
      <c r="AV74" s="38"/>
      <c r="AW74" s="38"/>
      <c r="AX74" s="38"/>
      <c r="AY74" s="38">
        <v>12036.85</v>
      </c>
      <c r="AZ74" s="38">
        <v>12036.85</v>
      </c>
      <c r="BA74" s="38"/>
      <c r="BB74" s="38"/>
      <c r="BC74" s="38"/>
      <c r="BD74" s="38"/>
      <c r="BE74" s="38"/>
      <c r="BF74" s="38"/>
      <c r="BG74" s="38"/>
      <c r="BH74" s="38"/>
      <c r="BI74" s="38"/>
      <c r="BJ74" s="107">
        <f t="shared" si="28"/>
        <v>12036.85</v>
      </c>
      <c r="BK74" s="107">
        <f t="shared" si="29"/>
        <v>11024.568566666667</v>
      </c>
      <c r="BL74" s="108">
        <f t="shared" si="30"/>
        <v>1753.3228740919808</v>
      </c>
      <c r="BM74" s="65">
        <f t="shared" si="31"/>
        <v>0.15903777671565669</v>
      </c>
      <c r="BN74" s="66">
        <f t="shared" si="11"/>
        <v>10115.126050420169</v>
      </c>
      <c r="BO74" s="66">
        <f t="shared" si="12"/>
        <v>1921.8739495798322</v>
      </c>
      <c r="BP74" s="76">
        <f t="shared" si="16"/>
        <v>12037</v>
      </c>
      <c r="BQ74" s="76">
        <f t="shared" si="17"/>
        <v>1805550</v>
      </c>
      <c r="BR74" s="110" t="s">
        <v>903</v>
      </c>
    </row>
    <row r="75" spans="1:70" ht="51" x14ac:dyDescent="0.2">
      <c r="A75" s="63">
        <v>71</v>
      </c>
      <c r="B75" s="126" t="s">
        <v>635</v>
      </c>
      <c r="C75" s="157" t="s">
        <v>636</v>
      </c>
      <c r="D75" s="63" t="s">
        <v>637</v>
      </c>
      <c r="E75" s="63">
        <v>25</v>
      </c>
      <c r="F75" s="38"/>
      <c r="G75" s="38"/>
      <c r="H75" s="38"/>
      <c r="I75" s="38"/>
      <c r="J75" s="38"/>
      <c r="K75" s="38"/>
      <c r="L75" s="38"/>
      <c r="M75" s="38"/>
      <c r="N75" s="38"/>
      <c r="O75" s="38"/>
      <c r="P75" s="38"/>
      <c r="Q75" s="38"/>
      <c r="R75" s="38"/>
      <c r="S75" s="38"/>
      <c r="T75" s="38"/>
      <c r="U75" s="38"/>
      <c r="V75" s="38"/>
      <c r="W75" s="38"/>
      <c r="X75" s="38"/>
      <c r="Y75" s="38"/>
      <c r="Z75" s="38"/>
      <c r="AA75" s="38"/>
      <c r="AB75" s="38"/>
      <c r="AC75" s="38"/>
      <c r="AD75" s="38"/>
      <c r="AE75" s="38"/>
      <c r="AF75" s="38"/>
      <c r="AG75" s="38"/>
      <c r="AH75" s="38"/>
      <c r="AI75" s="38"/>
      <c r="AJ75" s="38"/>
      <c r="AK75" s="38">
        <f>13781.51*1.19</f>
        <v>16399.996899999998</v>
      </c>
      <c r="AL75" s="38"/>
      <c r="AM75" s="38">
        <v>10523</v>
      </c>
      <c r="AN75" s="38"/>
      <c r="AO75" s="38"/>
      <c r="AP75" s="38"/>
      <c r="AQ75" s="38"/>
      <c r="AR75" s="38"/>
      <c r="AS75" s="38"/>
      <c r="AT75" s="38"/>
      <c r="AU75" s="38"/>
      <c r="AV75" s="38"/>
      <c r="AW75" s="38"/>
      <c r="AX75" s="38"/>
      <c r="AY75" s="38">
        <v>17850</v>
      </c>
      <c r="AZ75" s="38">
        <v>17701.25</v>
      </c>
      <c r="BA75" s="38">
        <v>15300</v>
      </c>
      <c r="BB75" s="38"/>
      <c r="BC75" s="38"/>
      <c r="BD75" s="38"/>
      <c r="BE75" s="38"/>
      <c r="BF75" s="38"/>
      <c r="BG75" s="38"/>
      <c r="BH75" s="38"/>
      <c r="BI75" s="38"/>
      <c r="BJ75" s="107">
        <f t="shared" si="28"/>
        <v>16399.996899999998</v>
      </c>
      <c r="BK75" s="107">
        <f t="shared" si="29"/>
        <v>15554.84938</v>
      </c>
      <c r="BL75" s="108">
        <f t="shared" si="30"/>
        <v>2998.8949093823512</v>
      </c>
      <c r="BM75" s="65">
        <f t="shared" si="31"/>
        <v>0.19279485362540691</v>
      </c>
      <c r="BN75" s="66">
        <f>BP75</f>
        <v>16400</v>
      </c>
      <c r="BO75" s="66">
        <v>0</v>
      </c>
      <c r="BP75" s="76">
        <f t="shared" si="16"/>
        <v>16400</v>
      </c>
      <c r="BQ75" s="76">
        <f t="shared" si="17"/>
        <v>410000</v>
      </c>
      <c r="BR75" s="110" t="s">
        <v>902</v>
      </c>
    </row>
    <row r="76" spans="1:70" ht="68" x14ac:dyDescent="0.2">
      <c r="A76" s="63">
        <v>72</v>
      </c>
      <c r="B76" s="126" t="s">
        <v>848</v>
      </c>
      <c r="C76" s="157" t="s">
        <v>1065</v>
      </c>
      <c r="D76" s="63" t="s">
        <v>633</v>
      </c>
      <c r="E76" s="63">
        <v>20</v>
      </c>
      <c r="F76" s="38"/>
      <c r="G76" s="38"/>
      <c r="H76" s="38"/>
      <c r="I76" s="38"/>
      <c r="J76" s="88">
        <v>210000</v>
      </c>
      <c r="K76" s="70">
        <f t="shared" ref="K76:K78" si="33">((J76*5.1%)+J76)</f>
        <v>220710</v>
      </c>
      <c r="L76" s="88">
        <v>140000</v>
      </c>
      <c r="M76" s="70">
        <f t="shared" ref="M76:M80" si="34">((L76*5.1%)+L76)</f>
        <v>147140</v>
      </c>
      <c r="N76" s="88">
        <v>160500</v>
      </c>
      <c r="O76" s="70">
        <f t="shared" ref="O76" si="35">((N76*5.1%)+N76)</f>
        <v>168685.5</v>
      </c>
      <c r="P76" s="38"/>
      <c r="Q76" s="38"/>
      <c r="R76" s="38"/>
      <c r="S76" s="38"/>
      <c r="T76" s="38"/>
      <c r="U76" s="38"/>
      <c r="V76" s="38"/>
      <c r="W76" s="38"/>
      <c r="X76" s="38"/>
      <c r="Y76" s="38"/>
      <c r="Z76" s="38"/>
      <c r="AA76" s="38"/>
      <c r="AB76" s="38"/>
      <c r="AC76" s="38"/>
      <c r="AD76" s="38"/>
      <c r="AE76" s="38"/>
      <c r="AF76" s="38"/>
      <c r="AG76" s="38"/>
      <c r="AH76" s="38"/>
      <c r="AI76" s="38"/>
      <c r="AJ76" s="38"/>
      <c r="AK76" s="38"/>
      <c r="AL76" s="38"/>
      <c r="AM76" s="38"/>
      <c r="AN76" s="38"/>
      <c r="AO76" s="38"/>
      <c r="AP76" s="38"/>
      <c r="AQ76" s="38"/>
      <c r="AR76" s="38"/>
      <c r="AS76" s="38"/>
      <c r="AT76" s="38"/>
      <c r="AU76" s="38"/>
      <c r="AV76" s="38"/>
      <c r="AW76" s="38"/>
      <c r="AX76" s="38"/>
      <c r="AY76" s="38"/>
      <c r="AZ76" s="38"/>
      <c r="BA76" s="38"/>
      <c r="BB76" s="38"/>
      <c r="BC76" s="38"/>
      <c r="BD76" s="38"/>
      <c r="BE76" s="38"/>
      <c r="BF76" s="38"/>
      <c r="BG76" s="38"/>
      <c r="BH76" s="38"/>
      <c r="BI76" s="38"/>
      <c r="BJ76" s="107">
        <f t="shared" si="28"/>
        <v>168685.5</v>
      </c>
      <c r="BK76" s="107">
        <f t="shared" si="29"/>
        <v>178845.16666666666</v>
      </c>
      <c r="BL76" s="108">
        <f t="shared" si="30"/>
        <v>37822.616846053046</v>
      </c>
      <c r="BM76" s="65">
        <f t="shared" si="31"/>
        <v>0.21148246581663122</v>
      </c>
      <c r="BN76" s="66">
        <f t="shared" si="11"/>
        <v>141752.9411764706</v>
      </c>
      <c r="BO76" s="66">
        <f t="shared" si="12"/>
        <v>26933.058823529416</v>
      </c>
      <c r="BP76" s="109">
        <f t="shared" si="16"/>
        <v>168686</v>
      </c>
      <c r="BQ76" s="76">
        <f t="shared" si="17"/>
        <v>3373720</v>
      </c>
      <c r="BR76" s="110" t="s">
        <v>902</v>
      </c>
    </row>
    <row r="77" spans="1:70" ht="102" x14ac:dyDescent="0.2">
      <c r="A77" s="63">
        <v>73</v>
      </c>
      <c r="B77" s="63" t="s">
        <v>638</v>
      </c>
      <c r="C77" s="157" t="s">
        <v>639</v>
      </c>
      <c r="D77" s="63" t="s">
        <v>633</v>
      </c>
      <c r="E77" s="63">
        <v>20</v>
      </c>
      <c r="F77" s="38"/>
      <c r="G77" s="38"/>
      <c r="H77" s="38"/>
      <c r="I77" s="38"/>
      <c r="J77" s="88">
        <v>210000</v>
      </c>
      <c r="K77" s="70"/>
      <c r="L77" s="88">
        <v>140000</v>
      </c>
      <c r="M77" s="70">
        <f t="shared" si="34"/>
        <v>147140</v>
      </c>
      <c r="N77" s="38"/>
      <c r="O77" s="38"/>
      <c r="P77" s="38"/>
      <c r="Q77" s="38"/>
      <c r="R77" s="38"/>
      <c r="S77" s="38"/>
      <c r="T77" s="38"/>
      <c r="U77" s="38"/>
      <c r="V77" s="38"/>
      <c r="W77" s="38"/>
      <c r="X77" s="38"/>
      <c r="Y77" s="38"/>
      <c r="Z77" s="38"/>
      <c r="AA77" s="38"/>
      <c r="AB77" s="38"/>
      <c r="AC77" s="38"/>
      <c r="AD77" s="38"/>
      <c r="AE77" s="38"/>
      <c r="AF77" s="38"/>
      <c r="AG77" s="38"/>
      <c r="AH77" s="38"/>
      <c r="AI77" s="38"/>
      <c r="AJ77" s="38"/>
      <c r="AK77" s="38">
        <f>(100*13200)/12</f>
        <v>110000</v>
      </c>
      <c r="AL77" s="38"/>
      <c r="AM77" s="38"/>
      <c r="AN77" s="38"/>
      <c r="AO77" s="38"/>
      <c r="AP77" s="38"/>
      <c r="AQ77" s="38"/>
      <c r="AR77" s="38"/>
      <c r="AS77" s="38"/>
      <c r="AT77" s="38"/>
      <c r="AU77" s="38"/>
      <c r="AV77" s="38"/>
      <c r="AW77" s="38"/>
      <c r="AX77" s="38"/>
      <c r="AY77" s="38"/>
      <c r="AZ77" s="38"/>
      <c r="BA77" s="38">
        <v>108000</v>
      </c>
      <c r="BB77" s="38"/>
      <c r="BC77" s="38"/>
      <c r="BD77" s="38"/>
      <c r="BE77" s="38"/>
      <c r="BF77" s="38"/>
      <c r="BG77" s="38"/>
      <c r="BH77" s="38"/>
      <c r="BI77" s="38"/>
      <c r="BJ77" s="107">
        <f t="shared" si="28"/>
        <v>110000</v>
      </c>
      <c r="BK77" s="107">
        <f t="shared" si="29"/>
        <v>121713.33333333333</v>
      </c>
      <c r="BL77" s="108">
        <f t="shared" si="30"/>
        <v>22042.834058562708</v>
      </c>
      <c r="BM77" s="65">
        <f t="shared" si="31"/>
        <v>0.18110451381850284</v>
      </c>
      <c r="BN77" s="66">
        <f t="shared" si="11"/>
        <v>92436.97478991597</v>
      </c>
      <c r="BO77" s="66">
        <f t="shared" si="12"/>
        <v>17563.025210084033</v>
      </c>
      <c r="BP77" s="76">
        <f t="shared" si="16"/>
        <v>110000</v>
      </c>
      <c r="BQ77" s="76">
        <f t="shared" si="17"/>
        <v>2200000</v>
      </c>
      <c r="BR77" s="110" t="s">
        <v>902</v>
      </c>
    </row>
    <row r="78" spans="1:70" ht="101.25" customHeight="1" x14ac:dyDescent="0.2">
      <c r="A78" s="63">
        <v>74</v>
      </c>
      <c r="B78" s="126" t="s">
        <v>849</v>
      </c>
      <c r="C78" s="157" t="s">
        <v>640</v>
      </c>
      <c r="D78" s="63" t="s">
        <v>633</v>
      </c>
      <c r="E78" s="63">
        <v>20</v>
      </c>
      <c r="F78" s="38"/>
      <c r="G78" s="38"/>
      <c r="H78" s="38"/>
      <c r="I78" s="38"/>
      <c r="J78" s="88">
        <v>210000</v>
      </c>
      <c r="K78" s="70">
        <f t="shared" si="33"/>
        <v>220710</v>
      </c>
      <c r="L78" s="88">
        <v>140000</v>
      </c>
      <c r="M78" s="70">
        <f t="shared" si="34"/>
        <v>147140</v>
      </c>
      <c r="N78" s="88">
        <v>160500</v>
      </c>
      <c r="O78" s="70">
        <f t="shared" ref="O78" si="36">((N78*5.1%)+N78)</f>
        <v>168685.5</v>
      </c>
      <c r="P78" s="38"/>
      <c r="Q78" s="38"/>
      <c r="R78" s="38"/>
      <c r="S78" s="38"/>
      <c r="T78" s="38"/>
      <c r="U78" s="38"/>
      <c r="V78" s="38"/>
      <c r="W78" s="38"/>
      <c r="X78" s="38"/>
      <c r="Y78" s="38"/>
      <c r="Z78" s="38"/>
      <c r="AA78" s="38"/>
      <c r="AB78" s="38"/>
      <c r="AC78" s="38"/>
      <c r="AD78" s="38"/>
      <c r="AE78" s="38"/>
      <c r="AF78" s="38"/>
      <c r="AG78" s="38"/>
      <c r="AH78" s="38"/>
      <c r="AI78" s="38"/>
      <c r="AJ78" s="38"/>
      <c r="AK78" s="38">
        <f>(100*13200)/12</f>
        <v>110000</v>
      </c>
      <c r="AL78" s="38"/>
      <c r="AM78" s="38"/>
      <c r="AN78" s="38"/>
      <c r="AO78" s="38"/>
      <c r="AP78" s="38"/>
      <c r="AQ78" s="38"/>
      <c r="AR78" s="38"/>
      <c r="AS78" s="38"/>
      <c r="AT78" s="38"/>
      <c r="AU78" s="38"/>
      <c r="AV78" s="38"/>
      <c r="AW78" s="38"/>
      <c r="AX78" s="38"/>
      <c r="AY78" s="38"/>
      <c r="AZ78" s="38"/>
      <c r="BA78" s="38"/>
      <c r="BB78" s="38"/>
      <c r="BC78" s="38"/>
      <c r="BD78" s="38"/>
      <c r="BE78" s="38"/>
      <c r="BF78" s="38"/>
      <c r="BG78" s="38"/>
      <c r="BH78" s="38"/>
      <c r="BI78" s="38"/>
      <c r="BJ78" s="107">
        <f t="shared" si="28"/>
        <v>157912.75</v>
      </c>
      <c r="BK78" s="107">
        <f t="shared" si="29"/>
        <v>161633.875</v>
      </c>
      <c r="BL78" s="108">
        <f t="shared" si="30"/>
        <v>46245.156215498217</v>
      </c>
      <c r="BM78" s="65">
        <f t="shared" si="31"/>
        <v>0.2861105459205146</v>
      </c>
      <c r="BN78" s="66">
        <f t="shared" si="11"/>
        <v>132700</v>
      </c>
      <c r="BO78" s="66">
        <f t="shared" si="12"/>
        <v>25213</v>
      </c>
      <c r="BP78" s="109">
        <f t="shared" si="16"/>
        <v>157913</v>
      </c>
      <c r="BQ78" s="76">
        <f t="shared" si="17"/>
        <v>3158260</v>
      </c>
      <c r="BR78" s="110" t="s">
        <v>902</v>
      </c>
    </row>
    <row r="79" spans="1:70" ht="51" x14ac:dyDescent="0.2">
      <c r="A79" s="63">
        <v>75</v>
      </c>
      <c r="B79" s="63" t="s">
        <v>638</v>
      </c>
      <c r="C79" s="157" t="s">
        <v>641</v>
      </c>
      <c r="D79" s="63" t="s">
        <v>633</v>
      </c>
      <c r="E79" s="63">
        <v>25</v>
      </c>
      <c r="F79" s="38"/>
      <c r="G79" s="38"/>
      <c r="H79" s="38"/>
      <c r="I79" s="38"/>
      <c r="J79" s="38"/>
      <c r="K79" s="38"/>
      <c r="L79" s="88">
        <v>140000</v>
      </c>
      <c r="M79" s="70">
        <f t="shared" si="34"/>
        <v>147140</v>
      </c>
      <c r="N79" s="38"/>
      <c r="O79" s="38"/>
      <c r="P79" s="38"/>
      <c r="Q79" s="38"/>
      <c r="R79" s="38"/>
      <c r="S79" s="38"/>
      <c r="T79" s="38"/>
      <c r="U79" s="38"/>
      <c r="V79" s="38"/>
      <c r="W79" s="38"/>
      <c r="X79" s="38"/>
      <c r="Y79" s="38"/>
      <c r="Z79" s="38"/>
      <c r="AA79" s="38"/>
      <c r="AB79" s="38"/>
      <c r="AC79" s="38"/>
      <c r="AD79" s="38"/>
      <c r="AE79" s="38"/>
      <c r="AF79" s="38"/>
      <c r="AG79" s="38"/>
      <c r="AH79" s="38"/>
      <c r="AI79" s="38"/>
      <c r="AJ79" s="38"/>
      <c r="AK79" s="38"/>
      <c r="AL79" s="38"/>
      <c r="AM79" s="38"/>
      <c r="AN79" s="38"/>
      <c r="AO79" s="38"/>
      <c r="AP79" s="38"/>
      <c r="AQ79" s="38"/>
      <c r="AR79" s="38"/>
      <c r="AS79" s="38"/>
      <c r="AT79" s="38"/>
      <c r="AU79" s="38"/>
      <c r="AV79" s="38"/>
      <c r="AW79" s="38"/>
      <c r="AX79" s="38"/>
      <c r="AY79" s="38">
        <v>84966</v>
      </c>
      <c r="AZ79" s="38">
        <v>84966</v>
      </c>
      <c r="BA79" s="38">
        <v>108000</v>
      </c>
      <c r="BB79" s="38"/>
      <c r="BC79" s="38"/>
      <c r="BD79" s="38"/>
      <c r="BE79" s="38"/>
      <c r="BF79" s="38"/>
      <c r="BG79" s="38"/>
      <c r="BH79" s="38"/>
      <c r="BI79" s="38"/>
      <c r="BJ79" s="107">
        <f t="shared" si="28"/>
        <v>96483</v>
      </c>
      <c r="BK79" s="107">
        <f t="shared" si="29"/>
        <v>106268</v>
      </c>
      <c r="BL79" s="108">
        <f t="shared" si="30"/>
        <v>29331.840583229685</v>
      </c>
      <c r="BM79" s="65">
        <f t="shared" si="31"/>
        <v>0.2760176213274898</v>
      </c>
      <c r="BN79" s="66">
        <f t="shared" si="11"/>
        <v>81078.151260504208</v>
      </c>
      <c r="BO79" s="66">
        <f t="shared" si="12"/>
        <v>15404.848739495799</v>
      </c>
      <c r="BP79" s="109">
        <f t="shared" si="16"/>
        <v>96483</v>
      </c>
      <c r="BQ79" s="76">
        <f t="shared" si="17"/>
        <v>2412075</v>
      </c>
      <c r="BR79" s="110" t="s">
        <v>902</v>
      </c>
    </row>
    <row r="80" spans="1:70" ht="82.25" customHeight="1" x14ac:dyDescent="0.2">
      <c r="A80" s="63">
        <v>76</v>
      </c>
      <c r="B80" s="126" t="s">
        <v>850</v>
      </c>
      <c r="C80" s="157" t="s">
        <v>642</v>
      </c>
      <c r="D80" s="63" t="s">
        <v>633</v>
      </c>
      <c r="E80" s="63">
        <v>20</v>
      </c>
      <c r="F80" s="38"/>
      <c r="G80" s="38"/>
      <c r="H80" s="38"/>
      <c r="I80" s="38"/>
      <c r="J80" s="88">
        <v>210000</v>
      </c>
      <c r="K80" s="70">
        <f t="shared" ref="K80" si="37">((J80*5.1%)+J80)</f>
        <v>220710</v>
      </c>
      <c r="L80" s="88">
        <v>132500</v>
      </c>
      <c r="M80" s="70">
        <f t="shared" si="34"/>
        <v>139257.5</v>
      </c>
      <c r="N80" s="88">
        <v>154500</v>
      </c>
      <c r="O80" s="70">
        <f t="shared" ref="O80" si="38">((N80*5.1%)+N80)</f>
        <v>162379.5</v>
      </c>
      <c r="P80" s="38"/>
      <c r="Q80" s="38"/>
      <c r="R80" s="38"/>
      <c r="S80" s="38"/>
      <c r="T80" s="38"/>
      <c r="U80" s="38"/>
      <c r="V80" s="38"/>
      <c r="W80" s="38"/>
      <c r="X80" s="38"/>
      <c r="Y80" s="38"/>
      <c r="Z80" s="38"/>
      <c r="AA80" s="38"/>
      <c r="AB80" s="38"/>
      <c r="AC80" s="38"/>
      <c r="AD80" s="38"/>
      <c r="AE80" s="38"/>
      <c r="AF80" s="38"/>
      <c r="AG80" s="38"/>
      <c r="AH80" s="38"/>
      <c r="AI80" s="38"/>
      <c r="AJ80" s="38"/>
      <c r="AK80" s="38"/>
      <c r="AL80" s="38"/>
      <c r="AM80" s="38"/>
      <c r="AN80" s="38"/>
      <c r="AO80" s="38"/>
      <c r="AP80" s="38"/>
      <c r="AQ80" s="38"/>
      <c r="AR80" s="38"/>
      <c r="AS80" s="38"/>
      <c r="AT80" s="38"/>
      <c r="AU80" s="38"/>
      <c r="AV80" s="38"/>
      <c r="AW80" s="38"/>
      <c r="AX80" s="38"/>
      <c r="AY80" s="38"/>
      <c r="AZ80" s="38"/>
      <c r="BA80" s="38"/>
      <c r="BB80" s="38"/>
      <c r="BC80" s="38"/>
      <c r="BD80" s="38"/>
      <c r="BE80" s="38"/>
      <c r="BF80" s="38"/>
      <c r="BG80" s="38"/>
      <c r="BH80" s="38"/>
      <c r="BI80" s="38"/>
      <c r="BJ80" s="107">
        <f t="shared" si="28"/>
        <v>162379.5</v>
      </c>
      <c r="BK80" s="107">
        <f t="shared" si="29"/>
        <v>174115.66666666666</v>
      </c>
      <c r="BL80" s="108">
        <f t="shared" si="30"/>
        <v>41975.357593275316</v>
      </c>
      <c r="BM80" s="65">
        <f t="shared" si="31"/>
        <v>0.24107743086458994</v>
      </c>
      <c r="BN80" s="66">
        <f t="shared" si="11"/>
        <v>136453.78151260506</v>
      </c>
      <c r="BO80" s="66">
        <f t="shared" si="12"/>
        <v>25926.218487394959</v>
      </c>
      <c r="BP80" s="109">
        <f t="shared" si="16"/>
        <v>162380</v>
      </c>
      <c r="BQ80" s="76">
        <f t="shared" si="17"/>
        <v>3247600</v>
      </c>
      <c r="BR80" s="110" t="s">
        <v>902</v>
      </c>
    </row>
    <row r="81" spans="1:70" ht="102" x14ac:dyDescent="0.2">
      <c r="A81" s="63">
        <v>77</v>
      </c>
      <c r="B81" s="63" t="s">
        <v>638</v>
      </c>
      <c r="C81" s="157" t="s">
        <v>643</v>
      </c>
      <c r="D81" s="63" t="s">
        <v>633</v>
      </c>
      <c r="E81" s="63">
        <v>40</v>
      </c>
      <c r="F81" s="38"/>
      <c r="G81" s="38"/>
      <c r="H81" s="38"/>
      <c r="I81" s="38"/>
      <c r="J81" s="38"/>
      <c r="K81" s="38"/>
      <c r="L81" s="38"/>
      <c r="M81" s="38"/>
      <c r="N81" s="38"/>
      <c r="O81" s="38"/>
      <c r="P81" s="38"/>
      <c r="Q81" s="38"/>
      <c r="R81" s="38"/>
      <c r="S81" s="38"/>
      <c r="T81" s="38"/>
      <c r="U81" s="38"/>
      <c r="V81" s="38"/>
      <c r="W81" s="38"/>
      <c r="X81" s="38"/>
      <c r="Y81" s="38"/>
      <c r="Z81" s="38"/>
      <c r="AA81" s="38"/>
      <c r="AB81" s="38"/>
      <c r="AC81" s="38"/>
      <c r="AD81" s="38"/>
      <c r="AE81" s="38"/>
      <c r="AF81" s="38"/>
      <c r="AG81" s="38"/>
      <c r="AH81" s="38"/>
      <c r="AI81" s="38"/>
      <c r="AJ81" s="38"/>
      <c r="AK81" s="87"/>
      <c r="AL81" s="87"/>
      <c r="AM81" s="87"/>
      <c r="AN81" s="87"/>
      <c r="AO81" s="87"/>
      <c r="AP81" s="87"/>
      <c r="AQ81" s="87"/>
      <c r="AR81" s="87"/>
      <c r="AS81" s="87"/>
      <c r="AT81" s="87"/>
      <c r="AU81" s="87"/>
      <c r="AV81" s="87"/>
      <c r="AW81" s="87"/>
      <c r="AX81" s="87"/>
      <c r="AY81" s="87">
        <v>64855</v>
      </c>
      <c r="AZ81" s="87">
        <v>63724.5</v>
      </c>
      <c r="BA81" s="38">
        <v>90000</v>
      </c>
      <c r="BB81" s="38">
        <v>49500</v>
      </c>
      <c r="BC81" s="38"/>
      <c r="BD81" s="38"/>
      <c r="BE81" s="38"/>
      <c r="BF81" s="38"/>
      <c r="BG81" s="38"/>
      <c r="BH81" s="38"/>
      <c r="BI81" s="38"/>
      <c r="BJ81" s="107">
        <f t="shared" si="28"/>
        <v>64289.75</v>
      </c>
      <c r="BK81" s="107">
        <f t="shared" si="29"/>
        <v>67019.875</v>
      </c>
      <c r="BL81" s="108">
        <f t="shared" si="30"/>
        <v>16838.233727517265</v>
      </c>
      <c r="BM81" s="65">
        <f t="shared" si="31"/>
        <v>0.25124239231298573</v>
      </c>
      <c r="BN81" s="66">
        <f t="shared" si="11"/>
        <v>54025.210084033613</v>
      </c>
      <c r="BO81" s="66">
        <f t="shared" si="12"/>
        <v>10264.789915966387</v>
      </c>
      <c r="BP81" s="109">
        <f t="shared" si="16"/>
        <v>64290</v>
      </c>
      <c r="BQ81" s="76">
        <f t="shared" si="17"/>
        <v>2571600</v>
      </c>
      <c r="BR81" s="110" t="s">
        <v>902</v>
      </c>
    </row>
    <row r="82" spans="1:70" ht="68" x14ac:dyDescent="0.2">
      <c r="A82" s="63">
        <v>78</v>
      </c>
      <c r="B82" s="126" t="s">
        <v>644</v>
      </c>
      <c r="C82" s="157" t="s">
        <v>645</v>
      </c>
      <c r="D82" s="63" t="s">
        <v>646</v>
      </c>
      <c r="E82" s="63">
        <v>100</v>
      </c>
      <c r="F82" s="38"/>
      <c r="G82" s="38"/>
      <c r="H82" s="38"/>
      <c r="I82" s="38"/>
      <c r="J82" s="38"/>
      <c r="K82" s="38"/>
      <c r="L82" s="38"/>
      <c r="M82" s="38"/>
      <c r="N82" s="38"/>
      <c r="O82" s="38"/>
      <c r="P82" s="38"/>
      <c r="Q82" s="38"/>
      <c r="R82" s="38"/>
      <c r="S82" s="38"/>
      <c r="T82" s="38"/>
      <c r="U82" s="38"/>
      <c r="V82" s="38"/>
      <c r="W82" s="38"/>
      <c r="X82" s="38"/>
      <c r="Y82" s="38"/>
      <c r="Z82" s="38"/>
      <c r="AA82" s="38"/>
      <c r="AB82" s="38"/>
      <c r="AC82" s="38"/>
      <c r="AD82" s="38"/>
      <c r="AE82" s="38"/>
      <c r="AF82" s="38"/>
      <c r="AG82" s="38"/>
      <c r="AH82" s="38"/>
      <c r="AI82" s="38"/>
      <c r="AJ82" s="38">
        <v>151200</v>
      </c>
      <c r="AK82" s="38">
        <f>150500</f>
        <v>150500</v>
      </c>
      <c r="AL82" s="38"/>
      <c r="AM82" s="38"/>
      <c r="AN82" s="38"/>
      <c r="AO82" s="38"/>
      <c r="AP82" s="38"/>
      <c r="AQ82" s="38"/>
      <c r="AR82" s="38"/>
      <c r="AS82" s="38"/>
      <c r="AT82" s="38"/>
      <c r="AU82" s="38"/>
      <c r="AV82" s="38"/>
      <c r="AW82" s="38"/>
      <c r="AX82" s="38"/>
      <c r="AY82" s="38">
        <v>121380</v>
      </c>
      <c r="AZ82" s="38">
        <v>120368.5</v>
      </c>
      <c r="BA82" s="38"/>
      <c r="BB82" s="38"/>
      <c r="BC82" s="38"/>
      <c r="BD82" s="38"/>
      <c r="BE82" s="38"/>
      <c r="BF82" s="38"/>
      <c r="BG82" s="38"/>
      <c r="BH82" s="38"/>
      <c r="BI82" s="38"/>
      <c r="BJ82" s="107">
        <f t="shared" si="28"/>
        <v>135940</v>
      </c>
      <c r="BK82" s="107">
        <f t="shared" si="29"/>
        <v>135862.125</v>
      </c>
      <c r="BL82" s="108">
        <f t="shared" si="30"/>
        <v>17313.791749041186</v>
      </c>
      <c r="BM82" s="65">
        <f t="shared" si="31"/>
        <v>0.12743648569489976</v>
      </c>
      <c r="BN82" s="66">
        <f t="shared" si="11"/>
        <v>114170.58823529413</v>
      </c>
      <c r="BO82" s="66">
        <f t="shared" si="12"/>
        <v>21692.411764705885</v>
      </c>
      <c r="BP82" s="109">
        <f t="shared" si="16"/>
        <v>135863</v>
      </c>
      <c r="BQ82" s="76">
        <f t="shared" si="17"/>
        <v>13586300</v>
      </c>
      <c r="BR82" s="110" t="s">
        <v>903</v>
      </c>
    </row>
    <row r="83" spans="1:70" ht="117.5" customHeight="1" x14ac:dyDescent="0.2">
      <c r="A83" s="63">
        <v>79</v>
      </c>
      <c r="B83" s="126" t="s">
        <v>644</v>
      </c>
      <c r="C83" s="157" t="s">
        <v>647</v>
      </c>
      <c r="D83" s="63" t="s">
        <v>646</v>
      </c>
      <c r="E83" s="63">
        <v>50</v>
      </c>
      <c r="F83" s="38"/>
      <c r="G83" s="38"/>
      <c r="H83" s="38"/>
      <c r="I83" s="38"/>
      <c r="J83" s="38"/>
      <c r="K83" s="38"/>
      <c r="L83" s="38"/>
      <c r="M83" s="38"/>
      <c r="N83" s="38"/>
      <c r="O83" s="38"/>
      <c r="P83" s="38"/>
      <c r="Q83" s="38"/>
      <c r="R83" s="38"/>
      <c r="S83" s="38"/>
      <c r="T83" s="38"/>
      <c r="U83" s="38"/>
      <c r="V83" s="38"/>
      <c r="W83" s="38"/>
      <c r="X83" s="38"/>
      <c r="Y83" s="38"/>
      <c r="Z83" s="38"/>
      <c r="AA83" s="38"/>
      <c r="AB83" s="38"/>
      <c r="AC83" s="38"/>
      <c r="AD83" s="38"/>
      <c r="AE83" s="38"/>
      <c r="AF83" s="38"/>
      <c r="AG83" s="38"/>
      <c r="AH83" s="38"/>
      <c r="AI83" s="38"/>
      <c r="AJ83" s="38">
        <v>151200</v>
      </c>
      <c r="AK83" s="38">
        <f>150500</f>
        <v>150500</v>
      </c>
      <c r="AL83" s="38"/>
      <c r="AM83" s="38"/>
      <c r="AN83" s="38"/>
      <c r="AO83" s="38"/>
      <c r="AP83" s="38"/>
      <c r="AQ83" s="38"/>
      <c r="AR83" s="38"/>
      <c r="AS83" s="38"/>
      <c r="AT83" s="38"/>
      <c r="AU83" s="38"/>
      <c r="AV83" s="38"/>
      <c r="AW83" s="38"/>
      <c r="AX83" s="38"/>
      <c r="AY83" s="38">
        <v>117810</v>
      </c>
      <c r="AZ83" s="38">
        <v>116120.2</v>
      </c>
      <c r="BA83" s="38"/>
      <c r="BB83" s="38"/>
      <c r="BC83" s="38"/>
      <c r="BD83" s="38"/>
      <c r="BE83" s="38"/>
      <c r="BF83" s="38"/>
      <c r="BG83" s="38"/>
      <c r="BH83" s="38"/>
      <c r="BI83" s="38"/>
      <c r="BJ83" s="107">
        <f t="shared" si="28"/>
        <v>134155</v>
      </c>
      <c r="BK83" s="107">
        <f t="shared" si="29"/>
        <v>133907.54999999999</v>
      </c>
      <c r="BL83" s="108">
        <f t="shared" si="30"/>
        <v>19577.701261298946</v>
      </c>
      <c r="BM83" s="65">
        <f t="shared" si="31"/>
        <v>0.14620311745901518</v>
      </c>
      <c r="BN83" s="66">
        <f t="shared" si="11"/>
        <v>112527.73109243698</v>
      </c>
      <c r="BO83" s="66">
        <f t="shared" si="12"/>
        <v>21380.268907563026</v>
      </c>
      <c r="BP83" s="109">
        <f t="shared" si="16"/>
        <v>133908</v>
      </c>
      <c r="BQ83" s="76">
        <f t="shared" si="17"/>
        <v>6695400</v>
      </c>
      <c r="BR83" s="110" t="s">
        <v>903</v>
      </c>
    </row>
    <row r="84" spans="1:70" ht="135.5" customHeight="1" x14ac:dyDescent="0.2">
      <c r="A84" s="63">
        <v>80</v>
      </c>
      <c r="B84" s="126" t="s">
        <v>644</v>
      </c>
      <c r="C84" s="157" t="s">
        <v>648</v>
      </c>
      <c r="D84" s="63" t="s">
        <v>646</v>
      </c>
      <c r="E84" s="63">
        <v>20</v>
      </c>
      <c r="F84" s="38"/>
      <c r="G84" s="38"/>
      <c r="H84" s="38"/>
      <c r="I84" s="38"/>
      <c r="J84" s="38"/>
      <c r="K84" s="38"/>
      <c r="L84" s="38"/>
      <c r="M84" s="38"/>
      <c r="N84" s="38"/>
      <c r="O84" s="38"/>
      <c r="P84" s="38"/>
      <c r="Q84" s="38"/>
      <c r="R84" s="38"/>
      <c r="S84" s="38"/>
      <c r="T84" s="38"/>
      <c r="U84" s="38"/>
      <c r="V84" s="38"/>
      <c r="W84" s="38"/>
      <c r="X84" s="38"/>
      <c r="Y84" s="38"/>
      <c r="Z84" s="38"/>
      <c r="AA84" s="38"/>
      <c r="AB84" s="38"/>
      <c r="AC84" s="38"/>
      <c r="AD84" s="38"/>
      <c r="AE84" s="38"/>
      <c r="AF84" s="38"/>
      <c r="AG84" s="38"/>
      <c r="AH84" s="38"/>
      <c r="AI84" s="38"/>
      <c r="AJ84" s="38"/>
      <c r="AK84" s="38"/>
      <c r="AL84" s="38"/>
      <c r="AM84" s="38"/>
      <c r="AN84" s="38"/>
      <c r="AO84" s="38"/>
      <c r="AP84" s="38"/>
      <c r="AQ84" s="38"/>
      <c r="AR84" s="38"/>
      <c r="AS84" s="38"/>
      <c r="AT84" s="38"/>
      <c r="AU84" s="38"/>
      <c r="AV84" s="38"/>
      <c r="AW84" s="38"/>
      <c r="AX84" s="38"/>
      <c r="AY84" s="38">
        <v>114240</v>
      </c>
      <c r="AZ84" s="38">
        <v>113288</v>
      </c>
      <c r="BA84" s="38"/>
      <c r="BB84" s="38"/>
      <c r="BC84" s="38"/>
      <c r="BD84" s="38"/>
      <c r="BE84" s="38"/>
      <c r="BF84" s="38"/>
      <c r="BG84" s="38"/>
      <c r="BH84" s="38"/>
      <c r="BI84" s="38"/>
      <c r="BJ84" s="107">
        <f t="shared" si="28"/>
        <v>113764</v>
      </c>
      <c r="BK84" s="107">
        <f t="shared" si="29"/>
        <v>113764</v>
      </c>
      <c r="BL84" s="108">
        <f t="shared" si="30"/>
        <v>673.16565568959322</v>
      </c>
      <c r="BM84" s="65">
        <f t="shared" si="31"/>
        <v>5.9172115580464228E-3</v>
      </c>
      <c r="BN84" s="66">
        <f t="shared" si="11"/>
        <v>95600</v>
      </c>
      <c r="BO84" s="66">
        <f t="shared" si="12"/>
        <v>18164</v>
      </c>
      <c r="BP84" s="109">
        <f t="shared" si="16"/>
        <v>113764</v>
      </c>
      <c r="BQ84" s="76">
        <f t="shared" si="17"/>
        <v>2275280</v>
      </c>
      <c r="BR84" s="110" t="s">
        <v>903</v>
      </c>
    </row>
    <row r="85" spans="1:70" ht="119" x14ac:dyDescent="0.2">
      <c r="A85" s="63">
        <v>81</v>
      </c>
      <c r="B85" s="126" t="s">
        <v>649</v>
      </c>
      <c r="C85" s="157" t="s">
        <v>1164</v>
      </c>
      <c r="D85" s="63" t="s">
        <v>650</v>
      </c>
      <c r="E85" s="63">
        <v>20</v>
      </c>
      <c r="F85" s="38"/>
      <c r="G85" s="38"/>
      <c r="H85" s="38"/>
      <c r="I85" s="38"/>
      <c r="J85" s="38"/>
      <c r="K85" s="38"/>
      <c r="L85" s="38"/>
      <c r="M85" s="38"/>
      <c r="N85" s="38"/>
      <c r="O85" s="38"/>
      <c r="P85" s="38"/>
      <c r="Q85" s="38"/>
      <c r="R85" s="38"/>
      <c r="S85" s="38"/>
      <c r="T85" s="38"/>
      <c r="U85" s="38"/>
      <c r="V85" s="38"/>
      <c r="W85" s="38"/>
      <c r="X85" s="38"/>
      <c r="Y85" s="38"/>
      <c r="Z85" s="38"/>
      <c r="AA85" s="38"/>
      <c r="AB85" s="38"/>
      <c r="AC85" s="38"/>
      <c r="AD85" s="38"/>
      <c r="AE85" s="38"/>
      <c r="AF85" s="38"/>
      <c r="AG85" s="38"/>
      <c r="AH85" s="38"/>
      <c r="AI85" s="38"/>
      <c r="AJ85" s="38"/>
      <c r="AK85" s="38">
        <v>129500</v>
      </c>
      <c r="AL85" s="38"/>
      <c r="AM85" s="38">
        <v>132707</v>
      </c>
      <c r="AN85" s="38"/>
      <c r="AO85" s="38"/>
      <c r="AP85" s="38"/>
      <c r="AQ85" s="38"/>
      <c r="AR85" s="38"/>
      <c r="AS85" s="38"/>
      <c r="AT85" s="38"/>
      <c r="AU85" s="38"/>
      <c r="AV85" s="38"/>
      <c r="AW85" s="38"/>
      <c r="AX85" s="38"/>
      <c r="AY85" s="38"/>
      <c r="AZ85" s="38"/>
      <c r="BA85" s="38"/>
      <c r="BB85" s="38"/>
      <c r="BC85" s="38"/>
      <c r="BD85" s="38"/>
      <c r="BE85" s="38"/>
      <c r="BF85" s="38"/>
      <c r="BG85" s="38"/>
      <c r="BH85" s="38"/>
      <c r="BI85" s="38"/>
      <c r="BJ85" s="107">
        <f t="shared" si="28"/>
        <v>131103.5</v>
      </c>
      <c r="BK85" s="107">
        <f t="shared" si="29"/>
        <v>131103.5</v>
      </c>
      <c r="BL85" s="108">
        <f t="shared" si="30"/>
        <v>2267.6914472652579</v>
      </c>
      <c r="BM85" s="65">
        <f>BL85/BK85</f>
        <v>1.7296955819373686E-2</v>
      </c>
      <c r="BN85" s="66">
        <f t="shared" si="11"/>
        <v>110171.42857142858</v>
      </c>
      <c r="BO85" s="66">
        <f t="shared" si="12"/>
        <v>20932.571428571431</v>
      </c>
      <c r="BP85" s="109">
        <f t="shared" si="16"/>
        <v>131104</v>
      </c>
      <c r="BQ85" s="76">
        <f t="shared" ref="BQ85:BQ116" si="39">BP85*E85</f>
        <v>2622080</v>
      </c>
      <c r="BR85" s="110" t="s">
        <v>903</v>
      </c>
    </row>
    <row r="86" spans="1:70" ht="119" x14ac:dyDescent="0.2">
      <c r="A86" s="63">
        <v>82</v>
      </c>
      <c r="B86" s="63" t="s">
        <v>651</v>
      </c>
      <c r="C86" s="157" t="s">
        <v>1142</v>
      </c>
      <c r="D86" s="63" t="s">
        <v>652</v>
      </c>
      <c r="E86" s="63">
        <v>20</v>
      </c>
      <c r="F86" s="38"/>
      <c r="G86" s="38"/>
      <c r="H86" s="38"/>
      <c r="I86" s="38"/>
      <c r="J86" s="38"/>
      <c r="K86" s="38"/>
      <c r="L86" s="38"/>
      <c r="M86" s="38"/>
      <c r="N86" s="38"/>
      <c r="O86" s="38"/>
      <c r="P86" s="38"/>
      <c r="Q86" s="38"/>
      <c r="R86" s="38"/>
      <c r="S86" s="38"/>
      <c r="T86" s="38"/>
      <c r="U86" s="38"/>
      <c r="V86" s="38"/>
      <c r="W86" s="38"/>
      <c r="X86" s="38"/>
      <c r="Y86" s="38"/>
      <c r="Z86" s="38"/>
      <c r="AA86" s="38"/>
      <c r="AB86" s="38"/>
      <c r="AC86" s="38"/>
      <c r="AD86" s="38"/>
      <c r="AE86" s="38"/>
      <c r="AF86" s="38"/>
      <c r="AG86" s="38"/>
      <c r="AH86" s="38"/>
      <c r="AI86" s="38"/>
      <c r="AJ86" s="38"/>
      <c r="AK86" s="38">
        <f>60252.1*1.19</f>
        <v>71699.998999999996</v>
      </c>
      <c r="AL86" s="38"/>
      <c r="AM86" s="38"/>
      <c r="AN86" s="38"/>
      <c r="AO86" s="38"/>
      <c r="AP86" s="38"/>
      <c r="AQ86" s="38"/>
      <c r="AR86" s="38"/>
      <c r="AS86" s="38"/>
      <c r="AT86" s="38"/>
      <c r="AU86" s="38"/>
      <c r="AV86" s="38"/>
      <c r="AW86" s="38"/>
      <c r="AX86" s="38"/>
      <c r="AY86" s="38"/>
      <c r="AZ86" s="38"/>
      <c r="BA86" s="38">
        <v>93600</v>
      </c>
      <c r="BB86" s="38"/>
      <c r="BC86" s="38"/>
      <c r="BD86" s="38"/>
      <c r="BE86" s="38"/>
      <c r="BF86" s="38"/>
      <c r="BG86" s="38"/>
      <c r="BH86" s="38"/>
      <c r="BI86" s="38"/>
      <c r="BJ86" s="107">
        <f t="shared" si="28"/>
        <v>82649.999500000005</v>
      </c>
      <c r="BK86" s="107">
        <f t="shared" si="29"/>
        <v>82649.999500000005</v>
      </c>
      <c r="BL86" s="108">
        <f t="shared" si="30"/>
        <v>15485.639215092082</v>
      </c>
      <c r="BM86" s="65">
        <f>BL86/BK86</f>
        <v>0.18736405697246353</v>
      </c>
      <c r="BN86" s="66">
        <f t="shared" si="11"/>
        <v>69453.781512605041</v>
      </c>
      <c r="BO86" s="66">
        <f t="shared" si="12"/>
        <v>13196.218487394957</v>
      </c>
      <c r="BP86" s="109">
        <f t="shared" si="16"/>
        <v>82650</v>
      </c>
      <c r="BQ86" s="76">
        <f t="shared" si="39"/>
        <v>1653000</v>
      </c>
      <c r="BR86" s="110" t="s">
        <v>902</v>
      </c>
    </row>
    <row r="87" spans="1:70" ht="119" x14ac:dyDescent="0.2">
      <c r="A87" s="63">
        <v>83</v>
      </c>
      <c r="B87" s="63" t="s">
        <v>653</v>
      </c>
      <c r="C87" s="157" t="s">
        <v>1066</v>
      </c>
      <c r="D87" s="63" t="s">
        <v>162</v>
      </c>
      <c r="E87" s="63">
        <v>10</v>
      </c>
      <c r="F87" s="38"/>
      <c r="G87" s="38"/>
      <c r="H87" s="38"/>
      <c r="I87" s="38"/>
      <c r="J87" s="38"/>
      <c r="K87" s="38"/>
      <c r="L87" s="38"/>
      <c r="M87" s="38"/>
      <c r="N87" s="38"/>
      <c r="O87" s="38"/>
      <c r="P87" s="38"/>
      <c r="Q87" s="38"/>
      <c r="R87" s="38"/>
      <c r="S87" s="38"/>
      <c r="T87" s="38"/>
      <c r="U87" s="38"/>
      <c r="V87" s="38"/>
      <c r="W87" s="38"/>
      <c r="X87" s="38"/>
      <c r="Y87" s="38"/>
      <c r="Z87" s="38"/>
      <c r="AA87" s="38"/>
      <c r="AB87" s="38"/>
      <c r="AC87" s="38"/>
      <c r="AD87" s="38"/>
      <c r="AE87" s="38"/>
      <c r="AF87" s="38"/>
      <c r="AG87" s="38"/>
      <c r="AH87" s="38"/>
      <c r="AI87" s="38"/>
      <c r="AJ87" s="38"/>
      <c r="AK87" s="38"/>
      <c r="AL87" s="38"/>
      <c r="AM87" s="38"/>
      <c r="AN87" s="38"/>
      <c r="AO87" s="38"/>
      <c r="AP87" s="38"/>
      <c r="AQ87" s="38"/>
      <c r="AR87" s="38"/>
      <c r="AS87" s="38"/>
      <c r="AT87" s="38"/>
      <c r="AU87" s="38"/>
      <c r="AV87" s="38"/>
      <c r="AW87" s="38"/>
      <c r="AX87" s="38"/>
      <c r="AY87" s="38">
        <v>78540</v>
      </c>
      <c r="AZ87" s="38">
        <v>77885.5</v>
      </c>
      <c r="BA87" s="38">
        <v>117000</v>
      </c>
      <c r="BB87" s="38"/>
      <c r="BC87" s="38"/>
      <c r="BD87" s="38"/>
      <c r="BE87" s="38"/>
      <c r="BF87" s="38"/>
      <c r="BG87" s="38"/>
      <c r="BH87" s="38"/>
      <c r="BI87" s="38"/>
      <c r="BJ87" s="107">
        <f t="shared" si="28"/>
        <v>78540</v>
      </c>
      <c r="BK87" s="107">
        <f t="shared" si="29"/>
        <v>91141.833333333328</v>
      </c>
      <c r="BL87" s="108">
        <f t="shared" si="30"/>
        <v>22396.220218673818</v>
      </c>
      <c r="BM87" s="65">
        <f t="shared" si="31"/>
        <v>0.24572931440564783</v>
      </c>
      <c r="BN87" s="66">
        <f t="shared" si="11"/>
        <v>66000</v>
      </c>
      <c r="BO87" s="66">
        <f t="shared" si="12"/>
        <v>12540</v>
      </c>
      <c r="BP87" s="109">
        <f t="shared" si="16"/>
        <v>78540</v>
      </c>
      <c r="BQ87" s="76">
        <f t="shared" si="39"/>
        <v>785400</v>
      </c>
      <c r="BR87" s="110" t="s">
        <v>902</v>
      </c>
    </row>
    <row r="88" spans="1:70" ht="68" x14ac:dyDescent="0.2">
      <c r="A88" s="63">
        <v>84</v>
      </c>
      <c r="B88" s="63" t="s">
        <v>654</v>
      </c>
      <c r="C88" s="157" t="s">
        <v>655</v>
      </c>
      <c r="D88" s="63" t="s">
        <v>162</v>
      </c>
      <c r="E88" s="63">
        <v>10</v>
      </c>
      <c r="F88" s="38"/>
      <c r="G88" s="38"/>
      <c r="H88" s="38"/>
      <c r="I88" s="38"/>
      <c r="J88" s="38"/>
      <c r="K88" s="38"/>
      <c r="L88" s="38"/>
      <c r="M88" s="38"/>
      <c r="N88" s="38"/>
      <c r="O88" s="38"/>
      <c r="P88" s="38"/>
      <c r="Q88" s="38"/>
      <c r="R88" s="38"/>
      <c r="S88" s="38"/>
      <c r="T88" s="38"/>
      <c r="U88" s="38"/>
      <c r="V88" s="38"/>
      <c r="W88" s="38"/>
      <c r="X88" s="38"/>
      <c r="Y88" s="38"/>
      <c r="Z88" s="38"/>
      <c r="AA88" s="38"/>
      <c r="AB88" s="38"/>
      <c r="AC88" s="38"/>
      <c r="AD88" s="38"/>
      <c r="AE88" s="38"/>
      <c r="AF88" s="38"/>
      <c r="AG88" s="38"/>
      <c r="AH88" s="38"/>
      <c r="AI88" s="38"/>
      <c r="AJ88" s="38"/>
      <c r="AK88" s="38"/>
      <c r="AL88" s="38"/>
      <c r="AM88" s="38"/>
      <c r="AN88" s="38"/>
      <c r="AO88" s="38"/>
      <c r="AP88" s="38"/>
      <c r="AQ88" s="38"/>
      <c r="AR88" s="38"/>
      <c r="AS88" s="38"/>
      <c r="AT88" s="38"/>
      <c r="AU88" s="38"/>
      <c r="AV88" s="38"/>
      <c r="AW88" s="38"/>
      <c r="AX88" s="38"/>
      <c r="AY88" s="38">
        <v>92820</v>
      </c>
      <c r="AZ88" s="38">
        <v>92046.5</v>
      </c>
      <c r="BA88" s="38">
        <v>108000</v>
      </c>
      <c r="BB88" s="38"/>
      <c r="BC88" s="38"/>
      <c r="BD88" s="38"/>
      <c r="BE88" s="38"/>
      <c r="BF88" s="38"/>
      <c r="BG88" s="38"/>
      <c r="BH88" s="38"/>
      <c r="BI88" s="38"/>
      <c r="BJ88" s="107">
        <f t="shared" si="28"/>
        <v>92820</v>
      </c>
      <c r="BK88" s="107">
        <f t="shared" si="29"/>
        <v>97622.166666666672</v>
      </c>
      <c r="BL88" s="108">
        <f t="shared" si="30"/>
        <v>8995.7847952990378</v>
      </c>
      <c r="BM88" s="65">
        <f t="shared" si="31"/>
        <v>9.2148997532654334E-2</v>
      </c>
      <c r="BN88" s="66">
        <f t="shared" si="11"/>
        <v>82036.134453781517</v>
      </c>
      <c r="BO88" s="66">
        <f t="shared" si="12"/>
        <v>15586.865546218489</v>
      </c>
      <c r="BP88" s="109">
        <f t="shared" si="16"/>
        <v>97623</v>
      </c>
      <c r="BQ88" s="76">
        <f t="shared" si="39"/>
        <v>976230</v>
      </c>
      <c r="BR88" s="110" t="s">
        <v>903</v>
      </c>
    </row>
    <row r="89" spans="1:70" ht="187" x14ac:dyDescent="0.2">
      <c r="A89" s="63">
        <v>85</v>
      </c>
      <c r="B89" s="126" t="s">
        <v>851</v>
      </c>
      <c r="C89" s="157" t="s">
        <v>657</v>
      </c>
      <c r="D89" s="63" t="s">
        <v>162</v>
      </c>
      <c r="E89" s="63">
        <v>20</v>
      </c>
      <c r="F89" s="38"/>
      <c r="G89" s="38"/>
      <c r="H89" s="38"/>
      <c r="I89" s="38"/>
      <c r="J89" s="88">
        <v>64260</v>
      </c>
      <c r="K89" s="70">
        <f t="shared" ref="K89" si="40">((J89*5.1%)+J89)</f>
        <v>67537.259999999995</v>
      </c>
      <c r="L89" s="88">
        <v>42500</v>
      </c>
      <c r="M89" s="70">
        <f t="shared" ref="M89:M93" si="41">((L89*5.1%)+L89)</f>
        <v>44667.5</v>
      </c>
      <c r="N89" s="88">
        <v>43200</v>
      </c>
      <c r="O89" s="70">
        <f t="shared" ref="O89:O93" si="42">((N89*5.1%)+N89)</f>
        <v>45403.199999999997</v>
      </c>
      <c r="P89" s="38"/>
      <c r="Q89" s="38"/>
      <c r="R89" s="38"/>
      <c r="S89" s="38"/>
      <c r="T89" s="38"/>
      <c r="U89" s="38"/>
      <c r="V89" s="38"/>
      <c r="W89" s="38"/>
      <c r="X89" s="38"/>
      <c r="Y89" s="38"/>
      <c r="Z89" s="38"/>
      <c r="AA89" s="38"/>
      <c r="AB89" s="38"/>
      <c r="AC89" s="38"/>
      <c r="AD89" s="38"/>
      <c r="AE89" s="38"/>
      <c r="AF89" s="38"/>
      <c r="AG89" s="38"/>
      <c r="AH89" s="38"/>
      <c r="AI89" s="38"/>
      <c r="AJ89" s="38"/>
      <c r="AK89" s="38"/>
      <c r="AL89" s="38"/>
      <c r="AM89" s="38">
        <f>(504.2*100)</f>
        <v>50420</v>
      </c>
      <c r="AN89" s="38"/>
      <c r="AO89" s="38"/>
      <c r="AP89" s="38"/>
      <c r="AQ89" s="38"/>
      <c r="AR89" s="38"/>
      <c r="AS89" s="38"/>
      <c r="AT89" s="38"/>
      <c r="AU89" s="38"/>
      <c r="AV89" s="38"/>
      <c r="AW89" s="38"/>
      <c r="AX89" s="38"/>
      <c r="AY89" s="38">
        <v>39865</v>
      </c>
      <c r="AZ89" s="38">
        <v>39650.799999999996</v>
      </c>
      <c r="BA89" s="38">
        <v>44100</v>
      </c>
      <c r="BB89" s="38"/>
      <c r="BC89" s="38"/>
      <c r="BD89" s="38"/>
      <c r="BE89" s="38"/>
      <c r="BF89" s="38"/>
      <c r="BG89" s="38"/>
      <c r="BH89" s="38"/>
      <c r="BI89" s="38"/>
      <c r="BJ89" s="107">
        <f t="shared" si="28"/>
        <v>44667.5</v>
      </c>
      <c r="BK89" s="107">
        <f t="shared" si="29"/>
        <v>47377.68</v>
      </c>
      <c r="BL89" s="108">
        <f t="shared" si="30"/>
        <v>9607.2563301634927</v>
      </c>
      <c r="BM89" s="65">
        <f t="shared" si="31"/>
        <v>0.20278021908551649</v>
      </c>
      <c r="BN89" s="66">
        <f t="shared" si="11"/>
        <v>37536.134453781517</v>
      </c>
      <c r="BO89" s="66">
        <f t="shared" si="12"/>
        <v>7131.8655462184879</v>
      </c>
      <c r="BP89" s="109">
        <f t="shared" si="16"/>
        <v>44668</v>
      </c>
      <c r="BQ89" s="76">
        <f t="shared" si="39"/>
        <v>893360</v>
      </c>
      <c r="BR89" s="110" t="s">
        <v>902</v>
      </c>
    </row>
    <row r="90" spans="1:70" ht="204" x14ac:dyDescent="0.2">
      <c r="A90" s="63">
        <v>86</v>
      </c>
      <c r="B90" s="63" t="s">
        <v>855</v>
      </c>
      <c r="C90" s="157" t="s">
        <v>659</v>
      </c>
      <c r="D90" s="63" t="s">
        <v>658</v>
      </c>
      <c r="E90" s="63">
        <v>10</v>
      </c>
      <c r="F90" s="38"/>
      <c r="G90" s="38"/>
      <c r="H90" s="38"/>
      <c r="I90" s="38"/>
      <c r="J90" s="38"/>
      <c r="K90" s="38"/>
      <c r="L90" s="38">
        <v>48500</v>
      </c>
      <c r="M90" s="70">
        <f t="shared" si="41"/>
        <v>50973.5</v>
      </c>
      <c r="N90" s="38">
        <v>45000</v>
      </c>
      <c r="O90" s="70">
        <f t="shared" si="42"/>
        <v>47295</v>
      </c>
      <c r="P90" s="38"/>
      <c r="Q90" s="38"/>
      <c r="R90" s="38"/>
      <c r="S90" s="38"/>
      <c r="T90" s="38"/>
      <c r="U90" s="38"/>
      <c r="V90" s="38"/>
      <c r="W90" s="38"/>
      <c r="X90" s="38"/>
      <c r="Y90" s="38"/>
      <c r="Z90" s="38"/>
      <c r="AA90" s="38"/>
      <c r="AB90" s="38"/>
      <c r="AC90" s="38"/>
      <c r="AD90" s="38"/>
      <c r="AE90" s="38"/>
      <c r="AF90" s="38"/>
      <c r="AG90" s="38"/>
      <c r="AH90" s="38"/>
      <c r="AI90" s="38"/>
      <c r="AJ90" s="38"/>
      <c r="AK90" s="38"/>
      <c r="AL90" s="38"/>
      <c r="AM90" s="38"/>
      <c r="AN90" s="38"/>
      <c r="AO90" s="38"/>
      <c r="AP90" s="38"/>
      <c r="AQ90" s="38"/>
      <c r="AR90" s="38"/>
      <c r="AS90" s="38"/>
      <c r="AT90" s="38"/>
      <c r="AU90" s="38"/>
      <c r="AV90" s="38"/>
      <c r="AW90" s="38"/>
      <c r="AX90" s="38"/>
      <c r="AY90" s="38">
        <v>49563.5</v>
      </c>
      <c r="AZ90" s="38">
        <v>49563.5</v>
      </c>
      <c r="BA90" s="38">
        <v>45900</v>
      </c>
      <c r="BB90" s="38"/>
      <c r="BC90" s="38"/>
      <c r="BD90" s="38"/>
      <c r="BE90" s="38"/>
      <c r="BF90" s="38"/>
      <c r="BG90" s="38"/>
      <c r="BH90" s="38"/>
      <c r="BI90" s="38"/>
      <c r="BJ90" s="107">
        <f t="shared" si="28"/>
        <v>49563.5</v>
      </c>
      <c r="BK90" s="107">
        <f t="shared" si="29"/>
        <v>48659.1</v>
      </c>
      <c r="BL90" s="108">
        <f t="shared" si="30"/>
        <v>2028.8991904478644</v>
      </c>
      <c r="BM90" s="65">
        <f t="shared" si="31"/>
        <v>4.1696192293894964E-2</v>
      </c>
      <c r="BN90" s="66">
        <f t="shared" si="11"/>
        <v>40890.756302521011</v>
      </c>
      <c r="BO90" s="66">
        <f t="shared" si="12"/>
        <v>7769.2436974789925</v>
      </c>
      <c r="BP90" s="109">
        <f t="shared" si="16"/>
        <v>48660</v>
      </c>
      <c r="BQ90" s="76">
        <f t="shared" si="39"/>
        <v>486600</v>
      </c>
      <c r="BR90" s="110" t="s">
        <v>903</v>
      </c>
    </row>
    <row r="91" spans="1:70" ht="204" x14ac:dyDescent="0.2">
      <c r="A91" s="63">
        <v>87</v>
      </c>
      <c r="B91" s="126" t="s">
        <v>852</v>
      </c>
      <c r="C91" s="157" t="s">
        <v>660</v>
      </c>
      <c r="D91" s="63" t="s">
        <v>658</v>
      </c>
      <c r="E91" s="63">
        <v>150</v>
      </c>
      <c r="F91" s="38"/>
      <c r="G91" s="38"/>
      <c r="H91" s="38"/>
      <c r="I91" s="38"/>
      <c r="J91" s="88">
        <v>38080</v>
      </c>
      <c r="K91" s="70">
        <f t="shared" ref="K91:K93" si="43">((J91*5.1%)+J91)</f>
        <v>40022.080000000002</v>
      </c>
      <c r="L91" s="88">
        <v>34500</v>
      </c>
      <c r="M91" s="70">
        <f t="shared" si="41"/>
        <v>36259.5</v>
      </c>
      <c r="N91" s="88">
        <v>36200</v>
      </c>
      <c r="O91" s="70">
        <f t="shared" si="42"/>
        <v>38046.199999999997</v>
      </c>
      <c r="P91" s="38"/>
      <c r="Q91" s="38"/>
      <c r="R91" s="38"/>
      <c r="S91" s="38"/>
      <c r="T91" s="38"/>
      <c r="U91" s="38"/>
      <c r="V91" s="38"/>
      <c r="W91" s="38"/>
      <c r="X91" s="38"/>
      <c r="Y91" s="38"/>
      <c r="Z91" s="38"/>
      <c r="AA91" s="38"/>
      <c r="AB91" s="38"/>
      <c r="AC91" s="38"/>
      <c r="AD91" s="38"/>
      <c r="AE91" s="38"/>
      <c r="AF91" s="38"/>
      <c r="AG91" s="38"/>
      <c r="AH91" s="38"/>
      <c r="AI91" s="38"/>
      <c r="AJ91" s="38"/>
      <c r="AK91" s="38"/>
      <c r="AL91" s="38"/>
      <c r="AM91" s="38"/>
      <c r="AN91" s="38"/>
      <c r="AO91" s="38"/>
      <c r="AP91" s="38"/>
      <c r="AQ91" s="38"/>
      <c r="AR91" s="38"/>
      <c r="AS91" s="38"/>
      <c r="AT91" s="38"/>
      <c r="AU91" s="38"/>
      <c r="AV91" s="38"/>
      <c r="AW91" s="38"/>
      <c r="AX91" s="38"/>
      <c r="AY91" s="38">
        <v>26197.85</v>
      </c>
      <c r="AZ91" s="38">
        <v>26197.85</v>
      </c>
      <c r="BA91" s="38">
        <v>38700</v>
      </c>
      <c r="BB91" s="38"/>
      <c r="BC91" s="38"/>
      <c r="BD91" s="38"/>
      <c r="BE91" s="38"/>
      <c r="BF91" s="38"/>
      <c r="BG91" s="38"/>
      <c r="BH91" s="38"/>
      <c r="BI91" s="38"/>
      <c r="BJ91" s="107">
        <f t="shared" si="28"/>
        <v>37152.85</v>
      </c>
      <c r="BK91" s="107">
        <f t="shared" si="29"/>
        <v>34237.246666666666</v>
      </c>
      <c r="BL91" s="108">
        <f t="shared" si="30"/>
        <v>6344.1610253260769</v>
      </c>
      <c r="BM91" s="65">
        <f t="shared" si="31"/>
        <v>0.18529997715916632</v>
      </c>
      <c r="BN91" s="66">
        <f t="shared" si="11"/>
        <v>31221.008403361346</v>
      </c>
      <c r="BO91" s="66">
        <f t="shared" si="12"/>
        <v>5931.9915966386561</v>
      </c>
      <c r="BP91" s="109">
        <f t="shared" si="16"/>
        <v>37153</v>
      </c>
      <c r="BQ91" s="76">
        <f t="shared" si="39"/>
        <v>5572950</v>
      </c>
      <c r="BR91" s="110" t="s">
        <v>902</v>
      </c>
    </row>
    <row r="92" spans="1:70" ht="204" x14ac:dyDescent="0.2">
      <c r="A92" s="63">
        <v>88</v>
      </c>
      <c r="B92" s="126" t="s">
        <v>853</v>
      </c>
      <c r="C92" s="157" t="s">
        <v>661</v>
      </c>
      <c r="D92" s="63" t="s">
        <v>658</v>
      </c>
      <c r="E92" s="63">
        <v>150</v>
      </c>
      <c r="F92" s="38"/>
      <c r="G92" s="38"/>
      <c r="H92" s="38"/>
      <c r="I92" s="38"/>
      <c r="J92" s="88">
        <v>45220</v>
      </c>
      <c r="K92" s="70">
        <f t="shared" si="43"/>
        <v>47526.22</v>
      </c>
      <c r="L92" s="88">
        <v>36500</v>
      </c>
      <c r="M92" s="70">
        <f t="shared" si="41"/>
        <v>38361.5</v>
      </c>
      <c r="N92" s="88">
        <v>38500</v>
      </c>
      <c r="O92" s="70">
        <f t="shared" si="42"/>
        <v>40463.5</v>
      </c>
      <c r="P92" s="38"/>
      <c r="Q92" s="38"/>
      <c r="R92" s="38"/>
      <c r="S92" s="38"/>
      <c r="T92" s="38"/>
      <c r="U92" s="38"/>
      <c r="V92" s="38"/>
      <c r="W92" s="38"/>
      <c r="X92" s="38"/>
      <c r="Y92" s="38"/>
      <c r="Z92" s="38"/>
      <c r="AA92" s="38"/>
      <c r="AB92" s="38"/>
      <c r="AC92" s="38"/>
      <c r="AD92" s="38"/>
      <c r="AE92" s="38"/>
      <c r="AF92" s="38"/>
      <c r="AG92" s="38"/>
      <c r="AH92" s="38"/>
      <c r="AI92" s="38"/>
      <c r="AJ92" s="38"/>
      <c r="AK92" s="38"/>
      <c r="AL92" s="38"/>
      <c r="AM92" s="38"/>
      <c r="AN92" s="38"/>
      <c r="AO92" s="38"/>
      <c r="AP92" s="38"/>
      <c r="AQ92" s="38"/>
      <c r="AR92" s="38"/>
      <c r="AS92" s="38"/>
      <c r="AT92" s="38"/>
      <c r="AU92" s="38"/>
      <c r="AV92" s="38"/>
      <c r="AW92" s="38"/>
      <c r="AX92" s="38"/>
      <c r="AY92" s="38">
        <v>31154.199999999997</v>
      </c>
      <c r="AZ92" s="38">
        <v>31154.199999999997</v>
      </c>
      <c r="BA92" s="38">
        <v>38700</v>
      </c>
      <c r="BB92" s="38"/>
      <c r="BC92" s="38"/>
      <c r="BD92" s="38"/>
      <c r="BE92" s="38"/>
      <c r="BF92" s="38"/>
      <c r="BG92" s="38"/>
      <c r="BH92" s="38"/>
      <c r="BI92" s="38"/>
      <c r="BJ92" s="107">
        <f t="shared" si="28"/>
        <v>38530.75</v>
      </c>
      <c r="BK92" s="107">
        <f t="shared" si="29"/>
        <v>37893.269999999997</v>
      </c>
      <c r="BL92" s="108">
        <f t="shared" si="30"/>
        <v>6182.2324367658593</v>
      </c>
      <c r="BM92" s="65">
        <f t="shared" si="31"/>
        <v>0.16314856006794504</v>
      </c>
      <c r="BN92" s="66">
        <f t="shared" si="11"/>
        <v>32378.991596638658</v>
      </c>
      <c r="BO92" s="66">
        <f t="shared" si="12"/>
        <v>6152.0084033613448</v>
      </c>
      <c r="BP92" s="109">
        <f t="shared" si="16"/>
        <v>38531</v>
      </c>
      <c r="BQ92" s="76">
        <f t="shared" si="39"/>
        <v>5779650</v>
      </c>
      <c r="BR92" s="110" t="s">
        <v>902</v>
      </c>
    </row>
    <row r="93" spans="1:70" ht="204" x14ac:dyDescent="0.2">
      <c r="A93" s="63">
        <v>89</v>
      </c>
      <c r="B93" s="126" t="s">
        <v>854</v>
      </c>
      <c r="C93" s="157" t="s">
        <v>662</v>
      </c>
      <c r="D93" s="63" t="s">
        <v>658</v>
      </c>
      <c r="E93" s="63">
        <v>5</v>
      </c>
      <c r="F93" s="38"/>
      <c r="G93" s="38"/>
      <c r="H93" s="38"/>
      <c r="I93" s="38"/>
      <c r="J93" s="88">
        <v>83300</v>
      </c>
      <c r="K93" s="70">
        <f t="shared" si="43"/>
        <v>87548.3</v>
      </c>
      <c r="L93" s="88">
        <v>85000</v>
      </c>
      <c r="M93" s="70">
        <f t="shared" si="41"/>
        <v>89335</v>
      </c>
      <c r="N93" s="88">
        <v>90200</v>
      </c>
      <c r="O93" s="70">
        <f t="shared" si="42"/>
        <v>94800.2</v>
      </c>
      <c r="P93" s="38"/>
      <c r="Q93" s="38"/>
      <c r="R93" s="38"/>
      <c r="S93" s="38"/>
      <c r="T93" s="38"/>
      <c r="U93" s="38"/>
      <c r="V93" s="38"/>
      <c r="W93" s="38"/>
      <c r="X93" s="38"/>
      <c r="Y93" s="38"/>
      <c r="Z93" s="38"/>
      <c r="AA93" s="38"/>
      <c r="AB93" s="38"/>
      <c r="AC93" s="38"/>
      <c r="AD93" s="38"/>
      <c r="AE93" s="38"/>
      <c r="AF93" s="38"/>
      <c r="AG93" s="38"/>
      <c r="AH93" s="38"/>
      <c r="AI93" s="38"/>
      <c r="AJ93" s="38"/>
      <c r="AK93" s="38"/>
      <c r="AL93" s="38"/>
      <c r="AM93" s="38"/>
      <c r="AN93" s="38"/>
      <c r="AO93" s="38"/>
      <c r="AP93" s="38"/>
      <c r="AQ93" s="38"/>
      <c r="AR93" s="38"/>
      <c r="AS93" s="38"/>
      <c r="AT93" s="38"/>
      <c r="AU93" s="38"/>
      <c r="AV93" s="38"/>
      <c r="AW93" s="38"/>
      <c r="AX93" s="38"/>
      <c r="AY93" s="38"/>
      <c r="AZ93" s="38"/>
      <c r="BA93" s="38">
        <v>52200</v>
      </c>
      <c r="BB93" s="38"/>
      <c r="BC93" s="38"/>
      <c r="BD93" s="38"/>
      <c r="BE93" s="38"/>
      <c r="BF93" s="38"/>
      <c r="BG93" s="38"/>
      <c r="BH93" s="38"/>
      <c r="BI93" s="38"/>
      <c r="BJ93" s="107">
        <f t="shared" si="28"/>
        <v>88441.65</v>
      </c>
      <c r="BK93" s="107">
        <f t="shared" si="29"/>
        <v>80970.875</v>
      </c>
      <c r="BL93" s="108">
        <f t="shared" si="30"/>
        <v>19427.082341133133</v>
      </c>
      <c r="BM93" s="65">
        <f t="shared" si="31"/>
        <v>0.23992679270334097</v>
      </c>
      <c r="BN93" s="66">
        <f t="shared" si="11"/>
        <v>74321.008403361353</v>
      </c>
      <c r="BO93" s="66">
        <f t="shared" si="12"/>
        <v>14120.991596638658</v>
      </c>
      <c r="BP93" s="109">
        <f t="shared" si="16"/>
        <v>88442</v>
      </c>
      <c r="BQ93" s="76">
        <f t="shared" si="39"/>
        <v>442210</v>
      </c>
      <c r="BR93" s="110" t="s">
        <v>902</v>
      </c>
    </row>
    <row r="94" spans="1:70" ht="204" x14ac:dyDescent="0.2">
      <c r="A94" s="63">
        <v>90</v>
      </c>
      <c r="B94" s="126" t="s">
        <v>656</v>
      </c>
      <c r="C94" s="157" t="s">
        <v>663</v>
      </c>
      <c r="D94" s="63" t="s">
        <v>658</v>
      </c>
      <c r="E94" s="63">
        <v>100</v>
      </c>
      <c r="F94" s="38"/>
      <c r="G94" s="38"/>
      <c r="H94" s="38"/>
      <c r="I94" s="38"/>
      <c r="J94" s="38"/>
      <c r="K94" s="38"/>
      <c r="L94" s="38"/>
      <c r="M94" s="38"/>
      <c r="N94" s="38"/>
      <c r="O94" s="38"/>
      <c r="P94" s="38"/>
      <c r="Q94" s="38"/>
      <c r="R94" s="38"/>
      <c r="S94" s="38"/>
      <c r="T94" s="38"/>
      <c r="U94" s="38"/>
      <c r="V94" s="38"/>
      <c r="W94" s="38"/>
      <c r="X94" s="38"/>
      <c r="Y94" s="38"/>
      <c r="Z94" s="38"/>
      <c r="AA94" s="38"/>
      <c r="AB94" s="38"/>
      <c r="AC94" s="38"/>
      <c r="AD94" s="38"/>
      <c r="AE94" s="38"/>
      <c r="AF94" s="38"/>
      <c r="AG94" s="38"/>
      <c r="AH94" s="38"/>
      <c r="AI94" s="38"/>
      <c r="AJ94" s="38">
        <v>20354.36</v>
      </c>
      <c r="AK94" s="38"/>
      <c r="AL94" s="38"/>
      <c r="AM94" s="87"/>
      <c r="AN94" s="87"/>
      <c r="AO94" s="87"/>
      <c r="AP94" s="87"/>
      <c r="AQ94" s="87"/>
      <c r="AR94" s="87"/>
      <c r="AS94" s="87"/>
      <c r="AT94" s="87"/>
      <c r="AU94" s="87"/>
      <c r="AV94" s="87"/>
      <c r="AW94" s="87"/>
      <c r="AX94" s="87"/>
      <c r="AY94" s="87">
        <v>25489.8</v>
      </c>
      <c r="AZ94" s="87">
        <v>25489.8</v>
      </c>
      <c r="BA94" s="87">
        <v>36900</v>
      </c>
      <c r="BB94" s="87"/>
      <c r="BC94" s="87"/>
      <c r="BD94" s="87"/>
      <c r="BE94" s="87"/>
      <c r="BF94" s="87"/>
      <c r="BG94" s="87"/>
      <c r="BH94" s="87"/>
      <c r="BI94" s="87"/>
      <c r="BJ94" s="107">
        <f t="shared" si="28"/>
        <v>25489.8</v>
      </c>
      <c r="BK94" s="107">
        <f t="shared" si="29"/>
        <v>27058.49</v>
      </c>
      <c r="BL94" s="108">
        <f t="shared" si="30"/>
        <v>6993.3838916793311</v>
      </c>
      <c r="BM94" s="65">
        <f t="shared" si="31"/>
        <v>0.25845432955347214</v>
      </c>
      <c r="BN94" s="66">
        <f t="shared" si="11"/>
        <v>21420.168067226892</v>
      </c>
      <c r="BO94" s="66">
        <f t="shared" si="12"/>
        <v>4069.8319327731097</v>
      </c>
      <c r="BP94" s="109">
        <f t="shared" si="16"/>
        <v>25490</v>
      </c>
      <c r="BQ94" s="76">
        <f t="shared" si="39"/>
        <v>2549000</v>
      </c>
      <c r="BR94" s="110" t="s">
        <v>902</v>
      </c>
    </row>
    <row r="95" spans="1:70" ht="51" x14ac:dyDescent="0.2">
      <c r="A95" s="63">
        <v>91</v>
      </c>
      <c r="B95" s="63" t="s">
        <v>857</v>
      </c>
      <c r="C95" s="157" t="s">
        <v>664</v>
      </c>
      <c r="D95" s="63" t="s">
        <v>665</v>
      </c>
      <c r="E95" s="63">
        <v>360</v>
      </c>
      <c r="F95" s="38">
        <v>9000</v>
      </c>
      <c r="G95" s="70"/>
      <c r="H95" s="38">
        <v>10000</v>
      </c>
      <c r="I95" s="70"/>
      <c r="J95" s="38"/>
      <c r="K95" s="38"/>
      <c r="L95" s="38"/>
      <c r="M95" s="38"/>
      <c r="N95" s="38"/>
      <c r="O95" s="38"/>
      <c r="P95" s="38"/>
      <c r="Q95" s="38"/>
      <c r="R95" s="38"/>
      <c r="S95" s="38"/>
      <c r="T95" s="38"/>
      <c r="U95" s="38"/>
      <c r="V95" s="38"/>
      <c r="W95" s="38"/>
      <c r="X95" s="38"/>
      <c r="Y95" s="38"/>
      <c r="Z95" s="38"/>
      <c r="AA95" s="38"/>
      <c r="AB95" s="38"/>
      <c r="AC95" s="38"/>
      <c r="AD95" s="38"/>
      <c r="AE95" s="38"/>
      <c r="AF95" s="38"/>
      <c r="AG95" s="38"/>
      <c r="AH95" s="38"/>
      <c r="AI95" s="38"/>
      <c r="AJ95" s="38"/>
      <c r="AK95" s="38"/>
      <c r="AL95" s="38"/>
      <c r="AM95" s="38"/>
      <c r="AN95" s="38"/>
      <c r="AO95" s="38"/>
      <c r="AP95" s="38"/>
      <c r="AQ95" s="38"/>
      <c r="AR95" s="38"/>
      <c r="AS95" s="38"/>
      <c r="AT95" s="38"/>
      <c r="AU95" s="38"/>
      <c r="AV95" s="38"/>
      <c r="AW95" s="38"/>
      <c r="AX95" s="38"/>
      <c r="AY95" s="38">
        <v>120368.5</v>
      </c>
      <c r="AZ95" s="38">
        <v>120368.5</v>
      </c>
      <c r="BA95" s="38"/>
      <c r="BB95" s="38"/>
      <c r="BC95" s="38"/>
      <c r="BD95" s="38"/>
      <c r="BE95" s="38"/>
      <c r="BF95" s="38"/>
      <c r="BG95" s="38"/>
      <c r="BH95" s="38"/>
      <c r="BI95" s="38"/>
      <c r="BJ95" s="107">
        <f t="shared" si="28"/>
        <v>120368.5</v>
      </c>
      <c r="BK95" s="107">
        <f t="shared" si="29"/>
        <v>120368.5</v>
      </c>
      <c r="BL95" s="108">
        <f t="shared" si="30"/>
        <v>0</v>
      </c>
      <c r="BM95" s="65">
        <f t="shared" si="31"/>
        <v>0</v>
      </c>
      <c r="BN95" s="66">
        <f t="shared" si="11"/>
        <v>101150.42016806723</v>
      </c>
      <c r="BO95" s="66">
        <f t="shared" si="12"/>
        <v>19218.579831932773</v>
      </c>
      <c r="BP95" s="76">
        <f t="shared" si="16"/>
        <v>120369</v>
      </c>
      <c r="BQ95" s="76">
        <f t="shared" si="39"/>
        <v>43332840</v>
      </c>
      <c r="BR95" s="110" t="s">
        <v>903</v>
      </c>
    </row>
    <row r="96" spans="1:70" ht="51" x14ac:dyDescent="0.2">
      <c r="A96" s="63">
        <v>92</v>
      </c>
      <c r="B96" s="126" t="s">
        <v>888</v>
      </c>
      <c r="C96" s="157" t="s">
        <v>666</v>
      </c>
      <c r="D96" s="63" t="s">
        <v>665</v>
      </c>
      <c r="E96" s="63">
        <v>150</v>
      </c>
      <c r="F96" s="38"/>
      <c r="G96" s="38"/>
      <c r="H96" s="38"/>
      <c r="I96" s="38"/>
      <c r="J96" s="38"/>
      <c r="K96" s="38"/>
      <c r="L96" s="38"/>
      <c r="M96" s="38"/>
      <c r="N96" s="38"/>
      <c r="O96" s="38"/>
      <c r="P96" s="38"/>
      <c r="Q96" s="38"/>
      <c r="R96" s="38"/>
      <c r="S96" s="38"/>
      <c r="T96" s="38"/>
      <c r="U96" s="38"/>
      <c r="V96" s="38"/>
      <c r="W96" s="38"/>
      <c r="X96" s="38"/>
      <c r="Y96" s="38"/>
      <c r="Z96" s="38"/>
      <c r="AA96" s="38"/>
      <c r="AB96" s="38"/>
      <c r="AC96" s="38"/>
      <c r="AD96" s="38"/>
      <c r="AE96" s="38"/>
      <c r="AF96" s="38"/>
      <c r="AG96" s="38"/>
      <c r="AH96" s="38"/>
      <c r="AI96" s="38"/>
      <c r="AJ96" s="38"/>
      <c r="AK96" s="38">
        <v>145100</v>
      </c>
      <c r="AL96" s="38"/>
      <c r="AM96" s="38">
        <v>143467</v>
      </c>
      <c r="AN96" s="38"/>
      <c r="AO96" s="38"/>
      <c r="AP96" s="38"/>
      <c r="AQ96" s="38"/>
      <c r="AR96" s="38"/>
      <c r="AS96" s="38"/>
      <c r="AT96" s="38"/>
      <c r="AU96" s="38"/>
      <c r="AV96" s="38"/>
      <c r="AW96" s="38"/>
      <c r="AX96" s="38"/>
      <c r="AY96" s="38">
        <v>120368.5</v>
      </c>
      <c r="AZ96" s="38">
        <v>120368.5</v>
      </c>
      <c r="BA96" s="38"/>
      <c r="BB96" s="38"/>
      <c r="BC96" s="38"/>
      <c r="BD96" s="38"/>
      <c r="BE96" s="38"/>
      <c r="BF96" s="38"/>
      <c r="BG96" s="38"/>
      <c r="BH96" s="38"/>
      <c r="BI96" s="38"/>
      <c r="BJ96" s="107">
        <f t="shared" si="28"/>
        <v>131917.75</v>
      </c>
      <c r="BK96" s="107">
        <f t="shared" si="29"/>
        <v>132326</v>
      </c>
      <c r="BL96" s="108">
        <f t="shared" si="30"/>
        <v>13823.41696180796</v>
      </c>
      <c r="BM96" s="65">
        <f t="shared" si="31"/>
        <v>0.10446485922500461</v>
      </c>
      <c r="BN96" s="66">
        <f t="shared" si="11"/>
        <v>111198.31932773109</v>
      </c>
      <c r="BO96" s="66">
        <f t="shared" si="12"/>
        <v>21127.680672268907</v>
      </c>
      <c r="BP96" s="109">
        <f t="shared" si="16"/>
        <v>132326</v>
      </c>
      <c r="BQ96" s="76">
        <f t="shared" si="39"/>
        <v>19848900</v>
      </c>
      <c r="BR96" s="110" t="s">
        <v>903</v>
      </c>
    </row>
    <row r="97" spans="1:70" ht="51" x14ac:dyDescent="0.2">
      <c r="A97" s="63">
        <v>93</v>
      </c>
      <c r="B97" s="126" t="s">
        <v>856</v>
      </c>
      <c r="C97" s="158" t="s">
        <v>667</v>
      </c>
      <c r="D97" s="63" t="s">
        <v>665</v>
      </c>
      <c r="E97" s="126">
        <v>305</v>
      </c>
      <c r="F97" s="88">
        <v>90000</v>
      </c>
      <c r="G97" s="70">
        <f t="shared" ref="G97" si="44">((F97*5.1%)+F97)</f>
        <v>94590</v>
      </c>
      <c r="H97" s="54">
        <v>100000</v>
      </c>
      <c r="I97" s="70">
        <f t="shared" ref="I97" si="45">((H97*5.1%)+H97)</f>
        <v>105100</v>
      </c>
      <c r="J97" s="88">
        <v>95000</v>
      </c>
      <c r="K97" s="70">
        <f>((J97*5.1%)+J97)</f>
        <v>99845</v>
      </c>
      <c r="L97" s="38"/>
      <c r="M97" s="38"/>
      <c r="N97" s="38"/>
      <c r="O97" s="38"/>
      <c r="P97" s="38"/>
      <c r="Q97" s="38"/>
      <c r="R97" s="38"/>
      <c r="S97" s="38"/>
      <c r="T97" s="38"/>
      <c r="U97" s="38"/>
      <c r="V97" s="38"/>
      <c r="W97" s="38"/>
      <c r="X97" s="38"/>
      <c r="Y97" s="38"/>
      <c r="Z97" s="38"/>
      <c r="AA97" s="38"/>
      <c r="AB97" s="38"/>
      <c r="AC97" s="38"/>
      <c r="AD97" s="38"/>
      <c r="AE97" s="38"/>
      <c r="AF97" s="38"/>
      <c r="AG97" s="38"/>
      <c r="AH97" s="38"/>
      <c r="AI97" s="38"/>
      <c r="AJ97" s="38"/>
      <c r="AK97" s="38">
        <v>156300</v>
      </c>
      <c r="AL97" s="38"/>
      <c r="AM97" s="38">
        <v>143467</v>
      </c>
      <c r="AN97" s="38"/>
      <c r="AO97" s="38"/>
      <c r="AP97" s="38"/>
      <c r="AQ97" s="38"/>
      <c r="AR97" s="38"/>
      <c r="AS97" s="38"/>
      <c r="AT97" s="38"/>
      <c r="AU97" s="38"/>
      <c r="AV97" s="38"/>
      <c r="AW97" s="38"/>
      <c r="AX97" s="38"/>
      <c r="AY97" s="38">
        <v>120368.5</v>
      </c>
      <c r="AZ97" s="38">
        <v>120368.5</v>
      </c>
      <c r="BA97" s="38"/>
      <c r="BB97" s="38"/>
      <c r="BC97" s="38"/>
      <c r="BD97" s="38"/>
      <c r="BE97" s="38"/>
      <c r="BF97" s="38"/>
      <c r="BG97" s="38"/>
      <c r="BH97" s="38"/>
      <c r="BI97" s="38"/>
      <c r="BJ97" s="107">
        <f t="shared" si="28"/>
        <v>120368.5</v>
      </c>
      <c r="BK97" s="107">
        <f t="shared" si="29"/>
        <v>120005.57142857143</v>
      </c>
      <c r="BL97" s="108">
        <f t="shared" si="30"/>
        <v>22885.816499942634</v>
      </c>
      <c r="BM97" s="65">
        <f t="shared" si="31"/>
        <v>0.19070628327922684</v>
      </c>
      <c r="BN97" s="66">
        <f t="shared" si="11"/>
        <v>101150.42016806723</v>
      </c>
      <c r="BO97" s="66">
        <f t="shared" si="12"/>
        <v>19218.579831932773</v>
      </c>
      <c r="BP97" s="109">
        <f t="shared" si="16"/>
        <v>120369</v>
      </c>
      <c r="BQ97" s="76">
        <f t="shared" si="39"/>
        <v>36712545</v>
      </c>
      <c r="BR97" s="110" t="s">
        <v>902</v>
      </c>
    </row>
    <row r="98" spans="1:70" ht="172.25" customHeight="1" x14ac:dyDescent="0.2">
      <c r="A98" s="63">
        <v>94</v>
      </c>
      <c r="B98" s="63" t="s">
        <v>858</v>
      </c>
      <c r="C98" s="158" t="s">
        <v>668</v>
      </c>
      <c r="D98" s="63" t="s">
        <v>7</v>
      </c>
      <c r="E98" s="126">
        <v>50</v>
      </c>
      <c r="F98" s="38"/>
      <c r="G98" s="38"/>
      <c r="H98" s="38"/>
      <c r="I98" s="38"/>
      <c r="J98" s="88">
        <v>3400</v>
      </c>
      <c r="K98" s="70">
        <f>((J98*5.1%)+J98)</f>
        <v>3573.4</v>
      </c>
      <c r="L98" s="88">
        <v>3500</v>
      </c>
      <c r="M98" s="70">
        <f>((L98*5.1%)+L98)</f>
        <v>3678.5</v>
      </c>
      <c r="N98" s="88">
        <v>3800</v>
      </c>
      <c r="O98" s="70">
        <f>((N98*5.1%)+N98)</f>
        <v>3993.8</v>
      </c>
      <c r="P98" s="38"/>
      <c r="Q98" s="38"/>
      <c r="R98" s="38"/>
      <c r="S98" s="38"/>
      <c r="T98" s="38"/>
      <c r="U98" s="38"/>
      <c r="V98" s="38"/>
      <c r="W98" s="38"/>
      <c r="X98" s="38"/>
      <c r="Y98" s="38"/>
      <c r="Z98" s="38"/>
      <c r="AA98" s="38"/>
      <c r="AB98" s="38"/>
      <c r="AC98" s="38"/>
      <c r="AD98" s="38"/>
      <c r="AE98" s="38"/>
      <c r="AF98" s="38"/>
      <c r="AG98" s="38"/>
      <c r="AH98" s="38"/>
      <c r="AI98" s="38"/>
      <c r="AJ98" s="38"/>
      <c r="AK98" s="38"/>
      <c r="AL98" s="87"/>
      <c r="AM98" s="38"/>
      <c r="AN98" s="38"/>
      <c r="AO98" s="38"/>
      <c r="AP98" s="38"/>
      <c r="AQ98" s="38"/>
      <c r="AR98" s="38"/>
      <c r="AS98" s="38"/>
      <c r="AT98" s="38"/>
      <c r="AU98" s="38"/>
      <c r="AV98" s="38"/>
      <c r="AW98" s="38"/>
      <c r="AX98" s="38"/>
      <c r="AY98" s="38"/>
      <c r="AZ98" s="38"/>
      <c r="BA98" s="38"/>
      <c r="BB98" s="38"/>
      <c r="BC98" s="38"/>
      <c r="BD98" s="38"/>
      <c r="BE98" s="38"/>
      <c r="BF98" s="38"/>
      <c r="BG98" s="38"/>
      <c r="BH98" s="38"/>
      <c r="BI98" s="38"/>
      <c r="BJ98" s="107">
        <f t="shared" si="28"/>
        <v>3678.5</v>
      </c>
      <c r="BK98" s="107">
        <f t="shared" si="29"/>
        <v>3748.5666666666671</v>
      </c>
      <c r="BL98" s="108">
        <f t="shared" si="30"/>
        <v>218.78309654389062</v>
      </c>
      <c r="BM98" s="65">
        <f t="shared" si="31"/>
        <v>5.8364467274751398E-2</v>
      </c>
      <c r="BN98" s="66">
        <f t="shared" si="11"/>
        <v>3150.4201680672272</v>
      </c>
      <c r="BO98" s="66">
        <f t="shared" si="12"/>
        <v>598.57983193277323</v>
      </c>
      <c r="BP98" s="109">
        <f t="shared" si="16"/>
        <v>3749</v>
      </c>
      <c r="BQ98" s="76">
        <f t="shared" si="39"/>
        <v>187450</v>
      </c>
      <c r="BR98" s="110" t="s">
        <v>903</v>
      </c>
    </row>
    <row r="99" spans="1:70" ht="102" x14ac:dyDescent="0.2">
      <c r="A99" s="63">
        <v>95</v>
      </c>
      <c r="B99" s="63" t="s">
        <v>669</v>
      </c>
      <c r="C99" s="158" t="s">
        <v>1165</v>
      </c>
      <c r="D99" s="63" t="s">
        <v>7</v>
      </c>
      <c r="E99" s="126">
        <v>50</v>
      </c>
      <c r="F99" s="38"/>
      <c r="G99" s="38"/>
      <c r="H99" s="38"/>
      <c r="I99" s="38"/>
      <c r="J99" s="38"/>
      <c r="K99" s="38"/>
      <c r="L99" s="38"/>
      <c r="M99" s="38"/>
      <c r="N99" s="38"/>
      <c r="O99" s="38"/>
      <c r="P99" s="38"/>
      <c r="Q99" s="38"/>
      <c r="R99" s="38"/>
      <c r="S99" s="38"/>
      <c r="T99" s="38"/>
      <c r="U99" s="38"/>
      <c r="V99" s="38"/>
      <c r="W99" s="38"/>
      <c r="X99" s="38"/>
      <c r="Y99" s="38"/>
      <c r="Z99" s="38"/>
      <c r="AA99" s="38"/>
      <c r="AB99" s="38"/>
      <c r="AC99" s="38"/>
      <c r="AD99" s="38"/>
      <c r="AE99" s="38"/>
      <c r="AF99" s="38"/>
      <c r="AG99" s="38"/>
      <c r="AH99" s="38"/>
      <c r="AI99" s="38"/>
      <c r="AJ99" s="38"/>
      <c r="AK99" s="38"/>
      <c r="AL99" s="38">
        <v>1600</v>
      </c>
      <c r="AM99" s="38"/>
      <c r="AN99" s="38"/>
      <c r="AO99" s="38"/>
      <c r="AP99" s="38"/>
      <c r="AQ99" s="38"/>
      <c r="AR99" s="38"/>
      <c r="AS99" s="38"/>
      <c r="AT99" s="38"/>
      <c r="AU99" s="38"/>
      <c r="AV99" s="38"/>
      <c r="AW99" s="38"/>
      <c r="AX99" s="38"/>
      <c r="AY99" s="38"/>
      <c r="AZ99" s="38"/>
      <c r="BA99" s="38">
        <v>1710</v>
      </c>
      <c r="BB99" s="38"/>
      <c r="BC99" s="38"/>
      <c r="BD99" s="38"/>
      <c r="BE99" s="38"/>
      <c r="BF99" s="38"/>
      <c r="BG99" s="38"/>
      <c r="BH99" s="38"/>
      <c r="BI99" s="38"/>
      <c r="BJ99" s="107">
        <f t="shared" si="28"/>
        <v>1655</v>
      </c>
      <c r="BK99" s="107">
        <f t="shared" si="29"/>
        <v>1655</v>
      </c>
      <c r="BL99" s="108">
        <f t="shared" si="30"/>
        <v>77.781745930520231</v>
      </c>
      <c r="BM99" s="65">
        <f t="shared" si="31"/>
        <v>4.6998033794876271E-2</v>
      </c>
      <c r="BN99" s="66">
        <f t="shared" si="11"/>
        <v>1390.7563025210084</v>
      </c>
      <c r="BO99" s="66">
        <f t="shared" si="12"/>
        <v>264.24369747899158</v>
      </c>
      <c r="BP99" s="109">
        <f t="shared" si="16"/>
        <v>1655</v>
      </c>
      <c r="BQ99" s="76">
        <f t="shared" si="39"/>
        <v>82750</v>
      </c>
      <c r="BR99" s="110" t="s">
        <v>903</v>
      </c>
    </row>
    <row r="100" spans="1:70" ht="85" x14ac:dyDescent="0.2">
      <c r="A100" s="63">
        <v>96</v>
      </c>
      <c r="B100" s="63" t="s">
        <v>670</v>
      </c>
      <c r="C100" s="158" t="s">
        <v>671</v>
      </c>
      <c r="D100" s="63" t="s">
        <v>7</v>
      </c>
      <c r="E100" s="126">
        <v>10</v>
      </c>
      <c r="F100" s="38"/>
      <c r="G100" s="38"/>
      <c r="H100" s="38"/>
      <c r="I100" s="38"/>
      <c r="J100" s="38"/>
      <c r="K100" s="38"/>
      <c r="L100" s="38"/>
      <c r="M100" s="38"/>
      <c r="N100" s="38"/>
      <c r="O100" s="38"/>
      <c r="P100" s="38"/>
      <c r="Q100" s="38"/>
      <c r="R100" s="38"/>
      <c r="S100" s="38"/>
      <c r="T100" s="38"/>
      <c r="U100" s="38"/>
      <c r="V100" s="38"/>
      <c r="W100" s="38"/>
      <c r="X100" s="38"/>
      <c r="Y100" s="38"/>
      <c r="Z100" s="38"/>
      <c r="AA100" s="38"/>
      <c r="AB100" s="38"/>
      <c r="AC100" s="38"/>
      <c r="AD100" s="38"/>
      <c r="AE100" s="38"/>
      <c r="AF100" s="38"/>
      <c r="AG100" s="38"/>
      <c r="AH100" s="38"/>
      <c r="AI100" s="38"/>
      <c r="AJ100" s="38"/>
      <c r="AK100" s="38"/>
      <c r="AL100" s="38"/>
      <c r="AM100" s="38"/>
      <c r="AN100" s="38"/>
      <c r="AO100" s="38"/>
      <c r="AP100" s="38"/>
      <c r="AQ100" s="38"/>
      <c r="AR100" s="38"/>
      <c r="AS100" s="38"/>
      <c r="AT100" s="38"/>
      <c r="AU100" s="38"/>
      <c r="AV100" s="38"/>
      <c r="AW100" s="38"/>
      <c r="AX100" s="38"/>
      <c r="AY100" s="38">
        <v>205334.5</v>
      </c>
      <c r="AZ100" s="38">
        <v>205334.5</v>
      </c>
      <c r="BA100" s="38">
        <v>169200</v>
      </c>
      <c r="BB100" s="38"/>
      <c r="BC100" s="38"/>
      <c r="BD100" s="38"/>
      <c r="BE100" s="38"/>
      <c r="BF100" s="38"/>
      <c r="BG100" s="38"/>
      <c r="BH100" s="38"/>
      <c r="BI100" s="38"/>
      <c r="BJ100" s="107">
        <f t="shared" si="28"/>
        <v>205334.5</v>
      </c>
      <c r="BK100" s="107">
        <f t="shared" si="29"/>
        <v>193289.66666666666</v>
      </c>
      <c r="BL100" s="108">
        <f t="shared" si="30"/>
        <v>20862.263302032534</v>
      </c>
      <c r="BM100" s="65">
        <f t="shared" si="31"/>
        <v>0.10793263634734329</v>
      </c>
      <c r="BN100" s="66">
        <f t="shared" si="11"/>
        <v>162428.57142857145</v>
      </c>
      <c r="BO100" s="66">
        <f t="shared" si="12"/>
        <v>30861.428571428576</v>
      </c>
      <c r="BP100" s="109">
        <f t="shared" si="16"/>
        <v>193290</v>
      </c>
      <c r="BQ100" s="76">
        <f t="shared" si="39"/>
        <v>1932900</v>
      </c>
      <c r="BR100" s="110" t="s">
        <v>903</v>
      </c>
    </row>
    <row r="101" spans="1:70" ht="85" x14ac:dyDescent="0.2">
      <c r="A101" s="63">
        <v>97</v>
      </c>
      <c r="B101" s="63" t="s">
        <v>670</v>
      </c>
      <c r="C101" s="158" t="s">
        <v>672</v>
      </c>
      <c r="D101" s="63" t="s">
        <v>7</v>
      </c>
      <c r="E101" s="126">
        <v>10</v>
      </c>
      <c r="F101" s="38"/>
      <c r="G101" s="38"/>
      <c r="H101" s="38"/>
      <c r="I101" s="38"/>
      <c r="J101" s="38"/>
      <c r="K101" s="38"/>
      <c r="L101" s="38"/>
      <c r="M101" s="38"/>
      <c r="N101" s="38"/>
      <c r="O101" s="38"/>
      <c r="P101" s="38"/>
      <c r="Q101" s="38"/>
      <c r="R101" s="38"/>
      <c r="S101" s="38"/>
      <c r="T101" s="38"/>
      <c r="U101" s="38"/>
      <c r="V101" s="38"/>
      <c r="W101" s="38"/>
      <c r="X101" s="38"/>
      <c r="Y101" s="38"/>
      <c r="Z101" s="38"/>
      <c r="AA101" s="38"/>
      <c r="AB101" s="38"/>
      <c r="AC101" s="38"/>
      <c r="AD101" s="38"/>
      <c r="AE101" s="38"/>
      <c r="AF101" s="38"/>
      <c r="AG101" s="38"/>
      <c r="AH101" s="38"/>
      <c r="AI101" s="38"/>
      <c r="AJ101" s="38"/>
      <c r="AK101" s="38"/>
      <c r="AL101" s="38"/>
      <c r="AM101" s="38"/>
      <c r="AN101" s="38"/>
      <c r="AO101" s="38"/>
      <c r="AP101" s="38"/>
      <c r="AQ101" s="38"/>
      <c r="AR101" s="38"/>
      <c r="AS101" s="38"/>
      <c r="AT101" s="38"/>
      <c r="AU101" s="38"/>
      <c r="AV101" s="38"/>
      <c r="AW101" s="38"/>
      <c r="AX101" s="38"/>
      <c r="AY101" s="38">
        <v>177012.5</v>
      </c>
      <c r="AZ101" s="38">
        <v>177012.5</v>
      </c>
      <c r="BA101" s="38">
        <v>171000</v>
      </c>
      <c r="BB101" s="38"/>
      <c r="BC101" s="38"/>
      <c r="BD101" s="38"/>
      <c r="BE101" s="38"/>
      <c r="BF101" s="38"/>
      <c r="BG101" s="38"/>
      <c r="BH101" s="38"/>
      <c r="BI101" s="38"/>
      <c r="BJ101" s="107">
        <f t="shared" si="28"/>
        <v>177012.5</v>
      </c>
      <c r="BK101" s="107">
        <f t="shared" si="29"/>
        <v>175008.33333333334</v>
      </c>
      <c r="BL101" s="108">
        <f t="shared" si="30"/>
        <v>3471.3184935026247</v>
      </c>
      <c r="BM101" s="65">
        <f t="shared" si="31"/>
        <v>1.9835161145674726E-2</v>
      </c>
      <c r="BN101" s="66">
        <f t="shared" si="11"/>
        <v>147066.38655462186</v>
      </c>
      <c r="BO101" s="66">
        <f t="shared" si="12"/>
        <v>27942.613445378152</v>
      </c>
      <c r="BP101" s="109">
        <f t="shared" si="16"/>
        <v>175009</v>
      </c>
      <c r="BQ101" s="76">
        <f t="shared" si="39"/>
        <v>1750090</v>
      </c>
      <c r="BR101" s="110" t="s">
        <v>903</v>
      </c>
    </row>
    <row r="102" spans="1:70" ht="85" x14ac:dyDescent="0.2">
      <c r="A102" s="63">
        <v>98</v>
      </c>
      <c r="B102" s="63" t="s">
        <v>673</v>
      </c>
      <c r="C102" s="158" t="s">
        <v>1127</v>
      </c>
      <c r="D102" s="63" t="s">
        <v>7</v>
      </c>
      <c r="E102" s="126">
        <v>5</v>
      </c>
      <c r="F102" s="38"/>
      <c r="G102" s="38"/>
      <c r="H102" s="38"/>
      <c r="I102" s="38"/>
      <c r="J102" s="38"/>
      <c r="K102" s="38"/>
      <c r="L102" s="38"/>
      <c r="M102" s="38"/>
      <c r="N102" s="38"/>
      <c r="O102" s="38"/>
      <c r="P102" s="38"/>
      <c r="Q102" s="38"/>
      <c r="R102" s="38"/>
      <c r="S102" s="38"/>
      <c r="T102" s="38"/>
      <c r="U102" s="38"/>
      <c r="V102" s="38"/>
      <c r="W102" s="38"/>
      <c r="X102" s="38"/>
      <c r="Y102" s="38"/>
      <c r="Z102" s="38"/>
      <c r="AA102" s="38"/>
      <c r="AB102" s="38"/>
      <c r="AC102" s="38"/>
      <c r="AD102" s="38"/>
      <c r="AE102" s="38"/>
      <c r="AF102" s="38"/>
      <c r="AG102" s="38"/>
      <c r="AH102" s="38"/>
      <c r="AI102" s="38"/>
      <c r="AJ102" s="38"/>
      <c r="AK102" s="38"/>
      <c r="AL102" s="38"/>
      <c r="AM102" s="38"/>
      <c r="AN102" s="38"/>
      <c r="AO102" s="38"/>
      <c r="AP102" s="38"/>
      <c r="AQ102" s="38"/>
      <c r="AR102" s="38"/>
      <c r="AS102" s="38"/>
      <c r="AT102" s="38"/>
      <c r="AU102" s="38"/>
      <c r="AV102" s="38"/>
      <c r="AW102" s="38"/>
      <c r="AX102" s="38"/>
      <c r="AY102" s="38">
        <v>59500</v>
      </c>
      <c r="AZ102" s="38">
        <v>63070</v>
      </c>
      <c r="BA102" s="38">
        <v>86400</v>
      </c>
      <c r="BB102" s="38"/>
      <c r="BC102" s="38"/>
      <c r="BD102" s="38"/>
      <c r="BE102" s="38"/>
      <c r="BF102" s="38"/>
      <c r="BG102" s="38"/>
      <c r="BH102" s="38"/>
      <c r="BI102" s="38"/>
      <c r="BJ102" s="107">
        <f t="shared" si="28"/>
        <v>63070</v>
      </c>
      <c r="BK102" s="107">
        <f t="shared" si="29"/>
        <v>69656.666666666672</v>
      </c>
      <c r="BL102" s="108">
        <f t="shared" si="30"/>
        <v>14609.607569450078</v>
      </c>
      <c r="BM102" s="65">
        <f t="shared" si="31"/>
        <v>0.20973739153156065</v>
      </c>
      <c r="BN102" s="66">
        <f t="shared" si="11"/>
        <v>53000</v>
      </c>
      <c r="BO102" s="66">
        <f t="shared" si="12"/>
        <v>10070</v>
      </c>
      <c r="BP102" s="109">
        <f t="shared" si="16"/>
        <v>63070</v>
      </c>
      <c r="BQ102" s="76">
        <f t="shared" si="39"/>
        <v>315350</v>
      </c>
      <c r="BR102" s="110" t="s">
        <v>902</v>
      </c>
    </row>
    <row r="103" spans="1:70" ht="85" x14ac:dyDescent="0.2">
      <c r="A103" s="63">
        <v>99</v>
      </c>
      <c r="B103" s="63" t="s">
        <v>674</v>
      </c>
      <c r="C103" s="158" t="s">
        <v>1128</v>
      </c>
      <c r="D103" s="63" t="s">
        <v>7</v>
      </c>
      <c r="E103" s="126">
        <v>5</v>
      </c>
      <c r="F103" s="38"/>
      <c r="G103" s="38"/>
      <c r="H103" s="38"/>
      <c r="I103" s="38"/>
      <c r="J103" s="38"/>
      <c r="K103" s="38"/>
      <c r="L103" s="38"/>
      <c r="M103" s="38"/>
      <c r="N103" s="38"/>
      <c r="O103" s="38"/>
      <c r="P103" s="38"/>
      <c r="Q103" s="38"/>
      <c r="R103" s="38"/>
      <c r="S103" s="38"/>
      <c r="T103" s="38"/>
      <c r="U103" s="38"/>
      <c r="V103" s="38"/>
      <c r="W103" s="38"/>
      <c r="X103" s="38"/>
      <c r="Y103" s="38"/>
      <c r="Z103" s="38"/>
      <c r="AA103" s="38"/>
      <c r="AB103" s="38"/>
      <c r="AC103" s="38"/>
      <c r="AD103" s="38"/>
      <c r="AE103" s="38"/>
      <c r="AF103" s="38"/>
      <c r="AG103" s="38"/>
      <c r="AH103" s="38"/>
      <c r="AI103" s="38"/>
      <c r="AJ103" s="38"/>
      <c r="AK103" s="38"/>
      <c r="AL103" s="38"/>
      <c r="AM103" s="38"/>
      <c r="AN103" s="38"/>
      <c r="AO103" s="38"/>
      <c r="AP103" s="38"/>
      <c r="AQ103" s="38"/>
      <c r="AR103" s="38"/>
      <c r="AS103" s="38"/>
      <c r="AT103" s="38"/>
      <c r="AU103" s="38"/>
      <c r="AV103" s="38"/>
      <c r="AW103" s="38"/>
      <c r="AX103" s="38"/>
      <c r="AY103" s="38">
        <v>25489.8</v>
      </c>
      <c r="AZ103" s="38">
        <v>25489.8</v>
      </c>
      <c r="BA103" s="38"/>
      <c r="BB103" s="38"/>
      <c r="BC103" s="38"/>
      <c r="BD103" s="38"/>
      <c r="BE103" s="38"/>
      <c r="BF103" s="38"/>
      <c r="BG103" s="38"/>
      <c r="BH103" s="38"/>
      <c r="BI103" s="38"/>
      <c r="BJ103" s="107">
        <f t="shared" si="28"/>
        <v>25489.8</v>
      </c>
      <c r="BK103" s="107">
        <f t="shared" si="29"/>
        <v>25489.8</v>
      </c>
      <c r="BL103" s="108">
        <f t="shared" si="30"/>
        <v>0</v>
      </c>
      <c r="BM103" s="65">
        <f t="shared" si="31"/>
        <v>0</v>
      </c>
      <c r="BN103" s="66">
        <f t="shared" si="11"/>
        <v>21420.168067226892</v>
      </c>
      <c r="BO103" s="66">
        <f t="shared" si="12"/>
        <v>4069.8319327731097</v>
      </c>
      <c r="BP103" s="109">
        <f t="shared" si="16"/>
        <v>25490</v>
      </c>
      <c r="BQ103" s="76">
        <f t="shared" si="39"/>
        <v>127450</v>
      </c>
      <c r="BR103" s="110" t="s">
        <v>903</v>
      </c>
    </row>
    <row r="104" spans="1:70" ht="236.75" customHeight="1" x14ac:dyDescent="0.2">
      <c r="A104" s="63">
        <v>100</v>
      </c>
      <c r="B104" s="63" t="s">
        <v>675</v>
      </c>
      <c r="C104" s="158" t="s">
        <v>1067</v>
      </c>
      <c r="D104" s="63" t="s">
        <v>7</v>
      </c>
      <c r="E104" s="126">
        <v>2</v>
      </c>
      <c r="F104" s="38"/>
      <c r="G104" s="38"/>
      <c r="H104" s="38"/>
      <c r="I104" s="38"/>
      <c r="J104" s="38"/>
      <c r="K104" s="38"/>
      <c r="L104" s="38"/>
      <c r="M104" s="38"/>
      <c r="N104" s="38"/>
      <c r="O104" s="38"/>
      <c r="P104" s="38"/>
      <c r="Q104" s="38"/>
      <c r="R104" s="38"/>
      <c r="S104" s="38"/>
      <c r="T104" s="38"/>
      <c r="U104" s="38"/>
      <c r="V104" s="38"/>
      <c r="W104" s="38"/>
      <c r="X104" s="38"/>
      <c r="Y104" s="38"/>
      <c r="Z104" s="38"/>
      <c r="AA104" s="38"/>
      <c r="AB104" s="38"/>
      <c r="AC104" s="38"/>
      <c r="AD104" s="38"/>
      <c r="AE104" s="38"/>
      <c r="AF104" s="38"/>
      <c r="AG104" s="38"/>
      <c r="AH104" s="38"/>
      <c r="AI104" s="38"/>
      <c r="AJ104" s="38"/>
      <c r="AK104" s="38"/>
      <c r="AL104" s="38"/>
      <c r="AM104" s="38"/>
      <c r="AN104" s="38"/>
      <c r="AO104" s="38"/>
      <c r="AP104" s="38"/>
      <c r="AQ104" s="38"/>
      <c r="AR104" s="38"/>
      <c r="AS104" s="38"/>
      <c r="AT104" s="38"/>
      <c r="AU104" s="38"/>
      <c r="AV104" s="38"/>
      <c r="AW104" s="38"/>
      <c r="AX104" s="38"/>
      <c r="AY104" s="38">
        <v>686808.5</v>
      </c>
      <c r="AZ104" s="38">
        <v>686808.5</v>
      </c>
      <c r="BA104" s="38"/>
      <c r="BB104" s="38">
        <v>680000</v>
      </c>
      <c r="BC104" s="38"/>
      <c r="BD104" s="38"/>
      <c r="BE104" s="38"/>
      <c r="BF104" s="38"/>
      <c r="BG104" s="38"/>
      <c r="BH104" s="38"/>
      <c r="BI104" s="38"/>
      <c r="BJ104" s="107">
        <f t="shared" si="28"/>
        <v>686808.5</v>
      </c>
      <c r="BK104" s="107">
        <f t="shared" si="29"/>
        <v>684539</v>
      </c>
      <c r="BL104" s="108">
        <f t="shared" si="30"/>
        <v>3930.889307777567</v>
      </c>
      <c r="BM104" s="65">
        <f t="shared" si="31"/>
        <v>5.7423891228659974E-3</v>
      </c>
      <c r="BN104" s="66">
        <f t="shared" si="11"/>
        <v>575242.85714285716</v>
      </c>
      <c r="BO104" s="66">
        <f t="shared" si="12"/>
        <v>109296.14285714286</v>
      </c>
      <c r="BP104" s="109">
        <f t="shared" si="16"/>
        <v>684539</v>
      </c>
      <c r="BQ104" s="76">
        <f t="shared" si="39"/>
        <v>1369078</v>
      </c>
      <c r="BR104" s="110" t="s">
        <v>903</v>
      </c>
    </row>
    <row r="105" spans="1:70" ht="119" x14ac:dyDescent="0.2">
      <c r="A105" s="63">
        <v>101</v>
      </c>
      <c r="B105" s="126" t="s">
        <v>866</v>
      </c>
      <c r="C105" s="157" t="s">
        <v>676</v>
      </c>
      <c r="D105" s="63" t="s">
        <v>7</v>
      </c>
      <c r="E105" s="63">
        <v>5</v>
      </c>
      <c r="F105" s="38"/>
      <c r="G105" s="38"/>
      <c r="H105" s="38"/>
      <c r="I105" s="38"/>
      <c r="J105" s="38"/>
      <c r="K105" s="38"/>
      <c r="L105" s="38"/>
      <c r="M105" s="38"/>
      <c r="N105" s="38"/>
      <c r="O105" s="38"/>
      <c r="P105" s="38"/>
      <c r="Q105" s="38"/>
      <c r="R105" s="38"/>
      <c r="S105" s="38"/>
      <c r="T105" s="38"/>
      <c r="U105" s="38"/>
      <c r="V105" s="38"/>
      <c r="W105" s="38"/>
      <c r="X105" s="38"/>
      <c r="Y105" s="38"/>
      <c r="Z105" s="38"/>
      <c r="AA105" s="38"/>
      <c r="AB105" s="38"/>
      <c r="AC105" s="38"/>
      <c r="AD105" s="38"/>
      <c r="AE105" s="38"/>
      <c r="AF105" s="38"/>
      <c r="AG105" s="38"/>
      <c r="AH105" s="38"/>
      <c r="AI105" s="38"/>
      <c r="AJ105" s="38"/>
      <c r="AK105" s="38"/>
      <c r="AL105" s="38"/>
      <c r="AM105" s="38"/>
      <c r="AN105" s="38"/>
      <c r="AO105" s="38"/>
      <c r="AP105" s="38"/>
      <c r="AQ105" s="38"/>
      <c r="AR105" s="38"/>
      <c r="AS105" s="38"/>
      <c r="AT105" s="38"/>
      <c r="AU105" s="38"/>
      <c r="AV105" s="38"/>
      <c r="AW105" s="38"/>
      <c r="AX105" s="38"/>
      <c r="AY105" s="38">
        <v>31154.199999999997</v>
      </c>
      <c r="AZ105" s="38">
        <v>31154.199999999997</v>
      </c>
      <c r="BA105" s="38">
        <v>22500</v>
      </c>
      <c r="BB105" s="38"/>
      <c r="BC105" s="38"/>
      <c r="BD105" s="38"/>
      <c r="BE105" s="38"/>
      <c r="BF105" s="38"/>
      <c r="BG105" s="38"/>
      <c r="BH105" s="38"/>
      <c r="BI105" s="38"/>
      <c r="BJ105" s="107">
        <f t="shared" si="28"/>
        <v>31154.199999999997</v>
      </c>
      <c r="BK105" s="107">
        <f t="shared" si="29"/>
        <v>28269.466666666664</v>
      </c>
      <c r="BL105" s="108">
        <f t="shared" si="30"/>
        <v>4996.504699620863</v>
      </c>
      <c r="BM105" s="65">
        <f t="shared" si="31"/>
        <v>0.17674563013643213</v>
      </c>
      <c r="BN105" s="66">
        <f t="shared" si="11"/>
        <v>26180.672268907565</v>
      </c>
      <c r="BO105" s="66">
        <f t="shared" si="12"/>
        <v>4974.3277310924377</v>
      </c>
      <c r="BP105" s="109">
        <f t="shared" si="16"/>
        <v>31155</v>
      </c>
      <c r="BQ105" s="76">
        <f t="shared" si="39"/>
        <v>155775</v>
      </c>
      <c r="BR105" s="110" t="s">
        <v>902</v>
      </c>
    </row>
    <row r="106" spans="1:70" ht="68" x14ac:dyDescent="0.2">
      <c r="A106" s="63">
        <v>102</v>
      </c>
      <c r="B106" s="126" t="s">
        <v>677</v>
      </c>
      <c r="C106" s="157" t="s">
        <v>678</v>
      </c>
      <c r="D106" s="63" t="s">
        <v>7</v>
      </c>
      <c r="E106" s="63">
        <v>5</v>
      </c>
      <c r="F106" s="38"/>
      <c r="G106" s="38"/>
      <c r="H106" s="38"/>
      <c r="I106" s="38"/>
      <c r="J106" s="38"/>
      <c r="K106" s="38"/>
      <c r="L106" s="38"/>
      <c r="M106" s="38"/>
      <c r="N106" s="38"/>
      <c r="O106" s="38"/>
      <c r="P106" s="38"/>
      <c r="Q106" s="38"/>
      <c r="R106" s="38"/>
      <c r="S106" s="38"/>
      <c r="T106" s="38"/>
      <c r="U106" s="38"/>
      <c r="V106" s="38"/>
      <c r="W106" s="38"/>
      <c r="X106" s="38"/>
      <c r="Y106" s="38"/>
      <c r="Z106" s="38"/>
      <c r="AA106" s="38"/>
      <c r="AB106" s="38"/>
      <c r="AC106" s="38"/>
      <c r="AD106" s="38"/>
      <c r="AE106" s="38"/>
      <c r="AF106" s="38"/>
      <c r="AG106" s="38"/>
      <c r="AH106" s="38"/>
      <c r="AI106" s="38"/>
      <c r="AJ106" s="38"/>
      <c r="AK106" s="38"/>
      <c r="AL106" s="38"/>
      <c r="AM106" s="38"/>
      <c r="AN106" s="38"/>
      <c r="AO106" s="38"/>
      <c r="AP106" s="38"/>
      <c r="AQ106" s="38"/>
      <c r="AR106" s="38"/>
      <c r="AS106" s="38"/>
      <c r="AT106" s="38"/>
      <c r="AU106" s="38"/>
      <c r="AV106" s="38"/>
      <c r="AW106" s="38"/>
      <c r="AX106" s="38"/>
      <c r="AY106" s="38">
        <v>110455.79999999999</v>
      </c>
      <c r="AZ106" s="38">
        <v>110455.79999999999</v>
      </c>
      <c r="BA106" s="38">
        <v>81000</v>
      </c>
      <c r="BB106" s="38"/>
      <c r="BC106" s="38"/>
      <c r="BD106" s="38"/>
      <c r="BE106" s="38"/>
      <c r="BF106" s="38"/>
      <c r="BG106" s="38"/>
      <c r="BH106" s="38"/>
      <c r="BI106" s="38"/>
      <c r="BJ106" s="107">
        <f t="shared" si="28"/>
        <v>110455.79999999999</v>
      </c>
      <c r="BK106" s="107">
        <f t="shared" si="29"/>
        <v>100637.2</v>
      </c>
      <c r="BL106" s="108">
        <f t="shared" si="30"/>
        <v>17006.314059195811</v>
      </c>
      <c r="BM106" s="65">
        <f t="shared" si="31"/>
        <v>0.16898635950916571</v>
      </c>
      <c r="BN106" s="66">
        <f t="shared" si="11"/>
        <v>92820.168067226899</v>
      </c>
      <c r="BO106" s="66">
        <f t="shared" si="12"/>
        <v>17635.831932773111</v>
      </c>
      <c r="BP106" s="109">
        <f t="shared" si="16"/>
        <v>110456</v>
      </c>
      <c r="BQ106" s="76">
        <f t="shared" si="39"/>
        <v>552280</v>
      </c>
      <c r="BR106" s="110" t="s">
        <v>902</v>
      </c>
    </row>
    <row r="107" spans="1:70" ht="85" x14ac:dyDescent="0.2">
      <c r="A107" s="63">
        <v>103</v>
      </c>
      <c r="B107" s="126" t="s">
        <v>679</v>
      </c>
      <c r="C107" s="157" t="s">
        <v>680</v>
      </c>
      <c r="D107" s="63" t="s">
        <v>7</v>
      </c>
      <c r="E107" s="63">
        <v>10</v>
      </c>
      <c r="F107" s="38"/>
      <c r="G107" s="38"/>
      <c r="H107" s="38"/>
      <c r="I107" s="38"/>
      <c r="J107" s="38"/>
      <c r="K107" s="38"/>
      <c r="L107" s="38"/>
      <c r="M107" s="38"/>
      <c r="N107" s="38"/>
      <c r="O107" s="38"/>
      <c r="P107" s="38"/>
      <c r="Q107" s="38"/>
      <c r="R107" s="38"/>
      <c r="S107" s="38"/>
      <c r="T107" s="38"/>
      <c r="U107" s="38"/>
      <c r="V107" s="38"/>
      <c r="W107" s="38"/>
      <c r="X107" s="38"/>
      <c r="Y107" s="38"/>
      <c r="Z107" s="38"/>
      <c r="AA107" s="38"/>
      <c r="AB107" s="38"/>
      <c r="AC107" s="38"/>
      <c r="AD107" s="38"/>
      <c r="AE107" s="38"/>
      <c r="AF107" s="38"/>
      <c r="AG107" s="38"/>
      <c r="AH107" s="38"/>
      <c r="AI107" s="38"/>
      <c r="AJ107" s="38"/>
      <c r="AK107" s="38"/>
      <c r="AL107" s="38"/>
      <c r="AM107" s="38"/>
      <c r="AN107" s="38"/>
      <c r="AO107" s="38"/>
      <c r="AP107" s="38"/>
      <c r="AQ107" s="38"/>
      <c r="AR107" s="38"/>
      <c r="AS107" s="38"/>
      <c r="AT107" s="38"/>
      <c r="AU107" s="38"/>
      <c r="AV107" s="38"/>
      <c r="AW107" s="38"/>
      <c r="AX107" s="38"/>
      <c r="AY107" s="38">
        <v>53811.799999999996</v>
      </c>
      <c r="AZ107" s="38">
        <v>53811.799999999996</v>
      </c>
      <c r="BA107" s="38">
        <v>63000</v>
      </c>
      <c r="BB107" s="38"/>
      <c r="BC107" s="38"/>
      <c r="BD107" s="38"/>
      <c r="BE107" s="38"/>
      <c r="BF107" s="38"/>
      <c r="BG107" s="38"/>
      <c r="BH107" s="38"/>
      <c r="BI107" s="38"/>
      <c r="BJ107" s="107">
        <f t="shared" si="28"/>
        <v>53811.799999999996</v>
      </c>
      <c r="BK107" s="107">
        <f t="shared" si="29"/>
        <v>56874.533333333326</v>
      </c>
      <c r="BL107" s="108">
        <f t="shared" si="30"/>
        <v>5304.8097433681223</v>
      </c>
      <c r="BM107" s="65">
        <f t="shared" si="31"/>
        <v>9.3272145413086871E-2</v>
      </c>
      <c r="BN107" s="66">
        <f t="shared" si="11"/>
        <v>47794.117647058825</v>
      </c>
      <c r="BO107" s="66">
        <f t="shared" si="12"/>
        <v>9080.8823529411766</v>
      </c>
      <c r="BP107" s="109">
        <f t="shared" si="16"/>
        <v>56875</v>
      </c>
      <c r="BQ107" s="76">
        <f t="shared" si="39"/>
        <v>568750</v>
      </c>
      <c r="BR107" s="110" t="s">
        <v>903</v>
      </c>
    </row>
    <row r="108" spans="1:70" ht="68" x14ac:dyDescent="0.2">
      <c r="A108" s="63">
        <v>104</v>
      </c>
      <c r="B108" s="126" t="s">
        <v>681</v>
      </c>
      <c r="C108" s="158" t="s">
        <v>682</v>
      </c>
      <c r="D108" s="63" t="s">
        <v>7</v>
      </c>
      <c r="E108" s="63">
        <v>5</v>
      </c>
      <c r="F108" s="38"/>
      <c r="G108" s="38"/>
      <c r="H108" s="38"/>
      <c r="I108" s="38"/>
      <c r="J108" s="38"/>
      <c r="K108" s="38"/>
      <c r="L108" s="38"/>
      <c r="M108" s="38"/>
      <c r="N108" s="38"/>
      <c r="O108" s="38"/>
      <c r="P108" s="38"/>
      <c r="Q108" s="38"/>
      <c r="R108" s="38"/>
      <c r="S108" s="38"/>
      <c r="T108" s="38"/>
      <c r="U108" s="38"/>
      <c r="V108" s="38"/>
      <c r="W108" s="38"/>
      <c r="X108" s="38"/>
      <c r="Y108" s="38"/>
      <c r="Z108" s="38"/>
      <c r="AA108" s="38"/>
      <c r="AB108" s="38"/>
      <c r="AC108" s="38"/>
      <c r="AD108" s="38"/>
      <c r="AE108" s="38"/>
      <c r="AF108" s="38"/>
      <c r="AG108" s="38"/>
      <c r="AH108" s="38"/>
      <c r="AI108" s="38"/>
      <c r="AJ108" s="38"/>
      <c r="AK108" s="38"/>
      <c r="AL108" s="38"/>
      <c r="AM108" s="38"/>
      <c r="AN108" s="38"/>
      <c r="AO108" s="38"/>
      <c r="AP108" s="38"/>
      <c r="AQ108" s="38"/>
      <c r="AR108" s="38"/>
      <c r="AS108" s="38"/>
      <c r="AT108" s="38"/>
      <c r="AU108" s="38"/>
      <c r="AV108" s="38"/>
      <c r="AW108" s="38"/>
      <c r="AX108" s="38"/>
      <c r="AY108" s="38">
        <v>59476.2</v>
      </c>
      <c r="AZ108" s="38">
        <v>59476.2</v>
      </c>
      <c r="BA108" s="38">
        <v>57600</v>
      </c>
      <c r="BB108" s="38"/>
      <c r="BC108" s="38"/>
      <c r="BD108" s="38"/>
      <c r="BE108" s="38"/>
      <c r="BF108" s="38"/>
      <c r="BG108" s="38"/>
      <c r="BH108" s="38"/>
      <c r="BI108" s="38"/>
      <c r="BJ108" s="107">
        <f t="shared" si="28"/>
        <v>59476.2</v>
      </c>
      <c r="BK108" s="107">
        <f t="shared" si="29"/>
        <v>58850.799999999996</v>
      </c>
      <c r="BL108" s="108">
        <f t="shared" si="30"/>
        <v>1083.2245750535742</v>
      </c>
      <c r="BM108" s="65">
        <f t="shared" si="31"/>
        <v>1.8406284622359836E-2</v>
      </c>
      <c r="BN108" s="66">
        <f t="shared" si="11"/>
        <v>49454.621848739494</v>
      </c>
      <c r="BO108" s="66">
        <f t="shared" si="12"/>
        <v>9396.3781512605037</v>
      </c>
      <c r="BP108" s="109">
        <f t="shared" si="16"/>
        <v>58851</v>
      </c>
      <c r="BQ108" s="76">
        <f t="shared" si="39"/>
        <v>294255</v>
      </c>
      <c r="BR108" s="110" t="s">
        <v>903</v>
      </c>
    </row>
    <row r="109" spans="1:70" ht="114" customHeight="1" x14ac:dyDescent="0.2">
      <c r="A109" s="63">
        <v>105</v>
      </c>
      <c r="B109" s="126" t="s">
        <v>683</v>
      </c>
      <c r="C109" s="158" t="s">
        <v>1129</v>
      </c>
      <c r="D109" s="63" t="s">
        <v>1073</v>
      </c>
      <c r="E109" s="63">
        <v>5</v>
      </c>
      <c r="F109" s="38"/>
      <c r="G109" s="38"/>
      <c r="H109" s="38"/>
      <c r="I109" s="38"/>
      <c r="J109" s="38"/>
      <c r="K109" s="38"/>
      <c r="L109" s="38"/>
      <c r="M109" s="38"/>
      <c r="N109" s="38"/>
      <c r="O109" s="38"/>
      <c r="P109" s="38"/>
      <c r="Q109" s="38"/>
      <c r="R109" s="38"/>
      <c r="S109" s="38"/>
      <c r="T109" s="38"/>
      <c r="U109" s="38"/>
      <c r="V109" s="38"/>
      <c r="W109" s="38"/>
      <c r="X109" s="38"/>
      <c r="Y109" s="38"/>
      <c r="Z109" s="38"/>
      <c r="AA109" s="38"/>
      <c r="AB109" s="38"/>
      <c r="AC109" s="38"/>
      <c r="AD109" s="38"/>
      <c r="AE109" s="38"/>
      <c r="AF109" s="38"/>
      <c r="AG109" s="38"/>
      <c r="AH109" s="38"/>
      <c r="AI109" s="38"/>
      <c r="AJ109" s="38"/>
      <c r="AK109" s="38"/>
      <c r="AL109" s="38"/>
      <c r="AM109" s="38"/>
      <c r="AN109" s="38"/>
      <c r="AO109" s="38"/>
      <c r="AP109" s="38"/>
      <c r="AQ109" s="38"/>
      <c r="AR109" s="38"/>
      <c r="AS109" s="38"/>
      <c r="AT109" s="38"/>
      <c r="AU109" s="38"/>
      <c r="AV109" s="38"/>
      <c r="AW109" s="38"/>
      <c r="AX109" s="38"/>
      <c r="AY109" s="38"/>
      <c r="AZ109" s="38"/>
      <c r="BA109" s="38">
        <v>117000</v>
      </c>
      <c r="BB109" s="38">
        <v>85000</v>
      </c>
      <c r="BC109" s="38"/>
      <c r="BD109" s="38"/>
      <c r="BE109" s="38"/>
      <c r="BF109" s="38"/>
      <c r="BG109" s="38"/>
      <c r="BH109" s="38"/>
      <c r="BI109" s="38"/>
      <c r="BJ109" s="107">
        <f t="shared" si="28"/>
        <v>101000</v>
      </c>
      <c r="BK109" s="107">
        <f t="shared" si="29"/>
        <v>101000</v>
      </c>
      <c r="BL109" s="108">
        <f t="shared" si="30"/>
        <v>22627.416997969522</v>
      </c>
      <c r="BM109" s="65">
        <f t="shared" si="31"/>
        <v>0.22403383166306456</v>
      </c>
      <c r="BN109" s="66">
        <f t="shared" si="11"/>
        <v>84873.94957983194</v>
      </c>
      <c r="BO109" s="66">
        <f t="shared" si="12"/>
        <v>16126.050420168069</v>
      </c>
      <c r="BP109" s="109">
        <f t="shared" si="16"/>
        <v>101000</v>
      </c>
      <c r="BQ109" s="76">
        <f t="shared" si="39"/>
        <v>505000</v>
      </c>
      <c r="BR109" s="110" t="s">
        <v>902</v>
      </c>
    </row>
    <row r="110" spans="1:70" ht="66.75" customHeight="1" x14ac:dyDescent="0.2">
      <c r="A110" s="63">
        <v>106</v>
      </c>
      <c r="B110" s="126" t="s">
        <v>684</v>
      </c>
      <c r="C110" s="158" t="s">
        <v>685</v>
      </c>
      <c r="D110" s="63" t="s">
        <v>7</v>
      </c>
      <c r="E110" s="63">
        <v>5</v>
      </c>
      <c r="F110" s="38"/>
      <c r="G110" s="38"/>
      <c r="H110" s="38"/>
      <c r="I110" s="38"/>
      <c r="J110" s="38"/>
      <c r="K110" s="38"/>
      <c r="L110" s="38"/>
      <c r="M110" s="38"/>
      <c r="N110" s="38"/>
      <c r="O110" s="38"/>
      <c r="P110" s="38"/>
      <c r="Q110" s="38"/>
      <c r="R110" s="38"/>
      <c r="S110" s="38"/>
      <c r="T110" s="38"/>
      <c r="U110" s="38"/>
      <c r="V110" s="38"/>
      <c r="W110" s="38"/>
      <c r="X110" s="38"/>
      <c r="Y110" s="38"/>
      <c r="Z110" s="38"/>
      <c r="AA110" s="38"/>
      <c r="AB110" s="38"/>
      <c r="AC110" s="38"/>
      <c r="AD110" s="38"/>
      <c r="AE110" s="38"/>
      <c r="AF110" s="38"/>
      <c r="AG110" s="38"/>
      <c r="AH110" s="38"/>
      <c r="AI110" s="38"/>
      <c r="AJ110" s="38"/>
      <c r="AK110" s="38"/>
      <c r="AL110" s="38"/>
      <c r="AM110" s="38"/>
      <c r="AN110" s="38"/>
      <c r="AO110" s="38"/>
      <c r="AP110" s="38"/>
      <c r="AQ110" s="38"/>
      <c r="AR110" s="38"/>
      <c r="AS110" s="38"/>
      <c r="AT110" s="38"/>
      <c r="AU110" s="38"/>
      <c r="AV110" s="38"/>
      <c r="AW110" s="38"/>
      <c r="AX110" s="38"/>
      <c r="AY110" s="38">
        <v>134529.5</v>
      </c>
      <c r="AZ110" s="38">
        <v>134529.5</v>
      </c>
      <c r="BA110" s="38"/>
      <c r="BB110" s="38"/>
      <c r="BC110" s="38"/>
      <c r="BD110" s="38"/>
      <c r="BE110" s="38"/>
      <c r="BF110" s="38"/>
      <c r="BG110" s="38"/>
      <c r="BH110" s="38"/>
      <c r="BI110" s="38"/>
      <c r="BJ110" s="107">
        <f t="shared" si="28"/>
        <v>134529.5</v>
      </c>
      <c r="BK110" s="107">
        <f t="shared" si="29"/>
        <v>134529.5</v>
      </c>
      <c r="BL110" s="108">
        <f t="shared" si="30"/>
        <v>0</v>
      </c>
      <c r="BM110" s="65">
        <f t="shared" si="31"/>
        <v>0</v>
      </c>
      <c r="BN110" s="66">
        <f t="shared" si="11"/>
        <v>113050.42016806723</v>
      </c>
      <c r="BO110" s="66">
        <f t="shared" si="12"/>
        <v>21479.579831932773</v>
      </c>
      <c r="BP110" s="109">
        <f t="shared" si="16"/>
        <v>134530</v>
      </c>
      <c r="BQ110" s="76">
        <f t="shared" si="39"/>
        <v>672650</v>
      </c>
      <c r="BR110" s="110" t="s">
        <v>903</v>
      </c>
    </row>
    <row r="111" spans="1:70" ht="34" x14ac:dyDescent="0.2">
      <c r="A111" s="63">
        <v>107</v>
      </c>
      <c r="B111" s="126" t="s">
        <v>686</v>
      </c>
      <c r="C111" s="158" t="s">
        <v>687</v>
      </c>
      <c r="D111" s="63" t="s">
        <v>7</v>
      </c>
      <c r="E111" s="63">
        <v>5</v>
      </c>
      <c r="F111" s="38"/>
      <c r="G111" s="38"/>
      <c r="H111" s="38"/>
      <c r="I111" s="38"/>
      <c r="J111" s="38"/>
      <c r="K111" s="38"/>
      <c r="L111" s="38"/>
      <c r="M111" s="38"/>
      <c r="N111" s="38"/>
      <c r="O111" s="38"/>
      <c r="P111" s="38"/>
      <c r="Q111" s="38"/>
      <c r="R111" s="38"/>
      <c r="S111" s="38"/>
      <c r="T111" s="38"/>
      <c r="U111" s="38"/>
      <c r="V111" s="38"/>
      <c r="W111" s="38"/>
      <c r="X111" s="38"/>
      <c r="Y111" s="38"/>
      <c r="Z111" s="38"/>
      <c r="AA111" s="38"/>
      <c r="AB111" s="38"/>
      <c r="AC111" s="38"/>
      <c r="AD111" s="38"/>
      <c r="AE111" s="38"/>
      <c r="AF111" s="38"/>
      <c r="AG111" s="38"/>
      <c r="AH111" s="38"/>
      <c r="AI111" s="38"/>
      <c r="AJ111" s="38"/>
      <c r="AK111" s="38"/>
      <c r="AL111" s="38"/>
      <c r="AM111" s="38"/>
      <c r="AN111" s="38"/>
      <c r="AO111" s="38"/>
      <c r="AP111" s="38">
        <f>20756.3*1.19</f>
        <v>24699.996999999999</v>
      </c>
      <c r="AQ111" s="38"/>
      <c r="AR111" s="38"/>
      <c r="AS111" s="38"/>
      <c r="AT111" s="38"/>
      <c r="AU111" s="38"/>
      <c r="AV111" s="38"/>
      <c r="AW111" s="38"/>
      <c r="AX111" s="38"/>
      <c r="AY111" s="38">
        <v>39650.799999999996</v>
      </c>
      <c r="AZ111" s="38">
        <v>39650.799999999996</v>
      </c>
      <c r="BA111" s="38">
        <v>26100</v>
      </c>
      <c r="BB111" s="38"/>
      <c r="BC111" s="38"/>
      <c r="BD111" s="38"/>
      <c r="BE111" s="38"/>
      <c r="BF111" s="38"/>
      <c r="BG111" s="38"/>
      <c r="BH111" s="38"/>
      <c r="BI111" s="38"/>
      <c r="BJ111" s="107">
        <f t="shared" si="28"/>
        <v>32875.399999999994</v>
      </c>
      <c r="BK111" s="107">
        <f t="shared" si="29"/>
        <v>32525.399249999995</v>
      </c>
      <c r="BL111" s="108">
        <f t="shared" si="30"/>
        <v>8247.5319054128286</v>
      </c>
      <c r="BM111" s="65">
        <f t="shared" si="31"/>
        <v>0.25357204202229217</v>
      </c>
      <c r="BN111" s="66">
        <f t="shared" si="11"/>
        <v>27626.89075630252</v>
      </c>
      <c r="BO111" s="66">
        <f t="shared" si="12"/>
        <v>5249.1092436974786</v>
      </c>
      <c r="BP111" s="109">
        <f t="shared" si="16"/>
        <v>32876</v>
      </c>
      <c r="BQ111" s="76">
        <f t="shared" si="39"/>
        <v>164380</v>
      </c>
      <c r="BR111" s="110" t="s">
        <v>902</v>
      </c>
    </row>
    <row r="112" spans="1:70" ht="34" x14ac:dyDescent="0.2">
      <c r="A112" s="63">
        <v>108</v>
      </c>
      <c r="B112" s="126" t="s">
        <v>688</v>
      </c>
      <c r="C112" s="158" t="s">
        <v>689</v>
      </c>
      <c r="D112" s="63" t="s">
        <v>7</v>
      </c>
      <c r="E112" s="63">
        <v>5</v>
      </c>
      <c r="F112" s="38"/>
      <c r="G112" s="38"/>
      <c r="H112" s="38"/>
      <c r="I112" s="38"/>
      <c r="J112" s="38"/>
      <c r="K112" s="38"/>
      <c r="L112" s="38"/>
      <c r="M112" s="38"/>
      <c r="N112" s="38"/>
      <c r="O112" s="38"/>
      <c r="P112" s="38"/>
      <c r="Q112" s="38"/>
      <c r="R112" s="38"/>
      <c r="S112" s="38"/>
      <c r="T112" s="38"/>
      <c r="U112" s="38"/>
      <c r="V112" s="38"/>
      <c r="W112" s="38"/>
      <c r="X112" s="38"/>
      <c r="Y112" s="38"/>
      <c r="Z112" s="38"/>
      <c r="AA112" s="38"/>
      <c r="AB112" s="38"/>
      <c r="AC112" s="38"/>
      <c r="AD112" s="38"/>
      <c r="AE112" s="38"/>
      <c r="AF112" s="38"/>
      <c r="AG112" s="38"/>
      <c r="AH112" s="38"/>
      <c r="AI112" s="38"/>
      <c r="AJ112" s="38"/>
      <c r="AK112" s="38"/>
      <c r="AL112" s="38"/>
      <c r="AM112" s="38"/>
      <c r="AN112" s="38"/>
      <c r="AO112" s="38"/>
      <c r="AP112" s="38">
        <f>20756.3*1.19</f>
        <v>24699.996999999999</v>
      </c>
      <c r="AQ112" s="38"/>
      <c r="AR112" s="38"/>
      <c r="AS112" s="38"/>
      <c r="AT112" s="38"/>
      <c r="AU112" s="38"/>
      <c r="AV112" s="38"/>
      <c r="AW112" s="38"/>
      <c r="AX112" s="38"/>
      <c r="AY112" s="38">
        <v>49563.5</v>
      </c>
      <c r="AZ112" s="38">
        <v>49563.5</v>
      </c>
      <c r="BA112" s="38">
        <v>37800</v>
      </c>
      <c r="BB112" s="38"/>
      <c r="BC112" s="38"/>
      <c r="BD112" s="38"/>
      <c r="BE112" s="38"/>
      <c r="BF112" s="38"/>
      <c r="BG112" s="38"/>
      <c r="BH112" s="38"/>
      <c r="BI112" s="38"/>
      <c r="BJ112" s="107">
        <f t="shared" si="28"/>
        <v>43681.75</v>
      </c>
      <c r="BK112" s="107">
        <f t="shared" si="29"/>
        <v>40406.749250000001</v>
      </c>
      <c r="BL112" s="108">
        <f t="shared" si="30"/>
        <v>11848.901165516098</v>
      </c>
      <c r="BM112" s="65">
        <f t="shared" si="31"/>
        <v>0.2932406438391254</v>
      </c>
      <c r="BN112" s="66">
        <f t="shared" ref="BN112:BN175" si="46">BP112/1.19</f>
        <v>36707.563025210089</v>
      </c>
      <c r="BO112" s="66">
        <f t="shared" ref="BO112:BO175" si="47">BN112*19%</f>
        <v>6974.4369747899173</v>
      </c>
      <c r="BP112" s="109">
        <f t="shared" si="16"/>
        <v>43682</v>
      </c>
      <c r="BQ112" s="76">
        <f t="shared" si="39"/>
        <v>218410</v>
      </c>
      <c r="BR112" s="110" t="s">
        <v>902</v>
      </c>
    </row>
    <row r="113" spans="1:70" ht="85" x14ac:dyDescent="0.2">
      <c r="A113" s="63">
        <v>109</v>
      </c>
      <c r="B113" s="126" t="s">
        <v>690</v>
      </c>
      <c r="C113" s="157" t="s">
        <v>691</v>
      </c>
      <c r="D113" s="63" t="s">
        <v>7</v>
      </c>
      <c r="E113" s="63">
        <v>5</v>
      </c>
      <c r="F113" s="38"/>
      <c r="G113" s="38"/>
      <c r="H113" s="38"/>
      <c r="I113" s="38"/>
      <c r="J113" s="38"/>
      <c r="K113" s="38"/>
      <c r="L113" s="38"/>
      <c r="M113" s="38"/>
      <c r="N113" s="38"/>
      <c r="O113" s="38"/>
      <c r="P113" s="38"/>
      <c r="Q113" s="38"/>
      <c r="R113" s="38"/>
      <c r="S113" s="38"/>
      <c r="T113" s="38"/>
      <c r="U113" s="38"/>
      <c r="V113" s="38"/>
      <c r="W113" s="38"/>
      <c r="X113" s="38"/>
      <c r="Y113" s="38"/>
      <c r="Z113" s="38"/>
      <c r="AA113" s="38"/>
      <c r="AB113" s="38"/>
      <c r="AC113" s="38"/>
      <c r="AD113" s="38"/>
      <c r="AE113" s="38"/>
      <c r="AF113" s="38"/>
      <c r="AG113" s="38"/>
      <c r="AH113" s="38"/>
      <c r="AI113" s="38"/>
      <c r="AJ113" s="38"/>
      <c r="AK113" s="38"/>
      <c r="AL113" s="38"/>
      <c r="AM113" s="38"/>
      <c r="AN113" s="38"/>
      <c r="AO113" s="38"/>
      <c r="AP113" s="38"/>
      <c r="AQ113" s="38"/>
      <c r="AR113" s="38"/>
      <c r="AS113" s="38"/>
      <c r="AT113" s="38"/>
      <c r="AU113" s="38"/>
      <c r="AV113" s="38"/>
      <c r="AW113" s="38"/>
      <c r="AX113" s="38"/>
      <c r="AY113" s="38">
        <v>17701.25</v>
      </c>
      <c r="AZ113" s="38">
        <v>17701.25</v>
      </c>
      <c r="BA113" s="38"/>
      <c r="BB113" s="38"/>
      <c r="BC113" s="38"/>
      <c r="BD113" s="38"/>
      <c r="BE113" s="38"/>
      <c r="BF113" s="38"/>
      <c r="BG113" s="38"/>
      <c r="BH113" s="38"/>
      <c r="BI113" s="38"/>
      <c r="BJ113" s="107">
        <f t="shared" si="28"/>
        <v>17701.25</v>
      </c>
      <c r="BK113" s="107">
        <f t="shared" si="29"/>
        <v>17701.25</v>
      </c>
      <c r="BL113" s="108">
        <f t="shared" si="30"/>
        <v>0</v>
      </c>
      <c r="BM113" s="65">
        <f t="shared" si="31"/>
        <v>0</v>
      </c>
      <c r="BN113" s="66">
        <f t="shared" si="46"/>
        <v>14875.63025210084</v>
      </c>
      <c r="BO113" s="66">
        <f t="shared" si="47"/>
        <v>2826.3697478991598</v>
      </c>
      <c r="BP113" s="109">
        <f t="shared" si="16"/>
        <v>17702</v>
      </c>
      <c r="BQ113" s="76">
        <f t="shared" si="39"/>
        <v>88510</v>
      </c>
      <c r="BR113" s="110" t="s">
        <v>903</v>
      </c>
    </row>
    <row r="114" spans="1:70" ht="34" x14ac:dyDescent="0.2">
      <c r="A114" s="63">
        <v>110</v>
      </c>
      <c r="B114" s="126" t="s">
        <v>692</v>
      </c>
      <c r="C114" s="157" t="s">
        <v>693</v>
      </c>
      <c r="D114" s="63" t="s">
        <v>7</v>
      </c>
      <c r="E114" s="63">
        <v>5</v>
      </c>
      <c r="F114" s="38"/>
      <c r="G114" s="38"/>
      <c r="H114" s="38"/>
      <c r="I114" s="38"/>
      <c r="J114" s="38"/>
      <c r="K114" s="38"/>
      <c r="L114" s="38"/>
      <c r="M114" s="38"/>
      <c r="N114" s="38"/>
      <c r="O114" s="38"/>
      <c r="P114" s="38"/>
      <c r="Q114" s="38"/>
      <c r="R114" s="38"/>
      <c r="S114" s="38"/>
      <c r="T114" s="38"/>
      <c r="U114" s="38"/>
      <c r="V114" s="38"/>
      <c r="W114" s="38"/>
      <c r="X114" s="38"/>
      <c r="Y114" s="38"/>
      <c r="Z114" s="38"/>
      <c r="AA114" s="38"/>
      <c r="AB114" s="38"/>
      <c r="AC114" s="38"/>
      <c r="AD114" s="38"/>
      <c r="AE114" s="38"/>
      <c r="AF114" s="38"/>
      <c r="AG114" s="38"/>
      <c r="AH114" s="38"/>
      <c r="AI114" s="38"/>
      <c r="AJ114" s="38"/>
      <c r="AK114" s="38"/>
      <c r="AL114" s="38"/>
      <c r="AM114" s="38"/>
      <c r="AN114" s="38"/>
      <c r="AO114" s="38"/>
      <c r="AP114" s="38"/>
      <c r="AQ114" s="38"/>
      <c r="AR114" s="38"/>
      <c r="AS114" s="38"/>
      <c r="AT114" s="38"/>
      <c r="AU114" s="38"/>
      <c r="AV114" s="38"/>
      <c r="AW114" s="38"/>
      <c r="AX114" s="38"/>
      <c r="AY114" s="38">
        <v>33320</v>
      </c>
      <c r="AZ114" s="38">
        <v>35700</v>
      </c>
      <c r="BA114" s="38">
        <v>45000</v>
      </c>
      <c r="BB114" s="38"/>
      <c r="BC114" s="38"/>
      <c r="BD114" s="38"/>
      <c r="BE114" s="38"/>
      <c r="BF114" s="38"/>
      <c r="BG114" s="38"/>
      <c r="BH114" s="38"/>
      <c r="BI114" s="38"/>
      <c r="BJ114" s="107">
        <f t="shared" si="28"/>
        <v>35700</v>
      </c>
      <c r="BK114" s="107">
        <f t="shared" si="29"/>
        <v>38006.666666666664</v>
      </c>
      <c r="BL114" s="108">
        <f t="shared" si="30"/>
        <v>6172.2065206321067</v>
      </c>
      <c r="BM114" s="65">
        <f t="shared" si="31"/>
        <v>0.16239799650847503</v>
      </c>
      <c r="BN114" s="66">
        <f t="shared" si="46"/>
        <v>30000</v>
      </c>
      <c r="BO114" s="66">
        <f t="shared" si="47"/>
        <v>5700</v>
      </c>
      <c r="BP114" s="109">
        <f t="shared" si="16"/>
        <v>35700</v>
      </c>
      <c r="BQ114" s="76">
        <f t="shared" si="39"/>
        <v>178500</v>
      </c>
      <c r="BR114" s="110" t="s">
        <v>902</v>
      </c>
    </row>
    <row r="115" spans="1:70" ht="221" x14ac:dyDescent="0.2">
      <c r="A115" s="63">
        <v>111</v>
      </c>
      <c r="B115" s="126" t="s">
        <v>1130</v>
      </c>
      <c r="C115" s="157" t="s">
        <v>694</v>
      </c>
      <c r="D115" s="63" t="s">
        <v>7</v>
      </c>
      <c r="E115" s="63">
        <v>5</v>
      </c>
      <c r="F115" s="38"/>
      <c r="G115" s="38"/>
      <c r="H115" s="38"/>
      <c r="I115" s="38"/>
      <c r="J115" s="38"/>
      <c r="K115" s="38"/>
      <c r="L115" s="38"/>
      <c r="M115" s="38"/>
      <c r="N115" s="38"/>
      <c r="O115" s="38"/>
      <c r="P115" s="38"/>
      <c r="Q115" s="38"/>
      <c r="R115" s="38"/>
      <c r="S115" s="38"/>
      <c r="T115" s="38"/>
      <c r="U115" s="38"/>
      <c r="V115" s="38"/>
      <c r="W115" s="38"/>
      <c r="X115" s="38"/>
      <c r="Y115" s="38"/>
      <c r="Z115" s="38"/>
      <c r="AA115" s="38"/>
      <c r="AB115" s="38"/>
      <c r="AC115" s="38"/>
      <c r="AD115" s="38"/>
      <c r="AE115" s="38"/>
      <c r="AF115" s="38"/>
      <c r="AG115" s="38"/>
      <c r="AH115" s="38"/>
      <c r="AI115" s="38"/>
      <c r="AJ115" s="38"/>
      <c r="AK115" s="38"/>
      <c r="AL115" s="38"/>
      <c r="AM115" s="38"/>
      <c r="AN115" s="38"/>
      <c r="AO115" s="38"/>
      <c r="AP115" s="38"/>
      <c r="AQ115" s="38"/>
      <c r="AR115" s="38"/>
      <c r="AS115" s="38"/>
      <c r="AT115" s="38"/>
      <c r="AU115" s="38"/>
      <c r="AV115" s="38"/>
      <c r="AW115" s="38"/>
      <c r="AX115" s="38"/>
      <c r="AY115" s="38">
        <v>10710</v>
      </c>
      <c r="AZ115" s="38">
        <v>11900</v>
      </c>
      <c r="BA115" s="38">
        <v>8550</v>
      </c>
      <c r="BB115" s="38"/>
      <c r="BC115" s="38">
        <v>6900</v>
      </c>
      <c r="BD115" s="38"/>
      <c r="BE115" s="38"/>
      <c r="BF115" s="38"/>
      <c r="BG115" s="38"/>
      <c r="BH115" s="38"/>
      <c r="BI115" s="38"/>
      <c r="BJ115" s="107">
        <f t="shared" si="28"/>
        <v>9630</v>
      </c>
      <c r="BK115" s="107">
        <f t="shared" si="29"/>
        <v>9515</v>
      </c>
      <c r="BL115" s="108">
        <f t="shared" si="30"/>
        <v>2227.5322668818962</v>
      </c>
      <c r="BM115" s="65">
        <f t="shared" si="31"/>
        <v>0.23410743740219614</v>
      </c>
      <c r="BN115" s="66">
        <f t="shared" si="46"/>
        <v>8092.4369747899163</v>
      </c>
      <c r="BO115" s="66">
        <f t="shared" si="47"/>
        <v>1537.5630252100841</v>
      </c>
      <c r="BP115" s="109">
        <f t="shared" si="16"/>
        <v>9630</v>
      </c>
      <c r="BQ115" s="76">
        <f t="shared" si="39"/>
        <v>48150</v>
      </c>
      <c r="BR115" s="110" t="s">
        <v>902</v>
      </c>
    </row>
    <row r="116" spans="1:70" ht="221.25" customHeight="1" x14ac:dyDescent="0.2">
      <c r="A116" s="63">
        <v>112</v>
      </c>
      <c r="B116" s="63" t="s">
        <v>860</v>
      </c>
      <c r="C116" s="157" t="s">
        <v>695</v>
      </c>
      <c r="D116" s="63" t="s">
        <v>7</v>
      </c>
      <c r="E116" s="63">
        <v>5</v>
      </c>
      <c r="F116" s="89">
        <v>90000</v>
      </c>
      <c r="G116" s="70">
        <f t="shared" ref="G116:G119" si="48">((F116*5.1%)+F116)</f>
        <v>94590</v>
      </c>
      <c r="H116" s="89">
        <v>99000</v>
      </c>
      <c r="I116" s="70">
        <f t="shared" ref="I116:I119" si="49">((H116*5.1%)+H116)</f>
        <v>104049</v>
      </c>
      <c r="J116" s="38"/>
      <c r="K116" s="38"/>
      <c r="L116" s="89">
        <v>72500</v>
      </c>
      <c r="M116" s="70">
        <f t="shared" ref="M116:M117" si="50">((L116*5.1%)+L116)</f>
        <v>76197.5</v>
      </c>
      <c r="N116" s="89">
        <v>84500</v>
      </c>
      <c r="O116" s="70">
        <f t="shared" ref="O116:Q127" si="51">((N116*5.1%)+N116)</f>
        <v>88809.5</v>
      </c>
      <c r="P116" s="38"/>
      <c r="Q116" s="38"/>
      <c r="R116" s="38"/>
      <c r="S116" s="38"/>
      <c r="T116" s="38"/>
      <c r="U116" s="38"/>
      <c r="V116" s="38"/>
      <c r="W116" s="38"/>
      <c r="X116" s="38"/>
      <c r="Y116" s="38"/>
      <c r="Z116" s="38"/>
      <c r="AA116" s="38"/>
      <c r="AB116" s="38"/>
      <c r="AC116" s="38"/>
      <c r="AD116" s="38"/>
      <c r="AE116" s="38"/>
      <c r="AF116" s="38"/>
      <c r="AG116" s="38"/>
      <c r="AH116" s="38"/>
      <c r="AI116" s="38"/>
      <c r="AJ116" s="38"/>
      <c r="AK116" s="38"/>
      <c r="AL116" s="38"/>
      <c r="AM116" s="38"/>
      <c r="AN116" s="38"/>
      <c r="AO116" s="38"/>
      <c r="AP116" s="38"/>
      <c r="AQ116" s="38"/>
      <c r="AR116" s="38"/>
      <c r="AS116" s="38"/>
      <c r="AT116" s="38"/>
      <c r="AU116" s="38"/>
      <c r="AV116" s="38"/>
      <c r="AW116" s="38"/>
      <c r="AX116" s="38"/>
      <c r="AY116" s="38"/>
      <c r="AZ116" s="38"/>
      <c r="BA116" s="38"/>
      <c r="BB116" s="38"/>
      <c r="BC116" s="38"/>
      <c r="BD116" s="38"/>
      <c r="BE116" s="38"/>
      <c r="BF116" s="38"/>
      <c r="BG116" s="38"/>
      <c r="BH116" s="38"/>
      <c r="BI116" s="38"/>
      <c r="BJ116" s="107">
        <f t="shared" si="28"/>
        <v>91699.75</v>
      </c>
      <c r="BK116" s="107">
        <f t="shared" si="29"/>
        <v>90911.5</v>
      </c>
      <c r="BL116" s="108">
        <f t="shared" si="30"/>
        <v>11648.254068028107</v>
      </c>
      <c r="BM116" s="65">
        <f t="shared" si="31"/>
        <v>0.12812739937222581</v>
      </c>
      <c r="BN116" s="66">
        <f t="shared" si="46"/>
        <v>76396.638655462186</v>
      </c>
      <c r="BO116" s="66">
        <f t="shared" si="47"/>
        <v>14515.361344537816</v>
      </c>
      <c r="BP116" s="109">
        <f t="shared" si="16"/>
        <v>90912</v>
      </c>
      <c r="BQ116" s="76">
        <f t="shared" si="39"/>
        <v>454560</v>
      </c>
      <c r="BR116" s="110" t="s">
        <v>903</v>
      </c>
    </row>
    <row r="117" spans="1:70" ht="221" x14ac:dyDescent="0.2">
      <c r="A117" s="63">
        <v>113</v>
      </c>
      <c r="B117" s="63" t="s">
        <v>1131</v>
      </c>
      <c r="C117" s="157" t="s">
        <v>696</v>
      </c>
      <c r="D117" s="63" t="s">
        <v>7</v>
      </c>
      <c r="E117" s="63">
        <v>5</v>
      </c>
      <c r="F117" s="89">
        <v>108000</v>
      </c>
      <c r="G117" s="70">
        <f t="shared" si="48"/>
        <v>113508</v>
      </c>
      <c r="H117" s="89">
        <v>108000</v>
      </c>
      <c r="I117" s="70">
        <f t="shared" si="49"/>
        <v>113508</v>
      </c>
      <c r="J117" s="38"/>
      <c r="K117" s="38"/>
      <c r="L117" s="89">
        <v>84500</v>
      </c>
      <c r="M117" s="70">
        <f t="shared" si="50"/>
        <v>88809.5</v>
      </c>
      <c r="N117" s="89">
        <v>88500</v>
      </c>
      <c r="O117" s="70">
        <f t="shared" si="51"/>
        <v>93013.5</v>
      </c>
      <c r="P117" s="38"/>
      <c r="Q117" s="38"/>
      <c r="R117" s="38"/>
      <c r="S117" s="38"/>
      <c r="T117" s="38"/>
      <c r="U117" s="38"/>
      <c r="V117" s="38"/>
      <c r="W117" s="38"/>
      <c r="X117" s="38"/>
      <c r="Y117" s="38"/>
      <c r="Z117" s="38"/>
      <c r="AA117" s="38"/>
      <c r="AB117" s="38"/>
      <c r="AC117" s="38"/>
      <c r="AD117" s="38"/>
      <c r="AE117" s="38"/>
      <c r="AF117" s="38"/>
      <c r="AG117" s="38"/>
      <c r="AH117" s="38"/>
      <c r="AI117" s="38"/>
      <c r="AJ117" s="38"/>
      <c r="AK117" s="38"/>
      <c r="AL117" s="38"/>
      <c r="AM117" s="38"/>
      <c r="AN117" s="38"/>
      <c r="AO117" s="38"/>
      <c r="AP117" s="38"/>
      <c r="AQ117" s="38"/>
      <c r="AR117" s="38"/>
      <c r="AS117" s="38"/>
      <c r="AT117" s="38"/>
      <c r="AU117" s="38"/>
      <c r="AV117" s="38"/>
      <c r="AW117" s="38"/>
      <c r="AX117" s="38"/>
      <c r="AY117" s="38"/>
      <c r="AZ117" s="38"/>
      <c r="BA117" s="38"/>
      <c r="BB117" s="38"/>
      <c r="BC117" s="38"/>
      <c r="BD117" s="38"/>
      <c r="BE117" s="38"/>
      <c r="BF117" s="38"/>
      <c r="BG117" s="38"/>
      <c r="BH117" s="38"/>
      <c r="BI117" s="38"/>
      <c r="BJ117" s="107">
        <f t="shared" si="28"/>
        <v>103260.75</v>
      </c>
      <c r="BK117" s="107">
        <f t="shared" si="29"/>
        <v>102209.75</v>
      </c>
      <c r="BL117" s="108">
        <f t="shared" si="30"/>
        <v>13158.50321085191</v>
      </c>
      <c r="BM117" s="65">
        <f t="shared" si="31"/>
        <v>0.12874019563546443</v>
      </c>
      <c r="BN117" s="66">
        <f t="shared" si="46"/>
        <v>85890.756302521011</v>
      </c>
      <c r="BO117" s="66">
        <f t="shared" si="47"/>
        <v>16319.243697478993</v>
      </c>
      <c r="BP117" s="109">
        <f t="shared" ref="BP117:BP134" si="52">ROUNDUP(IF(BM117&lt;15%,BK117,BJ117),0)</f>
        <v>102210</v>
      </c>
      <c r="BQ117" s="76">
        <f t="shared" ref="BQ117:BQ138" si="53">BP117*E117</f>
        <v>511050</v>
      </c>
      <c r="BR117" s="110" t="s">
        <v>903</v>
      </c>
    </row>
    <row r="118" spans="1:70" ht="221" x14ac:dyDescent="0.2">
      <c r="A118" s="63">
        <v>114</v>
      </c>
      <c r="B118" s="63" t="s">
        <v>861</v>
      </c>
      <c r="C118" s="157" t="s">
        <v>697</v>
      </c>
      <c r="D118" s="63" t="s">
        <v>7</v>
      </c>
      <c r="E118" s="63">
        <v>5</v>
      </c>
      <c r="F118" s="89">
        <v>15000</v>
      </c>
      <c r="G118" s="70">
        <f t="shared" si="48"/>
        <v>15765</v>
      </c>
      <c r="H118" s="89">
        <v>15000</v>
      </c>
      <c r="I118" s="70">
        <f t="shared" si="49"/>
        <v>15765</v>
      </c>
      <c r="J118" s="38"/>
      <c r="K118" s="38"/>
      <c r="L118" s="38"/>
      <c r="M118" s="38"/>
      <c r="N118" s="38"/>
      <c r="O118" s="38"/>
      <c r="P118" s="89">
        <v>17000</v>
      </c>
      <c r="Q118" s="70">
        <f t="shared" si="51"/>
        <v>17867</v>
      </c>
      <c r="R118" s="38"/>
      <c r="S118" s="38"/>
      <c r="T118" s="38"/>
      <c r="U118" s="38"/>
      <c r="V118" s="38"/>
      <c r="W118" s="38"/>
      <c r="X118" s="38"/>
      <c r="Y118" s="38"/>
      <c r="Z118" s="38"/>
      <c r="AA118" s="38"/>
      <c r="AB118" s="38"/>
      <c r="AC118" s="38"/>
      <c r="AD118" s="38"/>
      <c r="AE118" s="38"/>
      <c r="AF118" s="38"/>
      <c r="AG118" s="38"/>
      <c r="AH118" s="38"/>
      <c r="AI118" s="38"/>
      <c r="AJ118" s="38"/>
      <c r="AK118" s="38"/>
      <c r="AL118" s="38"/>
      <c r="AM118" s="38"/>
      <c r="AN118" s="38"/>
      <c r="AO118" s="38"/>
      <c r="AP118" s="38"/>
      <c r="AQ118" s="38"/>
      <c r="AR118" s="38"/>
      <c r="AS118" s="38"/>
      <c r="AT118" s="38"/>
      <c r="AU118" s="38"/>
      <c r="AV118" s="38"/>
      <c r="AW118" s="38"/>
      <c r="AX118" s="38"/>
      <c r="AY118" s="38"/>
      <c r="AZ118" s="38"/>
      <c r="BA118" s="38"/>
      <c r="BB118" s="38"/>
      <c r="BC118" s="38"/>
      <c r="BD118" s="38"/>
      <c r="BE118" s="38"/>
      <c r="BF118" s="38"/>
      <c r="BG118" s="38"/>
      <c r="BH118" s="38"/>
      <c r="BI118" s="38"/>
      <c r="BJ118" s="107">
        <f t="shared" si="28"/>
        <v>15765</v>
      </c>
      <c r="BK118" s="107">
        <f t="shared" si="29"/>
        <v>16465.666666666668</v>
      </c>
      <c r="BL118" s="108">
        <f t="shared" si="30"/>
        <v>1213.5902658365935</v>
      </c>
      <c r="BM118" s="65">
        <f t="shared" si="31"/>
        <v>7.3704289683782023E-2</v>
      </c>
      <c r="BN118" s="66">
        <f t="shared" si="46"/>
        <v>13836.974789915967</v>
      </c>
      <c r="BO118" s="66">
        <f t="shared" si="47"/>
        <v>2629.0252100840335</v>
      </c>
      <c r="BP118" s="109">
        <f t="shared" si="52"/>
        <v>16466</v>
      </c>
      <c r="BQ118" s="76">
        <f t="shared" si="53"/>
        <v>82330</v>
      </c>
      <c r="BR118" s="110" t="s">
        <v>903</v>
      </c>
    </row>
    <row r="119" spans="1:70" ht="221" x14ac:dyDescent="0.2">
      <c r="A119" s="63">
        <v>115</v>
      </c>
      <c r="B119" s="63" t="s">
        <v>1132</v>
      </c>
      <c r="C119" s="157" t="s">
        <v>698</v>
      </c>
      <c r="D119" s="63" t="s">
        <v>7</v>
      </c>
      <c r="E119" s="63">
        <v>5</v>
      </c>
      <c r="F119" s="89">
        <v>15000</v>
      </c>
      <c r="G119" s="70">
        <f t="shared" si="48"/>
        <v>15765</v>
      </c>
      <c r="H119" s="89">
        <v>15000</v>
      </c>
      <c r="I119" s="70">
        <f t="shared" si="49"/>
        <v>15765</v>
      </c>
      <c r="J119" s="38"/>
      <c r="K119" s="38"/>
      <c r="L119" s="38"/>
      <c r="M119" s="38"/>
      <c r="N119" s="38"/>
      <c r="O119" s="38"/>
      <c r="P119" s="89">
        <v>17000</v>
      </c>
      <c r="Q119" s="70">
        <f t="shared" si="51"/>
        <v>17867</v>
      </c>
      <c r="R119" s="38"/>
      <c r="S119" s="38"/>
      <c r="T119" s="38"/>
      <c r="U119" s="38"/>
      <c r="V119" s="38"/>
      <c r="W119" s="38"/>
      <c r="X119" s="38"/>
      <c r="Y119" s="38"/>
      <c r="Z119" s="38"/>
      <c r="AA119" s="38"/>
      <c r="AB119" s="38"/>
      <c r="AC119" s="38"/>
      <c r="AD119" s="38"/>
      <c r="AE119" s="38"/>
      <c r="AF119" s="38"/>
      <c r="AG119" s="38"/>
      <c r="AH119" s="38"/>
      <c r="AI119" s="38"/>
      <c r="AJ119" s="38"/>
      <c r="AK119" s="38"/>
      <c r="AL119" s="38"/>
      <c r="AM119" s="38"/>
      <c r="AN119" s="38"/>
      <c r="AO119" s="38"/>
      <c r="AP119" s="38"/>
      <c r="AQ119" s="38"/>
      <c r="AR119" s="38"/>
      <c r="AS119" s="38"/>
      <c r="AT119" s="38"/>
      <c r="AU119" s="38"/>
      <c r="AV119" s="38"/>
      <c r="AW119" s="38"/>
      <c r="AX119" s="38"/>
      <c r="AY119" s="38"/>
      <c r="AZ119" s="38"/>
      <c r="BA119" s="38"/>
      <c r="BB119" s="38"/>
      <c r="BC119" s="38"/>
      <c r="BD119" s="38"/>
      <c r="BE119" s="38"/>
      <c r="BF119" s="38"/>
      <c r="BG119" s="38"/>
      <c r="BH119" s="38"/>
      <c r="BI119" s="38"/>
      <c r="BJ119" s="107">
        <f t="shared" si="28"/>
        <v>15765</v>
      </c>
      <c r="BK119" s="107">
        <f t="shared" si="29"/>
        <v>16465.666666666668</v>
      </c>
      <c r="BL119" s="108">
        <f t="shared" si="30"/>
        <v>1213.5902658365935</v>
      </c>
      <c r="BM119" s="65">
        <f t="shared" si="31"/>
        <v>7.3704289683782023E-2</v>
      </c>
      <c r="BN119" s="66">
        <f t="shared" si="46"/>
        <v>13836.974789915967</v>
      </c>
      <c r="BO119" s="66">
        <f t="shared" si="47"/>
        <v>2629.0252100840335</v>
      </c>
      <c r="BP119" s="109">
        <f t="shared" si="52"/>
        <v>16466</v>
      </c>
      <c r="BQ119" s="76">
        <f t="shared" si="53"/>
        <v>82330</v>
      </c>
      <c r="BR119" s="110" t="s">
        <v>903</v>
      </c>
    </row>
    <row r="120" spans="1:70" ht="221" x14ac:dyDescent="0.2">
      <c r="A120" s="63">
        <v>116</v>
      </c>
      <c r="B120" s="63" t="s">
        <v>1133</v>
      </c>
      <c r="C120" s="157" t="s">
        <v>699</v>
      </c>
      <c r="D120" s="63" t="s">
        <v>7</v>
      </c>
      <c r="E120" s="63">
        <v>5</v>
      </c>
      <c r="F120" s="38"/>
      <c r="G120" s="38"/>
      <c r="H120" s="38"/>
      <c r="I120" s="38"/>
      <c r="J120" s="38"/>
      <c r="K120" s="38"/>
      <c r="L120" s="38"/>
      <c r="M120" s="38"/>
      <c r="N120" s="38"/>
      <c r="O120" s="38"/>
      <c r="P120" s="38"/>
      <c r="Q120" s="38"/>
      <c r="R120" s="38"/>
      <c r="S120" s="38"/>
      <c r="T120" s="38"/>
      <c r="U120" s="38"/>
      <c r="V120" s="38"/>
      <c r="W120" s="38"/>
      <c r="X120" s="38"/>
      <c r="Y120" s="38"/>
      <c r="Z120" s="38"/>
      <c r="AA120" s="38"/>
      <c r="AB120" s="38"/>
      <c r="AC120" s="38"/>
      <c r="AD120" s="38"/>
      <c r="AE120" s="38"/>
      <c r="AF120" s="38"/>
      <c r="AG120" s="38"/>
      <c r="AH120" s="38"/>
      <c r="AI120" s="38"/>
      <c r="AJ120" s="38"/>
      <c r="AK120" s="38"/>
      <c r="AL120" s="38"/>
      <c r="AM120" s="38"/>
      <c r="AN120" s="38"/>
      <c r="AO120" s="38"/>
      <c r="AP120" s="38"/>
      <c r="AQ120" s="38"/>
      <c r="AR120" s="38"/>
      <c r="AS120" s="38"/>
      <c r="AT120" s="38"/>
      <c r="AU120" s="38"/>
      <c r="AV120" s="38"/>
      <c r="AW120" s="38"/>
      <c r="AX120" s="38"/>
      <c r="AY120" s="38">
        <v>11305</v>
      </c>
      <c r="AZ120" s="38">
        <v>11662</v>
      </c>
      <c r="BA120" s="38">
        <v>8550</v>
      </c>
      <c r="BB120" s="38"/>
      <c r="BC120" s="38"/>
      <c r="BD120" s="38"/>
      <c r="BE120" s="38"/>
      <c r="BF120" s="38"/>
      <c r="BG120" s="38"/>
      <c r="BH120" s="38"/>
      <c r="BI120" s="38"/>
      <c r="BJ120" s="107">
        <f t="shared" si="28"/>
        <v>11305</v>
      </c>
      <c r="BK120" s="107">
        <f t="shared" si="29"/>
        <v>10505.666666666666</v>
      </c>
      <c r="BL120" s="108">
        <f t="shared" si="30"/>
        <v>1703.0373845965164</v>
      </c>
      <c r="BM120" s="65">
        <f t="shared" si="31"/>
        <v>0.16210655055333786</v>
      </c>
      <c r="BN120" s="66">
        <f t="shared" si="46"/>
        <v>9500</v>
      </c>
      <c r="BO120" s="66">
        <f t="shared" si="47"/>
        <v>1805</v>
      </c>
      <c r="BP120" s="109">
        <f t="shared" si="52"/>
        <v>11305</v>
      </c>
      <c r="BQ120" s="76">
        <f t="shared" si="53"/>
        <v>56525</v>
      </c>
      <c r="BR120" s="110" t="s">
        <v>902</v>
      </c>
    </row>
    <row r="121" spans="1:70" ht="221" x14ac:dyDescent="0.2">
      <c r="A121" s="63">
        <v>117</v>
      </c>
      <c r="B121" s="63" t="s">
        <v>1134</v>
      </c>
      <c r="C121" s="157" t="s">
        <v>700</v>
      </c>
      <c r="D121" s="63" t="s">
        <v>7</v>
      </c>
      <c r="E121" s="63">
        <v>5</v>
      </c>
      <c r="F121" s="89">
        <v>15000</v>
      </c>
      <c r="G121" s="70">
        <f t="shared" ref="G121:G127" si="54">((F121*5.1%)+F121)</f>
        <v>15765</v>
      </c>
      <c r="H121" s="89">
        <v>20000</v>
      </c>
      <c r="I121" s="70">
        <f t="shared" ref="I121:I127" si="55">((H121*5.1%)+H121)</f>
        <v>21020</v>
      </c>
      <c r="J121" s="38"/>
      <c r="K121" s="38"/>
      <c r="L121" s="38"/>
      <c r="M121" s="38"/>
      <c r="N121" s="38"/>
      <c r="O121" s="38"/>
      <c r="P121" s="89">
        <v>19000</v>
      </c>
      <c r="Q121" s="70">
        <f t="shared" si="51"/>
        <v>19969</v>
      </c>
      <c r="R121" s="38"/>
      <c r="S121" s="38"/>
      <c r="T121" s="38"/>
      <c r="U121" s="38"/>
      <c r="V121" s="38"/>
      <c r="W121" s="38"/>
      <c r="X121" s="38"/>
      <c r="Y121" s="38"/>
      <c r="Z121" s="38"/>
      <c r="AA121" s="38"/>
      <c r="AB121" s="38"/>
      <c r="AC121" s="38"/>
      <c r="AD121" s="38"/>
      <c r="AE121" s="38"/>
      <c r="AF121" s="38"/>
      <c r="AG121" s="38"/>
      <c r="AH121" s="38"/>
      <c r="AI121" s="38"/>
      <c r="AJ121" s="38"/>
      <c r="AK121" s="38"/>
      <c r="AL121" s="38"/>
      <c r="AM121" s="38"/>
      <c r="AN121" s="38"/>
      <c r="AO121" s="38"/>
      <c r="AP121" s="38"/>
      <c r="AQ121" s="38"/>
      <c r="AR121" s="38"/>
      <c r="AS121" s="38"/>
      <c r="AT121" s="38"/>
      <c r="AU121" s="38"/>
      <c r="AV121" s="38"/>
      <c r="AW121" s="38"/>
      <c r="AX121" s="38"/>
      <c r="AY121" s="38"/>
      <c r="AZ121" s="38"/>
      <c r="BA121" s="38"/>
      <c r="BB121" s="38"/>
      <c r="BC121" s="38"/>
      <c r="BD121" s="38"/>
      <c r="BE121" s="38"/>
      <c r="BF121" s="38"/>
      <c r="BG121" s="38"/>
      <c r="BH121" s="38"/>
      <c r="BI121" s="38"/>
      <c r="BJ121" s="107">
        <f t="shared" si="28"/>
        <v>19969</v>
      </c>
      <c r="BK121" s="107">
        <f t="shared" si="29"/>
        <v>18918</v>
      </c>
      <c r="BL121" s="108">
        <f t="shared" si="30"/>
        <v>2780.6846279288848</v>
      </c>
      <c r="BM121" s="65">
        <f t="shared" si="31"/>
        <v>0.14698618394803281</v>
      </c>
      <c r="BN121" s="66">
        <f t="shared" si="46"/>
        <v>15897.478991596639</v>
      </c>
      <c r="BO121" s="66">
        <f t="shared" si="47"/>
        <v>3020.5210084033615</v>
      </c>
      <c r="BP121" s="109">
        <f t="shared" si="52"/>
        <v>18918</v>
      </c>
      <c r="BQ121" s="76">
        <f t="shared" si="53"/>
        <v>94590</v>
      </c>
      <c r="BR121" s="110" t="s">
        <v>903</v>
      </c>
    </row>
    <row r="122" spans="1:70" ht="221" x14ac:dyDescent="0.2">
      <c r="A122" s="63">
        <v>118</v>
      </c>
      <c r="B122" s="63" t="s">
        <v>862</v>
      </c>
      <c r="C122" s="157" t="s">
        <v>701</v>
      </c>
      <c r="D122" s="63" t="s">
        <v>7</v>
      </c>
      <c r="E122" s="63">
        <v>5</v>
      </c>
      <c r="F122" s="89">
        <v>15000</v>
      </c>
      <c r="G122" s="70">
        <f t="shared" si="54"/>
        <v>15765</v>
      </c>
      <c r="H122" s="89">
        <v>20000</v>
      </c>
      <c r="I122" s="70">
        <f t="shared" si="55"/>
        <v>21020</v>
      </c>
      <c r="J122" s="38"/>
      <c r="K122" s="38"/>
      <c r="L122" s="38"/>
      <c r="M122" s="38"/>
      <c r="N122" s="38"/>
      <c r="O122" s="38"/>
      <c r="P122" s="89">
        <v>19000</v>
      </c>
      <c r="Q122" s="70">
        <f t="shared" si="51"/>
        <v>19969</v>
      </c>
      <c r="R122" s="38"/>
      <c r="S122" s="38"/>
      <c r="T122" s="38"/>
      <c r="U122" s="38"/>
      <c r="V122" s="38"/>
      <c r="W122" s="38"/>
      <c r="X122" s="38"/>
      <c r="Y122" s="38"/>
      <c r="Z122" s="38"/>
      <c r="AA122" s="38"/>
      <c r="AB122" s="38"/>
      <c r="AC122" s="38"/>
      <c r="AD122" s="38"/>
      <c r="AE122" s="38"/>
      <c r="AF122" s="38"/>
      <c r="AG122" s="38"/>
      <c r="AH122" s="38"/>
      <c r="AI122" s="38"/>
      <c r="AJ122" s="38"/>
      <c r="AK122" s="38"/>
      <c r="AL122" s="38"/>
      <c r="AM122" s="38"/>
      <c r="AN122" s="38"/>
      <c r="AO122" s="38"/>
      <c r="AP122" s="38"/>
      <c r="AQ122" s="38"/>
      <c r="AR122" s="38"/>
      <c r="AS122" s="38"/>
      <c r="AT122" s="38"/>
      <c r="AU122" s="38"/>
      <c r="AV122" s="38"/>
      <c r="AW122" s="38"/>
      <c r="AX122" s="38"/>
      <c r="AY122" s="38"/>
      <c r="AZ122" s="38"/>
      <c r="BA122" s="38"/>
      <c r="BB122" s="38"/>
      <c r="BC122" s="38"/>
      <c r="BD122" s="38"/>
      <c r="BE122" s="38"/>
      <c r="BF122" s="38"/>
      <c r="BG122" s="38"/>
      <c r="BH122" s="38"/>
      <c r="BI122" s="38"/>
      <c r="BJ122" s="107">
        <f t="shared" si="28"/>
        <v>19969</v>
      </c>
      <c r="BK122" s="107">
        <f t="shared" si="29"/>
        <v>18918</v>
      </c>
      <c r="BL122" s="108">
        <f t="shared" si="30"/>
        <v>2780.6846279288848</v>
      </c>
      <c r="BM122" s="65">
        <f t="shared" si="31"/>
        <v>0.14698618394803281</v>
      </c>
      <c r="BN122" s="66">
        <f t="shared" si="46"/>
        <v>15897.478991596639</v>
      </c>
      <c r="BO122" s="66">
        <f t="shared" si="47"/>
        <v>3020.5210084033615</v>
      </c>
      <c r="BP122" s="109">
        <f t="shared" si="52"/>
        <v>18918</v>
      </c>
      <c r="BQ122" s="76">
        <f t="shared" si="53"/>
        <v>94590</v>
      </c>
      <c r="BR122" s="110" t="s">
        <v>903</v>
      </c>
    </row>
    <row r="123" spans="1:70" ht="221" x14ac:dyDescent="0.2">
      <c r="A123" s="63">
        <v>119</v>
      </c>
      <c r="B123" s="63" t="s">
        <v>1135</v>
      </c>
      <c r="C123" s="157" t="s">
        <v>702</v>
      </c>
      <c r="D123" s="63" t="s">
        <v>7</v>
      </c>
      <c r="E123" s="63">
        <v>5</v>
      </c>
      <c r="F123" s="89">
        <v>15000</v>
      </c>
      <c r="G123" s="70">
        <f t="shared" si="54"/>
        <v>15765</v>
      </c>
      <c r="H123" s="89">
        <v>20000</v>
      </c>
      <c r="I123" s="70">
        <f t="shared" si="55"/>
        <v>21020</v>
      </c>
      <c r="J123" s="38"/>
      <c r="K123" s="38"/>
      <c r="L123" s="38"/>
      <c r="M123" s="38"/>
      <c r="N123" s="38"/>
      <c r="O123" s="38"/>
      <c r="P123" s="89">
        <v>18000</v>
      </c>
      <c r="Q123" s="70">
        <f t="shared" si="51"/>
        <v>18918</v>
      </c>
      <c r="R123" s="38"/>
      <c r="S123" s="38"/>
      <c r="T123" s="38"/>
      <c r="U123" s="38"/>
      <c r="V123" s="38"/>
      <c r="W123" s="38"/>
      <c r="X123" s="38"/>
      <c r="Y123" s="38"/>
      <c r="Z123" s="38"/>
      <c r="AA123" s="38"/>
      <c r="AB123" s="38"/>
      <c r="AC123" s="38"/>
      <c r="AD123" s="38"/>
      <c r="AE123" s="38"/>
      <c r="AF123" s="38"/>
      <c r="AG123" s="38"/>
      <c r="AH123" s="38"/>
      <c r="AI123" s="38"/>
      <c r="AJ123" s="38"/>
      <c r="AK123" s="38"/>
      <c r="AL123" s="38"/>
      <c r="AM123" s="38"/>
      <c r="AN123" s="38"/>
      <c r="AO123" s="38"/>
      <c r="AP123" s="38"/>
      <c r="AQ123" s="38"/>
      <c r="AR123" s="38"/>
      <c r="AS123" s="38"/>
      <c r="AT123" s="38"/>
      <c r="AU123" s="38"/>
      <c r="AV123" s="38"/>
      <c r="AW123" s="38"/>
      <c r="AX123" s="38"/>
      <c r="AY123" s="38"/>
      <c r="AZ123" s="38"/>
      <c r="BA123" s="38"/>
      <c r="BB123" s="38"/>
      <c r="BC123" s="38"/>
      <c r="BD123" s="38"/>
      <c r="BE123" s="38"/>
      <c r="BF123" s="38"/>
      <c r="BG123" s="38"/>
      <c r="BH123" s="38"/>
      <c r="BI123" s="38"/>
      <c r="BJ123" s="107">
        <f t="shared" si="28"/>
        <v>18918</v>
      </c>
      <c r="BK123" s="107">
        <f t="shared" si="29"/>
        <v>18567.666666666668</v>
      </c>
      <c r="BL123" s="108">
        <f t="shared" si="30"/>
        <v>2644.9586638231822</v>
      </c>
      <c r="BM123" s="65">
        <f t="shared" si="31"/>
        <v>0.14244970632586298</v>
      </c>
      <c r="BN123" s="66">
        <f t="shared" si="46"/>
        <v>15603.361344537816</v>
      </c>
      <c r="BO123" s="66">
        <f t="shared" si="47"/>
        <v>2964.6386554621849</v>
      </c>
      <c r="BP123" s="109">
        <f t="shared" si="52"/>
        <v>18568</v>
      </c>
      <c r="BQ123" s="76">
        <f t="shared" si="53"/>
        <v>92840</v>
      </c>
      <c r="BR123" s="110" t="s">
        <v>903</v>
      </c>
    </row>
    <row r="124" spans="1:70" ht="221" x14ac:dyDescent="0.2">
      <c r="A124" s="63">
        <v>120</v>
      </c>
      <c r="B124" s="63" t="s">
        <v>863</v>
      </c>
      <c r="C124" s="157" t="s">
        <v>703</v>
      </c>
      <c r="D124" s="63" t="s">
        <v>7</v>
      </c>
      <c r="E124" s="63">
        <v>5</v>
      </c>
      <c r="F124" s="89">
        <v>15000</v>
      </c>
      <c r="G124" s="70">
        <f t="shared" si="54"/>
        <v>15765</v>
      </c>
      <c r="H124" s="89">
        <v>15000</v>
      </c>
      <c r="I124" s="70">
        <f t="shared" si="55"/>
        <v>15765</v>
      </c>
      <c r="J124" s="38"/>
      <c r="K124" s="38"/>
      <c r="L124" s="38"/>
      <c r="M124" s="38"/>
      <c r="N124" s="38"/>
      <c r="O124" s="38"/>
      <c r="P124" s="89">
        <v>15000</v>
      </c>
      <c r="Q124" s="70">
        <f t="shared" si="51"/>
        <v>15765</v>
      </c>
      <c r="R124" s="38"/>
      <c r="S124" s="38"/>
      <c r="T124" s="38"/>
      <c r="U124" s="38"/>
      <c r="V124" s="38"/>
      <c r="W124" s="38"/>
      <c r="X124" s="38"/>
      <c r="Y124" s="38"/>
      <c r="Z124" s="38"/>
      <c r="AA124" s="38"/>
      <c r="AB124" s="38"/>
      <c r="AC124" s="38"/>
      <c r="AD124" s="38"/>
      <c r="AE124" s="38"/>
      <c r="AF124" s="38"/>
      <c r="AG124" s="38"/>
      <c r="AH124" s="38"/>
      <c r="AI124" s="38"/>
      <c r="AJ124" s="38"/>
      <c r="AK124" s="38"/>
      <c r="AL124" s="38"/>
      <c r="AM124" s="38"/>
      <c r="AN124" s="38"/>
      <c r="AO124" s="38"/>
      <c r="AP124" s="38"/>
      <c r="AQ124" s="38"/>
      <c r="AR124" s="38"/>
      <c r="AS124" s="38"/>
      <c r="AT124" s="38"/>
      <c r="AU124" s="38"/>
      <c r="AV124" s="38"/>
      <c r="AW124" s="38"/>
      <c r="AX124" s="38"/>
      <c r="AY124" s="38"/>
      <c r="AZ124" s="38"/>
      <c r="BA124" s="38"/>
      <c r="BB124" s="38"/>
      <c r="BC124" s="38"/>
      <c r="BD124" s="38"/>
      <c r="BE124" s="38"/>
      <c r="BF124" s="38"/>
      <c r="BG124" s="38"/>
      <c r="BH124" s="38"/>
      <c r="BI124" s="38"/>
      <c r="BJ124" s="107">
        <f t="shared" si="28"/>
        <v>15765</v>
      </c>
      <c r="BK124" s="107">
        <f t="shared" si="29"/>
        <v>15765</v>
      </c>
      <c r="BL124" s="108">
        <f t="shared" si="30"/>
        <v>0</v>
      </c>
      <c r="BM124" s="65">
        <f t="shared" si="31"/>
        <v>0</v>
      </c>
      <c r="BN124" s="66">
        <f t="shared" si="46"/>
        <v>13247.899159663866</v>
      </c>
      <c r="BO124" s="66">
        <f t="shared" si="47"/>
        <v>2517.1008403361348</v>
      </c>
      <c r="BP124" s="109">
        <f t="shared" si="52"/>
        <v>15765</v>
      </c>
      <c r="BQ124" s="76">
        <f t="shared" si="53"/>
        <v>78825</v>
      </c>
      <c r="BR124" s="110" t="s">
        <v>903</v>
      </c>
    </row>
    <row r="125" spans="1:70" ht="221" x14ac:dyDescent="0.2">
      <c r="A125" s="63">
        <v>121</v>
      </c>
      <c r="B125" s="63" t="s">
        <v>1136</v>
      </c>
      <c r="C125" s="158" t="s">
        <v>704</v>
      </c>
      <c r="D125" s="126" t="s">
        <v>7</v>
      </c>
      <c r="E125" s="126">
        <v>5</v>
      </c>
      <c r="F125" s="89">
        <v>17000</v>
      </c>
      <c r="G125" s="70">
        <f t="shared" si="54"/>
        <v>17867</v>
      </c>
      <c r="H125" s="89">
        <v>22000</v>
      </c>
      <c r="I125" s="70">
        <f t="shared" si="55"/>
        <v>23122</v>
      </c>
      <c r="J125" s="38"/>
      <c r="K125" s="38"/>
      <c r="L125" s="38"/>
      <c r="M125" s="38"/>
      <c r="N125" s="38"/>
      <c r="O125" s="38"/>
      <c r="P125" s="89">
        <v>20500</v>
      </c>
      <c r="Q125" s="70">
        <f t="shared" si="51"/>
        <v>21545.5</v>
      </c>
      <c r="R125" s="38"/>
      <c r="S125" s="38"/>
      <c r="T125" s="38"/>
      <c r="U125" s="38"/>
      <c r="V125" s="38"/>
      <c r="W125" s="38"/>
      <c r="X125" s="38"/>
      <c r="Y125" s="38"/>
      <c r="Z125" s="38"/>
      <c r="AA125" s="38"/>
      <c r="AB125" s="38"/>
      <c r="AC125" s="38"/>
      <c r="AD125" s="38"/>
      <c r="AE125" s="38"/>
      <c r="AF125" s="38"/>
      <c r="AG125" s="38"/>
      <c r="AH125" s="38"/>
      <c r="AI125" s="38"/>
      <c r="AJ125" s="38"/>
      <c r="AK125" s="38"/>
      <c r="AL125" s="38"/>
      <c r="AM125" s="38"/>
      <c r="AN125" s="38"/>
      <c r="AO125" s="38"/>
      <c r="AP125" s="38"/>
      <c r="AQ125" s="38"/>
      <c r="AR125" s="38"/>
      <c r="AS125" s="38"/>
      <c r="AT125" s="38"/>
      <c r="AU125" s="38"/>
      <c r="AV125" s="38"/>
      <c r="AW125" s="38"/>
      <c r="AX125" s="38"/>
      <c r="AY125" s="38"/>
      <c r="AZ125" s="38"/>
      <c r="BA125" s="38"/>
      <c r="BB125" s="38"/>
      <c r="BC125" s="38"/>
      <c r="BD125" s="38"/>
      <c r="BE125" s="38"/>
      <c r="BF125" s="38"/>
      <c r="BG125" s="38"/>
      <c r="BH125" s="38"/>
      <c r="BI125" s="38"/>
      <c r="BJ125" s="107">
        <f t="shared" si="28"/>
        <v>21545.5</v>
      </c>
      <c r="BK125" s="107">
        <f t="shared" si="29"/>
        <v>20844.833333333332</v>
      </c>
      <c r="BL125" s="108">
        <f t="shared" si="30"/>
        <v>2696.6565564293451</v>
      </c>
      <c r="BM125" s="65">
        <f t="shared" si="31"/>
        <v>0.12936810351546804</v>
      </c>
      <c r="BN125" s="66">
        <f t="shared" si="46"/>
        <v>17516.806722689078</v>
      </c>
      <c r="BO125" s="66">
        <f t="shared" si="47"/>
        <v>3328.1932773109247</v>
      </c>
      <c r="BP125" s="109">
        <f t="shared" si="52"/>
        <v>20845</v>
      </c>
      <c r="BQ125" s="76">
        <f t="shared" si="53"/>
        <v>104225</v>
      </c>
      <c r="BR125" s="110" t="s">
        <v>903</v>
      </c>
    </row>
    <row r="126" spans="1:70" ht="221" x14ac:dyDescent="0.2">
      <c r="A126" s="63">
        <v>122</v>
      </c>
      <c r="B126" s="63" t="s">
        <v>859</v>
      </c>
      <c r="C126" s="158" t="s">
        <v>705</v>
      </c>
      <c r="D126" s="126" t="s">
        <v>7</v>
      </c>
      <c r="E126" s="126">
        <v>5</v>
      </c>
      <c r="F126" s="89">
        <v>17000</v>
      </c>
      <c r="G126" s="70">
        <f t="shared" si="54"/>
        <v>17867</v>
      </c>
      <c r="H126" s="89">
        <v>22000</v>
      </c>
      <c r="I126" s="70">
        <f t="shared" si="55"/>
        <v>23122</v>
      </c>
      <c r="J126" s="38"/>
      <c r="K126" s="38"/>
      <c r="L126" s="38"/>
      <c r="M126" s="38"/>
      <c r="N126" s="38"/>
      <c r="O126" s="38"/>
      <c r="P126" s="89">
        <v>20500</v>
      </c>
      <c r="Q126" s="70">
        <f t="shared" si="51"/>
        <v>21545.5</v>
      </c>
      <c r="R126" s="38"/>
      <c r="S126" s="38"/>
      <c r="T126" s="38"/>
      <c r="U126" s="38"/>
      <c r="V126" s="38"/>
      <c r="W126" s="38"/>
      <c r="X126" s="38"/>
      <c r="Y126" s="38"/>
      <c r="Z126" s="38"/>
      <c r="AA126" s="38"/>
      <c r="AB126" s="38"/>
      <c r="AC126" s="38"/>
      <c r="AD126" s="38"/>
      <c r="AE126" s="38"/>
      <c r="AF126" s="38"/>
      <c r="AG126" s="38"/>
      <c r="AH126" s="38"/>
      <c r="AI126" s="38"/>
      <c r="AJ126" s="38"/>
      <c r="AK126" s="38"/>
      <c r="AL126" s="38"/>
      <c r="AM126" s="38"/>
      <c r="AN126" s="38"/>
      <c r="AO126" s="38"/>
      <c r="AP126" s="38"/>
      <c r="AQ126" s="38"/>
      <c r="AR126" s="38"/>
      <c r="AS126" s="38"/>
      <c r="AT126" s="38"/>
      <c r="AU126" s="38"/>
      <c r="AV126" s="38"/>
      <c r="AW126" s="38"/>
      <c r="AX126" s="38"/>
      <c r="AY126" s="38"/>
      <c r="AZ126" s="38"/>
      <c r="BA126" s="38"/>
      <c r="BB126" s="38"/>
      <c r="BC126" s="38"/>
      <c r="BD126" s="38"/>
      <c r="BE126" s="38"/>
      <c r="BF126" s="38"/>
      <c r="BG126" s="38"/>
      <c r="BH126" s="38"/>
      <c r="BI126" s="38"/>
      <c r="BJ126" s="107">
        <f t="shared" si="28"/>
        <v>21545.5</v>
      </c>
      <c r="BK126" s="107">
        <f t="shared" si="29"/>
        <v>20844.833333333332</v>
      </c>
      <c r="BL126" s="108">
        <f t="shared" si="30"/>
        <v>2696.6565564293451</v>
      </c>
      <c r="BM126" s="65">
        <f t="shared" si="31"/>
        <v>0.12936810351546804</v>
      </c>
      <c r="BN126" s="66">
        <f t="shared" si="46"/>
        <v>17516.806722689078</v>
      </c>
      <c r="BO126" s="66">
        <f t="shared" si="47"/>
        <v>3328.1932773109247</v>
      </c>
      <c r="BP126" s="109">
        <f t="shared" si="52"/>
        <v>20845</v>
      </c>
      <c r="BQ126" s="76">
        <f t="shared" si="53"/>
        <v>104225</v>
      </c>
      <c r="BR126" s="110" t="s">
        <v>903</v>
      </c>
    </row>
    <row r="127" spans="1:70" ht="139.5" customHeight="1" x14ac:dyDescent="0.2">
      <c r="A127" s="63">
        <v>123</v>
      </c>
      <c r="B127" s="63" t="s">
        <v>1137</v>
      </c>
      <c r="C127" s="158" t="s">
        <v>706</v>
      </c>
      <c r="D127" s="126" t="s">
        <v>7</v>
      </c>
      <c r="E127" s="126">
        <v>5</v>
      </c>
      <c r="F127" s="89">
        <v>17000</v>
      </c>
      <c r="G127" s="70">
        <f t="shared" si="54"/>
        <v>17867</v>
      </c>
      <c r="H127" s="89">
        <v>22000</v>
      </c>
      <c r="I127" s="70">
        <f t="shared" si="55"/>
        <v>23122</v>
      </c>
      <c r="J127" s="38"/>
      <c r="K127" s="38"/>
      <c r="L127" s="38"/>
      <c r="M127" s="38"/>
      <c r="N127" s="38"/>
      <c r="O127" s="38"/>
      <c r="P127" s="89">
        <v>20500</v>
      </c>
      <c r="Q127" s="70">
        <f t="shared" si="51"/>
        <v>21545.5</v>
      </c>
      <c r="R127" s="38"/>
      <c r="S127" s="38"/>
      <c r="T127" s="38"/>
      <c r="U127" s="38"/>
      <c r="V127" s="38"/>
      <c r="W127" s="38"/>
      <c r="X127" s="38"/>
      <c r="Y127" s="38"/>
      <c r="Z127" s="38"/>
      <c r="AA127" s="38"/>
      <c r="AB127" s="38"/>
      <c r="AC127" s="38"/>
      <c r="AD127" s="38"/>
      <c r="AE127" s="38"/>
      <c r="AF127" s="38"/>
      <c r="AG127" s="38"/>
      <c r="AH127" s="38"/>
      <c r="AI127" s="38"/>
      <c r="AJ127" s="38"/>
      <c r="AK127" s="38"/>
      <c r="AL127" s="38"/>
      <c r="AM127" s="38"/>
      <c r="AN127" s="38"/>
      <c r="AO127" s="38"/>
      <c r="AP127" s="38"/>
      <c r="AQ127" s="38"/>
      <c r="AR127" s="38"/>
      <c r="AS127" s="38"/>
      <c r="AT127" s="38"/>
      <c r="AU127" s="38"/>
      <c r="AV127" s="38"/>
      <c r="AW127" s="38"/>
      <c r="AX127" s="38"/>
      <c r="AY127" s="38"/>
      <c r="AZ127" s="38"/>
      <c r="BA127" s="38"/>
      <c r="BB127" s="38"/>
      <c r="BC127" s="38"/>
      <c r="BD127" s="38"/>
      <c r="BE127" s="38"/>
      <c r="BF127" s="38"/>
      <c r="BG127" s="38"/>
      <c r="BH127" s="38"/>
      <c r="BI127" s="38"/>
      <c r="BJ127" s="107">
        <f t="shared" si="28"/>
        <v>21545.5</v>
      </c>
      <c r="BK127" s="107">
        <f t="shared" si="29"/>
        <v>20844.833333333332</v>
      </c>
      <c r="BL127" s="108">
        <f t="shared" si="30"/>
        <v>2696.6565564293451</v>
      </c>
      <c r="BM127" s="65">
        <f t="shared" si="31"/>
        <v>0.12936810351546804</v>
      </c>
      <c r="BN127" s="66">
        <f t="shared" si="46"/>
        <v>17516.806722689078</v>
      </c>
      <c r="BO127" s="66">
        <f t="shared" si="47"/>
        <v>3328.1932773109247</v>
      </c>
      <c r="BP127" s="109">
        <f t="shared" si="52"/>
        <v>20845</v>
      </c>
      <c r="BQ127" s="76">
        <f t="shared" si="53"/>
        <v>104225</v>
      </c>
      <c r="BR127" s="110" t="s">
        <v>903</v>
      </c>
    </row>
    <row r="128" spans="1:70" ht="221" x14ac:dyDescent="0.2">
      <c r="A128" s="63">
        <v>124</v>
      </c>
      <c r="B128" s="63" t="s">
        <v>1138</v>
      </c>
      <c r="C128" s="158" t="s">
        <v>707</v>
      </c>
      <c r="D128" s="126" t="s">
        <v>7</v>
      </c>
      <c r="E128" s="126">
        <v>5</v>
      </c>
      <c r="F128" s="38"/>
      <c r="G128" s="38"/>
      <c r="H128" s="38"/>
      <c r="I128" s="38"/>
      <c r="J128" s="38"/>
      <c r="K128" s="38"/>
      <c r="L128" s="38"/>
      <c r="M128" s="38"/>
      <c r="N128" s="38"/>
      <c r="O128" s="38"/>
      <c r="P128" s="38"/>
      <c r="Q128" s="38"/>
      <c r="R128" s="38"/>
      <c r="S128" s="38"/>
      <c r="T128" s="38"/>
      <c r="U128" s="38"/>
      <c r="V128" s="38"/>
      <c r="W128" s="38"/>
      <c r="X128" s="38"/>
      <c r="Y128" s="38"/>
      <c r="Z128" s="38"/>
      <c r="AA128" s="38"/>
      <c r="AB128" s="38"/>
      <c r="AC128" s="38"/>
      <c r="AD128" s="38"/>
      <c r="AE128" s="38"/>
      <c r="AF128" s="38"/>
      <c r="AG128" s="38"/>
      <c r="AH128" s="38"/>
      <c r="AI128" s="38"/>
      <c r="AJ128" s="38"/>
      <c r="AK128" s="38"/>
      <c r="AL128" s="38"/>
      <c r="AM128" s="38"/>
      <c r="AN128" s="38"/>
      <c r="AO128" s="38"/>
      <c r="AP128" s="38"/>
      <c r="AQ128" s="38"/>
      <c r="AR128" s="38"/>
      <c r="AS128" s="38"/>
      <c r="AT128" s="38"/>
      <c r="AU128" s="38"/>
      <c r="AV128" s="38"/>
      <c r="AW128" s="38"/>
      <c r="AX128" s="38"/>
      <c r="AY128" s="38">
        <v>13090</v>
      </c>
      <c r="AZ128" s="38">
        <v>11900</v>
      </c>
      <c r="BA128" s="38">
        <v>8730</v>
      </c>
      <c r="BB128" s="38"/>
      <c r="BC128" s="38">
        <v>8900</v>
      </c>
      <c r="BD128" s="38"/>
      <c r="BE128" s="38"/>
      <c r="BF128" s="38"/>
      <c r="BG128" s="38"/>
      <c r="BH128" s="38"/>
      <c r="BI128" s="38"/>
      <c r="BJ128" s="107">
        <f t="shared" si="28"/>
        <v>10400</v>
      </c>
      <c r="BK128" s="107">
        <f t="shared" si="29"/>
        <v>10655</v>
      </c>
      <c r="BL128" s="108">
        <f t="shared" si="30"/>
        <v>2180.5886055527913</v>
      </c>
      <c r="BM128" s="65">
        <f t="shared" si="31"/>
        <v>0.204654022107254</v>
      </c>
      <c r="BN128" s="66">
        <f t="shared" si="46"/>
        <v>8739.495798319329</v>
      </c>
      <c r="BO128" s="66">
        <f t="shared" si="47"/>
        <v>1660.5042016806726</v>
      </c>
      <c r="BP128" s="109">
        <f t="shared" si="52"/>
        <v>10400</v>
      </c>
      <c r="BQ128" s="76">
        <f t="shared" si="53"/>
        <v>52000</v>
      </c>
      <c r="BR128" s="110" t="s">
        <v>902</v>
      </c>
    </row>
    <row r="129" spans="1:70" ht="221" x14ac:dyDescent="0.2">
      <c r="A129" s="63">
        <v>125</v>
      </c>
      <c r="B129" s="63" t="s">
        <v>1139</v>
      </c>
      <c r="C129" s="158" t="s">
        <v>708</v>
      </c>
      <c r="D129" s="126" t="s">
        <v>7</v>
      </c>
      <c r="E129" s="126">
        <v>5</v>
      </c>
      <c r="F129" s="38"/>
      <c r="G129" s="38"/>
      <c r="H129" s="38"/>
      <c r="I129" s="38"/>
      <c r="J129" s="38"/>
      <c r="K129" s="38"/>
      <c r="L129" s="38"/>
      <c r="M129" s="38"/>
      <c r="N129" s="38"/>
      <c r="O129" s="38"/>
      <c r="P129" s="38"/>
      <c r="Q129" s="38"/>
      <c r="R129" s="38"/>
      <c r="S129" s="38"/>
      <c r="T129" s="38"/>
      <c r="U129" s="38"/>
      <c r="V129" s="38"/>
      <c r="W129" s="38"/>
      <c r="X129" s="38"/>
      <c r="Y129" s="38"/>
      <c r="Z129" s="38"/>
      <c r="AA129" s="38"/>
      <c r="AB129" s="38"/>
      <c r="AC129" s="38"/>
      <c r="AD129" s="38"/>
      <c r="AE129" s="38"/>
      <c r="AF129" s="38"/>
      <c r="AG129" s="38"/>
      <c r="AH129" s="38"/>
      <c r="AI129" s="38"/>
      <c r="AJ129" s="38"/>
      <c r="AK129" s="38"/>
      <c r="AL129" s="38"/>
      <c r="AM129" s="38"/>
      <c r="AN129" s="38"/>
      <c r="AO129" s="38"/>
      <c r="AP129" s="38"/>
      <c r="AQ129" s="38"/>
      <c r="AR129" s="38"/>
      <c r="AS129" s="38"/>
      <c r="AT129" s="38"/>
      <c r="AU129" s="38"/>
      <c r="AV129" s="38"/>
      <c r="AW129" s="38"/>
      <c r="AX129" s="38"/>
      <c r="AY129" s="38">
        <v>12138</v>
      </c>
      <c r="AZ129" s="38">
        <v>12019</v>
      </c>
      <c r="BA129" s="38">
        <v>8910</v>
      </c>
      <c r="BB129" s="38"/>
      <c r="BC129" s="38">
        <v>13500</v>
      </c>
      <c r="BD129" s="38"/>
      <c r="BE129" s="38"/>
      <c r="BF129" s="38"/>
      <c r="BG129" s="38"/>
      <c r="BH129" s="38"/>
      <c r="BI129" s="38"/>
      <c r="BJ129" s="107">
        <f t="shared" si="28"/>
        <v>12078.5</v>
      </c>
      <c r="BK129" s="107">
        <f t="shared" si="29"/>
        <v>11641.75</v>
      </c>
      <c r="BL129" s="108">
        <f t="shared" si="30"/>
        <v>1941.145087313156</v>
      </c>
      <c r="BM129" s="65">
        <f t="shared" si="31"/>
        <v>0.16673997357039586</v>
      </c>
      <c r="BN129" s="66">
        <f t="shared" si="46"/>
        <v>10150.420168067227</v>
      </c>
      <c r="BO129" s="66">
        <f t="shared" si="47"/>
        <v>1928.579831932773</v>
      </c>
      <c r="BP129" s="109">
        <f t="shared" si="52"/>
        <v>12079</v>
      </c>
      <c r="BQ129" s="76">
        <f t="shared" si="53"/>
        <v>60395</v>
      </c>
      <c r="BR129" s="110" t="s">
        <v>902</v>
      </c>
    </row>
    <row r="130" spans="1:70" ht="221" x14ac:dyDescent="0.2">
      <c r="A130" s="63">
        <v>126</v>
      </c>
      <c r="B130" s="63" t="s">
        <v>1140</v>
      </c>
      <c r="C130" s="158" t="s">
        <v>709</v>
      </c>
      <c r="D130" s="126" t="s">
        <v>7</v>
      </c>
      <c r="E130" s="126">
        <v>5</v>
      </c>
      <c r="F130" s="38"/>
      <c r="G130" s="38"/>
      <c r="H130" s="38"/>
      <c r="I130" s="38"/>
      <c r="J130" s="38"/>
      <c r="K130" s="38"/>
      <c r="L130" s="38"/>
      <c r="M130" s="38"/>
      <c r="N130" s="38"/>
      <c r="O130" s="38"/>
      <c r="P130" s="38"/>
      <c r="Q130" s="38"/>
      <c r="R130" s="38"/>
      <c r="S130" s="38"/>
      <c r="T130" s="38"/>
      <c r="U130" s="38"/>
      <c r="V130" s="38"/>
      <c r="W130" s="38"/>
      <c r="X130" s="38"/>
      <c r="Y130" s="38"/>
      <c r="Z130" s="38"/>
      <c r="AA130" s="38"/>
      <c r="AB130" s="38"/>
      <c r="AC130" s="38"/>
      <c r="AD130" s="38"/>
      <c r="AE130" s="38"/>
      <c r="AF130" s="38"/>
      <c r="AG130" s="38"/>
      <c r="AH130" s="38"/>
      <c r="AI130" s="38"/>
      <c r="AJ130" s="38"/>
      <c r="AK130" s="38"/>
      <c r="AL130" s="38"/>
      <c r="AM130" s="38"/>
      <c r="AN130" s="38"/>
      <c r="AO130" s="38"/>
      <c r="AP130" s="38"/>
      <c r="AQ130" s="38"/>
      <c r="AR130" s="38"/>
      <c r="AS130" s="38"/>
      <c r="AT130" s="38"/>
      <c r="AU130" s="38"/>
      <c r="AV130" s="38"/>
      <c r="AW130" s="38"/>
      <c r="AX130" s="38"/>
      <c r="AY130" s="38">
        <v>12376</v>
      </c>
      <c r="AZ130" s="38">
        <v>12257</v>
      </c>
      <c r="BA130" s="38">
        <v>8910</v>
      </c>
      <c r="BB130" s="38"/>
      <c r="BC130" s="38">
        <v>13500</v>
      </c>
      <c r="BD130" s="38"/>
      <c r="BE130" s="38"/>
      <c r="BF130" s="38"/>
      <c r="BG130" s="38"/>
      <c r="BH130" s="38"/>
      <c r="BI130" s="38"/>
      <c r="BJ130" s="107">
        <f t="shared" si="28"/>
        <v>12316.5</v>
      </c>
      <c r="BK130" s="107">
        <f t="shared" si="29"/>
        <v>11760.75</v>
      </c>
      <c r="BL130" s="108">
        <f t="shared" si="30"/>
        <v>1981.2927387608997</v>
      </c>
      <c r="BM130" s="65">
        <f t="shared" si="31"/>
        <v>0.16846652966527642</v>
      </c>
      <c r="BN130" s="66">
        <f t="shared" si="46"/>
        <v>10350.420168067227</v>
      </c>
      <c r="BO130" s="66">
        <f t="shared" si="47"/>
        <v>1966.579831932773</v>
      </c>
      <c r="BP130" s="109">
        <f t="shared" si="52"/>
        <v>12317</v>
      </c>
      <c r="BQ130" s="76">
        <f t="shared" si="53"/>
        <v>61585</v>
      </c>
      <c r="BR130" s="110" t="s">
        <v>902</v>
      </c>
    </row>
    <row r="131" spans="1:70" ht="221" x14ac:dyDescent="0.2">
      <c r="A131" s="63">
        <v>127</v>
      </c>
      <c r="B131" s="63" t="s">
        <v>1141</v>
      </c>
      <c r="C131" s="158" t="s">
        <v>710</v>
      </c>
      <c r="D131" s="126" t="s">
        <v>7</v>
      </c>
      <c r="E131" s="126">
        <v>5</v>
      </c>
      <c r="F131" s="38"/>
      <c r="G131" s="38"/>
      <c r="H131" s="38"/>
      <c r="I131" s="38"/>
      <c r="J131" s="38"/>
      <c r="K131" s="38"/>
      <c r="L131" s="38"/>
      <c r="M131" s="38"/>
      <c r="N131" s="38"/>
      <c r="O131" s="38"/>
      <c r="P131" s="38"/>
      <c r="Q131" s="38"/>
      <c r="R131" s="38"/>
      <c r="S131" s="38"/>
      <c r="T131" s="38"/>
      <c r="U131" s="38"/>
      <c r="V131" s="38"/>
      <c r="W131" s="38"/>
      <c r="X131" s="38"/>
      <c r="Y131" s="38"/>
      <c r="Z131" s="38"/>
      <c r="AA131" s="38"/>
      <c r="AB131" s="38"/>
      <c r="AC131" s="38"/>
      <c r="AD131" s="38"/>
      <c r="AE131" s="38"/>
      <c r="AF131" s="38"/>
      <c r="AG131" s="38"/>
      <c r="AH131" s="38"/>
      <c r="AI131" s="38"/>
      <c r="AJ131" s="38"/>
      <c r="AK131" s="38"/>
      <c r="AL131" s="38"/>
      <c r="AM131" s="38"/>
      <c r="AN131" s="38"/>
      <c r="AO131" s="38"/>
      <c r="AP131" s="38"/>
      <c r="AQ131" s="38"/>
      <c r="AR131" s="38"/>
      <c r="AS131" s="38"/>
      <c r="AT131" s="38"/>
      <c r="AU131" s="38"/>
      <c r="AV131" s="38"/>
      <c r="AW131" s="38"/>
      <c r="AX131" s="38"/>
      <c r="AY131" s="38">
        <v>26197.85</v>
      </c>
      <c r="AZ131" s="38">
        <v>26197.85</v>
      </c>
      <c r="BA131" s="38">
        <v>27000</v>
      </c>
      <c r="BB131" s="38"/>
      <c r="BC131" s="38"/>
      <c r="BD131" s="38"/>
      <c r="BE131" s="38"/>
      <c r="BF131" s="38"/>
      <c r="BG131" s="38"/>
      <c r="BH131" s="38"/>
      <c r="BI131" s="38"/>
      <c r="BJ131" s="107">
        <f t="shared" si="28"/>
        <v>26197.85</v>
      </c>
      <c r="BK131" s="107">
        <f t="shared" si="29"/>
        <v>26465.233333333334</v>
      </c>
      <c r="BL131" s="108">
        <f t="shared" si="30"/>
        <v>463.1215184304591</v>
      </c>
      <c r="BM131" s="65">
        <f t="shared" si="31"/>
        <v>1.749924183918496E-2</v>
      </c>
      <c r="BN131" s="66">
        <f t="shared" si="46"/>
        <v>22240.336134453784</v>
      </c>
      <c r="BO131" s="66">
        <f t="shared" si="47"/>
        <v>4225.6638655462193</v>
      </c>
      <c r="BP131" s="109">
        <f t="shared" si="52"/>
        <v>26466</v>
      </c>
      <c r="BQ131" s="76">
        <f t="shared" si="53"/>
        <v>132330</v>
      </c>
      <c r="BR131" s="110" t="s">
        <v>903</v>
      </c>
    </row>
    <row r="132" spans="1:70" ht="110.25" customHeight="1" x14ac:dyDescent="0.2">
      <c r="A132" s="63">
        <v>128</v>
      </c>
      <c r="B132" s="63" t="s">
        <v>864</v>
      </c>
      <c r="C132" s="158" t="s">
        <v>711</v>
      </c>
      <c r="D132" s="126" t="s">
        <v>7</v>
      </c>
      <c r="E132" s="126">
        <v>5</v>
      </c>
      <c r="F132" s="38"/>
      <c r="G132" s="38"/>
      <c r="H132" s="38"/>
      <c r="I132" s="38"/>
      <c r="J132" s="38"/>
      <c r="K132" s="38"/>
      <c r="L132" s="38"/>
      <c r="M132" s="38"/>
      <c r="N132" s="38"/>
      <c r="O132" s="38"/>
      <c r="P132" s="38"/>
      <c r="Q132" s="38"/>
      <c r="R132" s="38"/>
      <c r="S132" s="38"/>
      <c r="T132" s="38"/>
      <c r="U132" s="38"/>
      <c r="V132" s="38"/>
      <c r="W132" s="38"/>
      <c r="X132" s="38"/>
      <c r="Y132" s="38"/>
      <c r="Z132" s="38"/>
      <c r="AA132" s="38"/>
      <c r="AB132" s="38"/>
      <c r="AC132" s="38"/>
      <c r="AD132" s="38"/>
      <c r="AE132" s="38"/>
      <c r="AF132" s="38"/>
      <c r="AG132" s="38"/>
      <c r="AH132" s="38"/>
      <c r="AI132" s="38"/>
      <c r="AJ132" s="38"/>
      <c r="AK132" s="38"/>
      <c r="AL132" s="38"/>
      <c r="AM132" s="38"/>
      <c r="AN132" s="38"/>
      <c r="AO132" s="38"/>
      <c r="AP132" s="38"/>
      <c r="AQ132" s="38"/>
      <c r="AR132" s="38"/>
      <c r="AS132" s="38"/>
      <c r="AT132" s="38"/>
      <c r="AU132" s="38"/>
      <c r="AV132" s="38"/>
      <c r="AW132" s="38"/>
      <c r="AX132" s="38"/>
      <c r="AY132" s="38"/>
      <c r="AZ132" s="38"/>
      <c r="BA132" s="38"/>
      <c r="BB132" s="38"/>
      <c r="BC132" s="38"/>
      <c r="BD132" s="38">
        <f>29900/1.19</f>
        <v>25126.050420168067</v>
      </c>
      <c r="BE132" s="38">
        <f>BD132*19%</f>
        <v>4773.9495798319331</v>
      </c>
      <c r="BF132" s="38">
        <f>(BD132*1.17)+BE132</f>
        <v>34171.428571428565</v>
      </c>
      <c r="BG132" s="38">
        <f>29900/1.19</f>
        <v>25126.050420168067</v>
      </c>
      <c r="BH132" s="38">
        <f>BG132*19%</f>
        <v>4773.9495798319331</v>
      </c>
      <c r="BI132" s="38">
        <f>(BG132*1.17)+BH132</f>
        <v>34171.428571428565</v>
      </c>
      <c r="BJ132" s="107">
        <f t="shared" si="28"/>
        <v>34171.428571428565</v>
      </c>
      <c r="BK132" s="107">
        <f t="shared" si="29"/>
        <v>34171.428571428565</v>
      </c>
      <c r="BL132" s="108">
        <f t="shared" si="30"/>
        <v>0</v>
      </c>
      <c r="BM132" s="65">
        <f t="shared" si="31"/>
        <v>0</v>
      </c>
      <c r="BN132" s="66">
        <f t="shared" si="46"/>
        <v>28715.966386554624</v>
      </c>
      <c r="BO132" s="66">
        <f t="shared" si="47"/>
        <v>5456.0336134453792</v>
      </c>
      <c r="BP132" s="109">
        <f t="shared" si="52"/>
        <v>34172</v>
      </c>
      <c r="BQ132" s="76">
        <f t="shared" si="53"/>
        <v>170860</v>
      </c>
      <c r="BR132" s="110" t="s">
        <v>903</v>
      </c>
    </row>
    <row r="133" spans="1:70" ht="85" x14ac:dyDescent="0.2">
      <c r="A133" s="63">
        <v>129</v>
      </c>
      <c r="B133" s="126" t="s">
        <v>712</v>
      </c>
      <c r="C133" s="158" t="s">
        <v>713</v>
      </c>
      <c r="D133" s="126" t="s">
        <v>7</v>
      </c>
      <c r="E133" s="126">
        <v>10</v>
      </c>
      <c r="F133" s="38"/>
      <c r="G133" s="38"/>
      <c r="H133" s="38"/>
      <c r="I133" s="38"/>
      <c r="J133" s="38"/>
      <c r="K133" s="38"/>
      <c r="L133" s="38"/>
      <c r="M133" s="38"/>
      <c r="N133" s="38"/>
      <c r="O133" s="38"/>
      <c r="P133" s="38"/>
      <c r="Q133" s="38"/>
      <c r="R133" s="38"/>
      <c r="S133" s="38"/>
      <c r="T133" s="38"/>
      <c r="U133" s="38"/>
      <c r="V133" s="38"/>
      <c r="W133" s="38"/>
      <c r="X133" s="38"/>
      <c r="Y133" s="38"/>
      <c r="Z133" s="38"/>
      <c r="AA133" s="38"/>
      <c r="AB133" s="38"/>
      <c r="AC133" s="38"/>
      <c r="AD133" s="38"/>
      <c r="AE133" s="38"/>
      <c r="AF133" s="38"/>
      <c r="AG133" s="38"/>
      <c r="AH133" s="38"/>
      <c r="AI133" s="38"/>
      <c r="AJ133" s="38"/>
      <c r="AK133" s="38"/>
      <c r="AL133" s="38"/>
      <c r="AM133" s="38"/>
      <c r="AN133" s="38"/>
      <c r="AO133" s="38"/>
      <c r="AP133" s="38"/>
      <c r="AQ133" s="38"/>
      <c r="AR133" s="38"/>
      <c r="AS133" s="38"/>
      <c r="AT133" s="38"/>
      <c r="AU133" s="38"/>
      <c r="AV133" s="38"/>
      <c r="AW133" s="38"/>
      <c r="AX133" s="38"/>
      <c r="AY133" s="38">
        <v>26197.85</v>
      </c>
      <c r="AZ133" s="38">
        <v>33320</v>
      </c>
      <c r="BA133" s="38"/>
      <c r="BB133" s="38"/>
      <c r="BC133" s="38"/>
      <c r="BD133" s="38"/>
      <c r="BE133" s="38"/>
      <c r="BF133" s="38"/>
      <c r="BG133" s="38"/>
      <c r="BH133" s="38"/>
      <c r="BI133" s="38"/>
      <c r="BJ133" s="107">
        <f t="shared" si="28"/>
        <v>29758.924999999999</v>
      </c>
      <c r="BK133" s="107">
        <f t="shared" si="29"/>
        <v>29758.924999999999</v>
      </c>
      <c r="BL133" s="108">
        <f t="shared" si="30"/>
        <v>5036.1205616277666</v>
      </c>
      <c r="BM133" s="65">
        <f t="shared" si="31"/>
        <v>0.16923059423778805</v>
      </c>
      <c r="BN133" s="66">
        <f t="shared" si="46"/>
        <v>25007.563025210085</v>
      </c>
      <c r="BO133" s="66">
        <f t="shared" si="47"/>
        <v>4751.4369747899163</v>
      </c>
      <c r="BP133" s="109">
        <f t="shared" si="52"/>
        <v>29759</v>
      </c>
      <c r="BQ133" s="76">
        <f t="shared" si="53"/>
        <v>297590</v>
      </c>
      <c r="BR133" s="110" t="s">
        <v>902</v>
      </c>
    </row>
    <row r="134" spans="1:70" ht="51" x14ac:dyDescent="0.2">
      <c r="A134" s="63">
        <v>130</v>
      </c>
      <c r="B134" s="126" t="s">
        <v>714</v>
      </c>
      <c r="C134" s="158" t="s">
        <v>715</v>
      </c>
      <c r="D134" s="126" t="s">
        <v>716</v>
      </c>
      <c r="E134" s="126">
        <v>5</v>
      </c>
      <c r="F134" s="38"/>
      <c r="G134" s="38"/>
      <c r="H134" s="38"/>
      <c r="I134" s="38"/>
      <c r="J134" s="38"/>
      <c r="K134" s="38"/>
      <c r="L134" s="38"/>
      <c r="M134" s="38"/>
      <c r="N134" s="38"/>
      <c r="O134" s="38"/>
      <c r="P134" s="38"/>
      <c r="Q134" s="38"/>
      <c r="R134" s="38"/>
      <c r="S134" s="38"/>
      <c r="T134" s="38"/>
      <c r="U134" s="38"/>
      <c r="V134" s="38"/>
      <c r="W134" s="38"/>
      <c r="X134" s="38"/>
      <c r="Y134" s="38"/>
      <c r="Z134" s="38"/>
      <c r="AA134" s="38"/>
      <c r="AB134" s="38"/>
      <c r="AC134" s="38"/>
      <c r="AD134" s="38"/>
      <c r="AE134" s="38"/>
      <c r="AF134" s="38"/>
      <c r="AG134" s="38"/>
      <c r="AH134" s="38"/>
      <c r="AI134" s="38"/>
      <c r="AJ134" s="38"/>
      <c r="AK134" s="38"/>
      <c r="AL134" s="38"/>
      <c r="AM134" s="38"/>
      <c r="AN134" s="38"/>
      <c r="AO134" s="38"/>
      <c r="AP134" s="38"/>
      <c r="AQ134" s="38"/>
      <c r="AR134" s="38"/>
      <c r="AS134" s="38"/>
      <c r="AT134" s="38"/>
      <c r="AU134" s="38"/>
      <c r="AV134" s="38"/>
      <c r="AW134" s="38"/>
      <c r="AX134" s="38"/>
      <c r="AY134" s="38">
        <v>120368.5</v>
      </c>
      <c r="AZ134" s="38">
        <v>120368.5</v>
      </c>
      <c r="BA134" s="38">
        <v>75600</v>
      </c>
      <c r="BB134" s="38"/>
      <c r="BC134" s="38"/>
      <c r="BD134" s="38"/>
      <c r="BE134" s="38"/>
      <c r="BF134" s="38"/>
      <c r="BG134" s="38"/>
      <c r="BH134" s="38"/>
      <c r="BI134" s="38"/>
      <c r="BJ134" s="107">
        <f t="shared" ref="BJ134:BJ196" si="56">MEDIAN(G134,I134,K134,M134,O134,Q134,S134,U134,W134,Y134,AA134,AC134,AE134,AG134,AI134,AJ134,AK134,AL134,AM134,AN134,AO134,AP134,AQ134,AR134,AU134,AX134,AY134,AZ134,BA134,BB134,BC134,BF134,BI134)</f>
        <v>120368.5</v>
      </c>
      <c r="BK134" s="107">
        <f t="shared" ref="BK134:BK196" si="57">AVERAGE(G134,I134,K134,M134,O134,Q134,S134,U134,W134,Y134,AA134,AC134,AE134,AG134,AI134,AJ134,AK134,AL134,AM134,AN134,AO134,AP134,AQ134,AR134,AU134,AX134,AY134,AZ134,BA134,BB134,BC134,BF134,BI134)</f>
        <v>105445.66666666667</v>
      </c>
      <c r="BL134" s="108">
        <f t="shared" ref="BL134:BL196" si="58">STDEV(G134,I134,K134,M134,O134,Q134,S134,U134,W134,Y134,AA134,AC134,AE134,AG134,AI134,AJ134,AK134,AL134,AM134,AN134,AO134,AP134,AQ134,AR134,AU134,AX134,AY134,AZ134,BA134,BB134,BC134,BF134,BI134)</f>
        <v>25847.105526215772</v>
      </c>
      <c r="BM134" s="65">
        <f t="shared" ref="BM134:BM196" si="59">BL134/BK134</f>
        <v>0.24512250093617666</v>
      </c>
      <c r="BN134" s="66">
        <f t="shared" si="46"/>
        <v>101150.42016806723</v>
      </c>
      <c r="BO134" s="66">
        <f t="shared" si="47"/>
        <v>19218.579831932773</v>
      </c>
      <c r="BP134" s="109">
        <f t="shared" si="52"/>
        <v>120369</v>
      </c>
      <c r="BQ134" s="76">
        <f t="shared" si="53"/>
        <v>601845</v>
      </c>
      <c r="BR134" s="110" t="s">
        <v>902</v>
      </c>
    </row>
    <row r="135" spans="1:70" ht="187" x14ac:dyDescent="0.2">
      <c r="A135" s="63">
        <v>131</v>
      </c>
      <c r="B135" s="126" t="s">
        <v>717</v>
      </c>
      <c r="C135" s="158" t="s">
        <v>718</v>
      </c>
      <c r="D135" s="126" t="s">
        <v>7</v>
      </c>
      <c r="E135" s="126">
        <v>5</v>
      </c>
      <c r="F135" s="38"/>
      <c r="G135" s="38"/>
      <c r="H135" s="38"/>
      <c r="I135" s="38"/>
      <c r="J135" s="38"/>
      <c r="K135" s="38"/>
      <c r="L135" s="38"/>
      <c r="M135" s="38"/>
      <c r="N135" s="38"/>
      <c r="O135" s="38"/>
      <c r="P135" s="38"/>
      <c r="Q135" s="38"/>
      <c r="R135" s="38"/>
      <c r="S135" s="38"/>
      <c r="T135" s="38"/>
      <c r="U135" s="38"/>
      <c r="V135" s="38"/>
      <c r="W135" s="38"/>
      <c r="X135" s="38"/>
      <c r="Y135" s="38"/>
      <c r="Z135" s="38"/>
      <c r="AA135" s="38"/>
      <c r="AB135" s="38"/>
      <c r="AC135" s="38"/>
      <c r="AD135" s="38"/>
      <c r="AE135" s="38"/>
      <c r="AF135" s="38"/>
      <c r="AG135" s="38"/>
      <c r="AH135" s="38"/>
      <c r="AI135" s="38"/>
      <c r="AJ135" s="38"/>
      <c r="AK135" s="38"/>
      <c r="AL135" s="38"/>
      <c r="AM135" s="38"/>
      <c r="AN135" s="38"/>
      <c r="AO135" s="38"/>
      <c r="AP135" s="38">
        <f>40756.3*1.19</f>
        <v>48499.997000000003</v>
      </c>
      <c r="AQ135" s="38"/>
      <c r="AR135" s="38"/>
      <c r="AS135" s="38"/>
      <c r="AT135" s="38"/>
      <c r="AU135" s="38"/>
      <c r="AV135" s="38"/>
      <c r="AW135" s="38"/>
      <c r="AX135" s="38"/>
      <c r="AY135" s="38">
        <v>33320</v>
      </c>
      <c r="AZ135" s="38">
        <v>30940</v>
      </c>
      <c r="BA135" s="38">
        <v>35100</v>
      </c>
      <c r="BB135" s="38"/>
      <c r="BC135" s="38">
        <v>34000</v>
      </c>
      <c r="BD135" s="38"/>
      <c r="BE135" s="38"/>
      <c r="BF135" s="38"/>
      <c r="BG135" s="38"/>
      <c r="BH135" s="38"/>
      <c r="BI135" s="107"/>
      <c r="BJ135" s="107">
        <f t="shared" si="56"/>
        <v>34000</v>
      </c>
      <c r="BK135" s="107">
        <f t="shared" si="57"/>
        <v>36371.999400000001</v>
      </c>
      <c r="BL135" s="108">
        <f t="shared" si="58"/>
        <v>6948.9928628544267</v>
      </c>
      <c r="BM135" s="65">
        <f t="shared" si="59"/>
        <v>0.19105336460701763</v>
      </c>
      <c r="BN135" s="66">
        <f t="shared" si="46"/>
        <v>28571.428571428572</v>
      </c>
      <c r="BO135" s="66">
        <f t="shared" si="47"/>
        <v>5428.5714285714284</v>
      </c>
      <c r="BP135" s="109">
        <f>ROUNDUP(IF(BM135&lt;15%,BK135,BJ135),0)</f>
        <v>34000</v>
      </c>
      <c r="BQ135" s="76">
        <f t="shared" si="53"/>
        <v>170000</v>
      </c>
      <c r="BR135" s="110" t="s">
        <v>902</v>
      </c>
    </row>
    <row r="136" spans="1:70" ht="170" x14ac:dyDescent="0.2">
      <c r="A136" s="63">
        <v>132</v>
      </c>
      <c r="B136" s="126" t="s">
        <v>719</v>
      </c>
      <c r="C136" s="158" t="s">
        <v>720</v>
      </c>
      <c r="D136" s="126" t="s">
        <v>7</v>
      </c>
      <c r="E136" s="126">
        <v>5</v>
      </c>
      <c r="F136" s="38"/>
      <c r="G136" s="38"/>
      <c r="H136" s="38"/>
      <c r="I136" s="38"/>
      <c r="J136" s="38"/>
      <c r="K136" s="38"/>
      <c r="L136" s="38"/>
      <c r="M136" s="38"/>
      <c r="N136" s="38"/>
      <c r="O136" s="38"/>
      <c r="P136" s="38"/>
      <c r="Q136" s="38"/>
      <c r="R136" s="38"/>
      <c r="S136" s="38"/>
      <c r="T136" s="38"/>
      <c r="U136" s="38"/>
      <c r="V136" s="38"/>
      <c r="W136" s="38"/>
      <c r="X136" s="38"/>
      <c r="Y136" s="38"/>
      <c r="Z136" s="38"/>
      <c r="AA136" s="38"/>
      <c r="AB136" s="38"/>
      <c r="AC136" s="38"/>
      <c r="AD136" s="38"/>
      <c r="AE136" s="38"/>
      <c r="AF136" s="38"/>
      <c r="AG136" s="38"/>
      <c r="AH136" s="38"/>
      <c r="AI136" s="38"/>
      <c r="AJ136" s="38"/>
      <c r="AK136" s="38"/>
      <c r="AL136" s="38"/>
      <c r="AM136" s="38"/>
      <c r="AN136" s="38"/>
      <c r="AO136" s="38"/>
      <c r="AP136" s="38">
        <f>29411.76*1.19</f>
        <v>34999.994399999996</v>
      </c>
      <c r="AQ136" s="38"/>
      <c r="AR136" s="38"/>
      <c r="AS136" s="38"/>
      <c r="AT136" s="38"/>
      <c r="AU136" s="38"/>
      <c r="AV136" s="38"/>
      <c r="AW136" s="38"/>
      <c r="AX136" s="38"/>
      <c r="AY136" s="38">
        <v>21241.5</v>
      </c>
      <c r="AZ136" s="38">
        <v>21241.5</v>
      </c>
      <c r="BA136" s="38">
        <v>31500</v>
      </c>
      <c r="BB136" s="38"/>
      <c r="BC136" s="38"/>
      <c r="BD136" s="38"/>
      <c r="BE136" s="38"/>
      <c r="BF136" s="38"/>
      <c r="BG136" s="38"/>
      <c r="BH136" s="38"/>
      <c r="BI136" s="38"/>
      <c r="BJ136" s="107">
        <f t="shared" si="56"/>
        <v>26370.75</v>
      </c>
      <c r="BK136" s="107">
        <f t="shared" si="57"/>
        <v>27245.748599999999</v>
      </c>
      <c r="BL136" s="108">
        <f t="shared" si="58"/>
        <v>7078.817825089709</v>
      </c>
      <c r="BM136" s="65">
        <f t="shared" si="59"/>
        <v>0.25981366594161809</v>
      </c>
      <c r="BN136" s="66">
        <f t="shared" si="46"/>
        <v>22160.504201680673</v>
      </c>
      <c r="BO136" s="66">
        <f t="shared" si="47"/>
        <v>4210.4957983193281</v>
      </c>
      <c r="BP136" s="109">
        <f>ROUNDUP(IF(BM136&lt;15%,BK136,BJ136),0)</f>
        <v>26371</v>
      </c>
      <c r="BQ136" s="76">
        <f t="shared" si="53"/>
        <v>131855</v>
      </c>
      <c r="BR136" s="110" t="s">
        <v>902</v>
      </c>
    </row>
    <row r="137" spans="1:70" ht="187" x14ac:dyDescent="0.2">
      <c r="A137" s="63">
        <v>133</v>
      </c>
      <c r="B137" s="126" t="s">
        <v>721</v>
      </c>
      <c r="C137" s="158" t="s">
        <v>722</v>
      </c>
      <c r="D137" s="126" t="s">
        <v>7</v>
      </c>
      <c r="E137" s="126">
        <v>5</v>
      </c>
      <c r="F137" s="38"/>
      <c r="G137" s="38"/>
      <c r="H137" s="38"/>
      <c r="I137" s="38"/>
      <c r="J137" s="38"/>
      <c r="K137" s="38"/>
      <c r="L137" s="38"/>
      <c r="M137" s="38"/>
      <c r="N137" s="38"/>
      <c r="O137" s="38"/>
      <c r="P137" s="38"/>
      <c r="Q137" s="38"/>
      <c r="R137" s="38"/>
      <c r="S137" s="38"/>
      <c r="T137" s="38"/>
      <c r="U137" s="38"/>
      <c r="V137" s="38"/>
      <c r="W137" s="38"/>
      <c r="X137" s="38"/>
      <c r="Y137" s="38"/>
      <c r="Z137" s="38"/>
      <c r="AA137" s="38"/>
      <c r="AB137" s="38"/>
      <c r="AC137" s="38"/>
      <c r="AD137" s="38"/>
      <c r="AE137" s="38"/>
      <c r="AF137" s="38"/>
      <c r="AG137" s="38"/>
      <c r="AH137" s="38"/>
      <c r="AI137" s="38"/>
      <c r="AJ137" s="38"/>
      <c r="AK137" s="38"/>
      <c r="AL137" s="38"/>
      <c r="AM137" s="38"/>
      <c r="AN137" s="38"/>
      <c r="AO137" s="38"/>
      <c r="AP137" s="38">
        <f>25630.25*1.19</f>
        <v>30499.997499999998</v>
      </c>
      <c r="AQ137" s="38"/>
      <c r="AR137" s="38"/>
      <c r="AS137" s="38"/>
      <c r="AT137" s="38"/>
      <c r="AU137" s="38"/>
      <c r="AV137" s="38"/>
      <c r="AW137" s="38"/>
      <c r="AX137" s="38"/>
      <c r="AY137" s="38">
        <v>17701.25</v>
      </c>
      <c r="AZ137" s="38">
        <v>17701.25</v>
      </c>
      <c r="BA137" s="38">
        <v>27900</v>
      </c>
      <c r="BB137" s="38"/>
      <c r="BC137" s="38"/>
      <c r="BD137" s="38"/>
      <c r="BE137" s="38"/>
      <c r="BF137" s="38"/>
      <c r="BG137" s="38"/>
      <c r="BH137" s="38"/>
      <c r="BI137" s="38"/>
      <c r="BJ137" s="107">
        <f t="shared" si="56"/>
        <v>22800.625</v>
      </c>
      <c r="BK137" s="107">
        <f t="shared" si="57"/>
        <v>23450.624374999999</v>
      </c>
      <c r="BL137" s="108">
        <f t="shared" si="58"/>
        <v>6723.1246781941591</v>
      </c>
      <c r="BM137" s="65">
        <f t="shared" si="59"/>
        <v>0.28669277929168824</v>
      </c>
      <c r="BN137" s="66">
        <f t="shared" si="46"/>
        <v>19160.504201680673</v>
      </c>
      <c r="BO137" s="66">
        <f t="shared" si="47"/>
        <v>3640.4957983193281</v>
      </c>
      <c r="BP137" s="109">
        <f>ROUNDUP(IF(BM137&lt;15%,BK137,BJ137),0)</f>
        <v>22801</v>
      </c>
      <c r="BQ137" s="76">
        <f t="shared" si="53"/>
        <v>114005</v>
      </c>
      <c r="BR137" s="110" t="s">
        <v>902</v>
      </c>
    </row>
    <row r="138" spans="1:70" ht="170" x14ac:dyDescent="0.2">
      <c r="A138" s="63">
        <v>134</v>
      </c>
      <c r="B138" s="126" t="s">
        <v>723</v>
      </c>
      <c r="C138" s="158" t="s">
        <v>724</v>
      </c>
      <c r="D138" s="126" t="s">
        <v>7</v>
      </c>
      <c r="E138" s="126">
        <v>5</v>
      </c>
      <c r="F138" s="38"/>
      <c r="G138" s="38"/>
      <c r="H138" s="38"/>
      <c r="I138" s="38"/>
      <c r="J138" s="38"/>
      <c r="K138" s="38"/>
      <c r="L138" s="38"/>
      <c r="M138" s="38"/>
      <c r="N138" s="38"/>
      <c r="O138" s="38"/>
      <c r="P138" s="38"/>
      <c r="Q138" s="38"/>
      <c r="R138" s="38"/>
      <c r="S138" s="38"/>
      <c r="T138" s="38"/>
      <c r="U138" s="38"/>
      <c r="V138" s="38"/>
      <c r="W138" s="38"/>
      <c r="X138" s="38"/>
      <c r="Y138" s="38"/>
      <c r="Z138" s="38"/>
      <c r="AA138" s="38"/>
      <c r="AB138" s="38"/>
      <c r="AC138" s="38"/>
      <c r="AD138" s="38"/>
      <c r="AE138" s="38"/>
      <c r="AF138" s="38"/>
      <c r="AG138" s="38"/>
      <c r="AH138" s="38"/>
      <c r="AI138" s="38"/>
      <c r="AJ138" s="38"/>
      <c r="AK138" s="38"/>
      <c r="AL138" s="38"/>
      <c r="AM138" s="38"/>
      <c r="AN138" s="38"/>
      <c r="AO138" s="38"/>
      <c r="AP138" s="38">
        <f>22689.08*1.19</f>
        <v>27000.0052</v>
      </c>
      <c r="AQ138" s="38"/>
      <c r="AR138" s="38"/>
      <c r="AS138" s="38"/>
      <c r="AT138" s="38"/>
      <c r="AU138" s="38"/>
      <c r="AV138" s="38"/>
      <c r="AW138" s="38"/>
      <c r="AX138" s="38"/>
      <c r="AY138" s="38">
        <v>21420</v>
      </c>
      <c r="AZ138" s="38">
        <v>22610</v>
      </c>
      <c r="BA138" s="38">
        <v>26100</v>
      </c>
      <c r="BB138" s="38"/>
      <c r="BC138" s="38">
        <v>27000</v>
      </c>
      <c r="BD138" s="38"/>
      <c r="BE138" s="38"/>
      <c r="BF138" s="38"/>
      <c r="BG138" s="38"/>
      <c r="BH138" s="38"/>
      <c r="BI138" s="38"/>
      <c r="BJ138" s="107">
        <f t="shared" si="56"/>
        <v>26100</v>
      </c>
      <c r="BK138" s="107">
        <f t="shared" si="57"/>
        <v>24826.001039999999</v>
      </c>
      <c r="BL138" s="108">
        <f t="shared" si="58"/>
        <v>2626.173195431978</v>
      </c>
      <c r="BM138" s="65">
        <f t="shared" si="59"/>
        <v>0.10578317430989595</v>
      </c>
      <c r="BN138" s="66">
        <f t="shared" si="46"/>
        <v>20863.025210084033</v>
      </c>
      <c r="BO138" s="66">
        <f t="shared" si="47"/>
        <v>3963.9747899159665</v>
      </c>
      <c r="BP138" s="109">
        <f>ROUNDUP(IF(BM138&lt;15%,BK138,BJ138),0)</f>
        <v>24827</v>
      </c>
      <c r="BQ138" s="76">
        <f t="shared" si="53"/>
        <v>124135</v>
      </c>
      <c r="BR138" s="110" t="s">
        <v>903</v>
      </c>
    </row>
    <row r="139" spans="1:70" ht="85" x14ac:dyDescent="0.2">
      <c r="A139" s="63">
        <v>135</v>
      </c>
      <c r="B139" s="126" t="s">
        <v>725</v>
      </c>
      <c r="C139" s="158" t="s">
        <v>1152</v>
      </c>
      <c r="D139" s="63" t="s">
        <v>162</v>
      </c>
      <c r="E139" s="126">
        <v>3</v>
      </c>
      <c r="F139" s="38"/>
      <c r="G139" s="38"/>
      <c r="H139" s="38"/>
      <c r="I139" s="38"/>
      <c r="J139" s="38"/>
      <c r="K139" s="38"/>
      <c r="L139" s="38"/>
      <c r="M139" s="38"/>
      <c r="N139" s="38"/>
      <c r="O139" s="38"/>
      <c r="P139" s="38"/>
      <c r="Q139" s="38"/>
      <c r="R139" s="38"/>
      <c r="S139" s="38"/>
      <c r="T139" s="38"/>
      <c r="U139" s="38"/>
      <c r="V139" s="38"/>
      <c r="W139" s="38"/>
      <c r="X139" s="38"/>
      <c r="Y139" s="38"/>
      <c r="Z139" s="38"/>
      <c r="AA139" s="38"/>
      <c r="AB139" s="38"/>
      <c r="AC139" s="38"/>
      <c r="AD139" s="38"/>
      <c r="AE139" s="38"/>
      <c r="AF139" s="38"/>
      <c r="AG139" s="38"/>
      <c r="AH139" s="38"/>
      <c r="AI139" s="38"/>
      <c r="AJ139" s="38"/>
      <c r="AK139" s="38"/>
      <c r="AL139" s="38"/>
      <c r="AM139" s="38"/>
      <c r="AN139" s="38"/>
      <c r="AO139" s="38"/>
      <c r="AP139" s="38"/>
      <c r="AQ139" s="38"/>
      <c r="AR139" s="38"/>
      <c r="AS139" s="38"/>
      <c r="AT139" s="38"/>
      <c r="AU139" s="38"/>
      <c r="AV139" s="38"/>
      <c r="AW139" s="38"/>
      <c r="AX139" s="38"/>
      <c r="AY139" s="38">
        <v>53811.799999999996</v>
      </c>
      <c r="AZ139" s="38">
        <v>53811.799999999996</v>
      </c>
      <c r="BA139" s="38">
        <v>86400</v>
      </c>
      <c r="BB139" s="38"/>
      <c r="BC139" s="38">
        <v>75000</v>
      </c>
      <c r="BD139" s="38"/>
      <c r="BE139" s="38"/>
      <c r="BF139" s="38"/>
      <c r="BG139" s="38"/>
      <c r="BH139" s="38"/>
      <c r="BI139" s="38"/>
      <c r="BJ139" s="107">
        <f t="shared" si="56"/>
        <v>64405.899999999994</v>
      </c>
      <c r="BK139" s="107">
        <f t="shared" si="57"/>
        <v>67255.899999999994</v>
      </c>
      <c r="BL139" s="108">
        <f t="shared" si="58"/>
        <v>16206.534682446272</v>
      </c>
      <c r="BM139" s="65">
        <f t="shared" si="59"/>
        <v>0.2409682226012331</v>
      </c>
      <c r="BN139" s="109">
        <f>ROUNDUP(IF(BM139&lt;15%,BK139,BJ139),0)</f>
        <v>64406</v>
      </c>
      <c r="BO139" s="66">
        <v>0</v>
      </c>
      <c r="BP139" s="109">
        <f t="shared" ref="BP139:BP140" si="60">BN139+BO139</f>
        <v>64406</v>
      </c>
      <c r="BQ139" s="76">
        <f>BN139*E139</f>
        <v>193218</v>
      </c>
      <c r="BR139" s="110" t="s">
        <v>902</v>
      </c>
    </row>
    <row r="140" spans="1:70" ht="68" x14ac:dyDescent="0.2">
      <c r="A140" s="63">
        <v>136</v>
      </c>
      <c r="B140" s="126" t="s">
        <v>725</v>
      </c>
      <c r="C140" s="158" t="s">
        <v>726</v>
      </c>
      <c r="D140" s="126" t="s">
        <v>584</v>
      </c>
      <c r="E140" s="126">
        <v>20</v>
      </c>
      <c r="F140" s="38"/>
      <c r="G140" s="38"/>
      <c r="H140" s="38"/>
      <c r="I140" s="38"/>
      <c r="J140" s="38"/>
      <c r="K140" s="38"/>
      <c r="L140" s="38"/>
      <c r="M140" s="38"/>
      <c r="N140" s="38"/>
      <c r="O140" s="38"/>
      <c r="P140" s="38"/>
      <c r="Q140" s="38"/>
      <c r="R140" s="38"/>
      <c r="S140" s="38"/>
      <c r="T140" s="38"/>
      <c r="U140" s="38"/>
      <c r="V140" s="38"/>
      <c r="W140" s="38"/>
      <c r="X140" s="38"/>
      <c r="Y140" s="38"/>
      <c r="Z140" s="38"/>
      <c r="AA140" s="38"/>
      <c r="AB140" s="38"/>
      <c r="AC140" s="38"/>
      <c r="AD140" s="38"/>
      <c r="AE140" s="38"/>
      <c r="AF140" s="38"/>
      <c r="AG140" s="38"/>
      <c r="AH140" s="38"/>
      <c r="AI140" s="38"/>
      <c r="AJ140" s="38"/>
      <c r="AK140" s="38"/>
      <c r="AL140" s="38"/>
      <c r="AM140" s="38"/>
      <c r="AN140" s="38"/>
      <c r="AO140" s="38"/>
      <c r="AP140" s="38"/>
      <c r="AQ140" s="38"/>
      <c r="AR140" s="38"/>
      <c r="AS140" s="38"/>
      <c r="AT140" s="38"/>
      <c r="AU140" s="38"/>
      <c r="AV140" s="38"/>
      <c r="AW140" s="38"/>
      <c r="AX140" s="38"/>
      <c r="AY140" s="38">
        <v>7788.5499999999993</v>
      </c>
      <c r="AZ140" s="38">
        <v>7788.5499999999993</v>
      </c>
      <c r="BA140" s="38">
        <v>12240</v>
      </c>
      <c r="BB140" s="38"/>
      <c r="BC140" s="38"/>
      <c r="BD140" s="38"/>
      <c r="BE140" s="38"/>
      <c r="BF140" s="38"/>
      <c r="BG140" s="38"/>
      <c r="BH140" s="38"/>
      <c r="BI140" s="38"/>
      <c r="BJ140" s="107">
        <f t="shared" si="56"/>
        <v>7788.5499999999993</v>
      </c>
      <c r="BK140" s="107">
        <f t="shared" si="57"/>
        <v>9272.3666666666668</v>
      </c>
      <c r="BL140" s="108">
        <f t="shared" si="58"/>
        <v>2570.0458557841598</v>
      </c>
      <c r="BM140" s="65">
        <f t="shared" si="59"/>
        <v>0.27717258691065855</v>
      </c>
      <c r="BN140" s="109">
        <f>ROUNDUP(IF(BM140&lt;15%,BK140,BJ140),0)</f>
        <v>7789</v>
      </c>
      <c r="BO140" s="66">
        <v>0</v>
      </c>
      <c r="BP140" s="109">
        <f t="shared" si="60"/>
        <v>7789</v>
      </c>
      <c r="BQ140" s="76">
        <f>BN140*E140</f>
        <v>155780</v>
      </c>
      <c r="BR140" s="110" t="s">
        <v>902</v>
      </c>
    </row>
    <row r="141" spans="1:70" ht="34" x14ac:dyDescent="0.2">
      <c r="A141" s="63">
        <v>137</v>
      </c>
      <c r="B141" s="126" t="s">
        <v>727</v>
      </c>
      <c r="C141" s="158" t="s">
        <v>728</v>
      </c>
      <c r="D141" s="126" t="s">
        <v>7</v>
      </c>
      <c r="E141" s="126">
        <v>5250</v>
      </c>
      <c r="F141" s="38"/>
      <c r="G141" s="38"/>
      <c r="H141" s="38"/>
      <c r="I141" s="38"/>
      <c r="J141" s="38"/>
      <c r="K141" s="38"/>
      <c r="L141" s="38"/>
      <c r="M141" s="38"/>
      <c r="N141" s="38"/>
      <c r="O141" s="38"/>
      <c r="P141" s="38"/>
      <c r="Q141" s="38"/>
      <c r="R141" s="38"/>
      <c r="S141" s="38"/>
      <c r="T141" s="38"/>
      <c r="U141" s="38"/>
      <c r="V141" s="38"/>
      <c r="W141" s="38"/>
      <c r="X141" s="38"/>
      <c r="Y141" s="38"/>
      <c r="Z141" s="38"/>
      <c r="AA141" s="38"/>
      <c r="AB141" s="38"/>
      <c r="AC141" s="38"/>
      <c r="AD141" s="38"/>
      <c r="AE141" s="38"/>
      <c r="AF141" s="38"/>
      <c r="AG141" s="38"/>
      <c r="AH141" s="38"/>
      <c r="AI141" s="38"/>
      <c r="AJ141" s="38"/>
      <c r="AK141" s="38"/>
      <c r="AL141" s="38"/>
      <c r="AM141" s="38"/>
      <c r="AN141" s="38"/>
      <c r="AO141" s="38"/>
      <c r="AP141" s="38"/>
      <c r="AQ141" s="38"/>
      <c r="AR141" s="38"/>
      <c r="AS141" s="38"/>
      <c r="AT141" s="38"/>
      <c r="AU141" s="38"/>
      <c r="AV141" s="38"/>
      <c r="AW141" s="38"/>
      <c r="AX141" s="38"/>
      <c r="AY141" s="38">
        <v>333.2</v>
      </c>
      <c r="AZ141" s="38">
        <v>357</v>
      </c>
      <c r="BA141" s="38">
        <v>360</v>
      </c>
      <c r="BB141" s="38"/>
      <c r="BC141" s="38">
        <v>220</v>
      </c>
      <c r="BD141" s="38"/>
      <c r="BE141" s="38"/>
      <c r="BF141" s="38"/>
      <c r="BG141" s="38"/>
      <c r="BH141" s="38"/>
      <c r="BI141" s="38"/>
      <c r="BJ141" s="107">
        <f t="shared" si="56"/>
        <v>345.1</v>
      </c>
      <c r="BK141" s="107">
        <f t="shared" si="57"/>
        <v>317.55</v>
      </c>
      <c r="BL141" s="108">
        <f t="shared" si="58"/>
        <v>66.129242144959292</v>
      </c>
      <c r="BM141" s="65">
        <f t="shared" si="59"/>
        <v>0.20824828261678252</v>
      </c>
      <c r="BN141" s="66">
        <f t="shared" si="46"/>
        <v>290.75630252100842</v>
      </c>
      <c r="BO141" s="66">
        <f t="shared" si="47"/>
        <v>55.243697478991599</v>
      </c>
      <c r="BP141" s="109">
        <f>ROUNDUP(IF(BM141&lt;15%,BK141,BJ141),0)</f>
        <v>346</v>
      </c>
      <c r="BQ141" s="76">
        <f>BP141*E141</f>
        <v>1816500</v>
      </c>
      <c r="BR141" s="110" t="s">
        <v>902</v>
      </c>
    </row>
    <row r="142" spans="1:70" ht="34" x14ac:dyDescent="0.2">
      <c r="A142" s="63">
        <v>138</v>
      </c>
      <c r="B142" s="126" t="s">
        <v>729</v>
      </c>
      <c r="C142" s="157" t="s">
        <v>730</v>
      </c>
      <c r="D142" s="63" t="s">
        <v>531</v>
      </c>
      <c r="E142" s="63">
        <v>50</v>
      </c>
      <c r="F142" s="38"/>
      <c r="G142" s="38"/>
      <c r="H142" s="38"/>
      <c r="I142" s="38"/>
      <c r="J142" s="38"/>
      <c r="K142" s="38"/>
      <c r="L142" s="38"/>
      <c r="M142" s="38"/>
      <c r="N142" s="38"/>
      <c r="O142" s="38"/>
      <c r="P142" s="38"/>
      <c r="Q142" s="38"/>
      <c r="R142" s="38"/>
      <c r="S142" s="38"/>
      <c r="T142" s="38"/>
      <c r="U142" s="38"/>
      <c r="V142" s="38"/>
      <c r="W142" s="38"/>
      <c r="X142" s="38"/>
      <c r="Y142" s="38"/>
      <c r="Z142" s="38"/>
      <c r="AA142" s="38"/>
      <c r="AB142" s="38"/>
      <c r="AC142" s="38"/>
      <c r="AD142" s="38"/>
      <c r="AE142" s="38"/>
      <c r="AF142" s="38"/>
      <c r="AG142" s="38"/>
      <c r="AH142" s="38"/>
      <c r="AI142" s="38"/>
      <c r="AJ142" s="38"/>
      <c r="AK142" s="38"/>
      <c r="AL142" s="38"/>
      <c r="AM142" s="38"/>
      <c r="AN142" s="38">
        <v>170200</v>
      </c>
      <c r="AO142" s="38"/>
      <c r="AP142" s="38"/>
      <c r="AQ142" s="38"/>
      <c r="AR142" s="38"/>
      <c r="AS142" s="38"/>
      <c r="AT142" s="38"/>
      <c r="AU142" s="38"/>
      <c r="AV142" s="38"/>
      <c r="AW142" s="38"/>
      <c r="AX142" s="38"/>
      <c r="AY142" s="38"/>
      <c r="AZ142" s="38"/>
      <c r="BA142" s="38">
        <v>189000</v>
      </c>
      <c r="BB142" s="38"/>
      <c r="BC142" s="38">
        <v>220000</v>
      </c>
      <c r="BD142" s="38"/>
      <c r="BE142" s="38"/>
      <c r="BF142" s="38"/>
      <c r="BG142" s="38"/>
      <c r="BH142" s="38"/>
      <c r="BI142" s="38"/>
      <c r="BJ142" s="107">
        <f t="shared" si="56"/>
        <v>189000</v>
      </c>
      <c r="BK142" s="107">
        <f t="shared" si="57"/>
        <v>193066.66666666666</v>
      </c>
      <c r="BL142" s="108">
        <f t="shared" si="58"/>
        <v>25147.829594884246</v>
      </c>
      <c r="BM142" s="65">
        <f t="shared" si="59"/>
        <v>0.13025464223869604</v>
      </c>
      <c r="BN142" s="109">
        <f>ROUNDUP(IF(BM142&lt;15%,BK142,BJ142),0)</f>
        <v>193067</v>
      </c>
      <c r="BO142" s="66">
        <v>0</v>
      </c>
      <c r="BP142" s="109">
        <f t="shared" ref="BP142:BP171" si="61">BN142+BO142</f>
        <v>193067</v>
      </c>
      <c r="BQ142" s="76">
        <f>BN142*E142</f>
        <v>9653350</v>
      </c>
      <c r="BR142" s="110" t="s">
        <v>903</v>
      </c>
    </row>
    <row r="143" spans="1:70" ht="34" x14ac:dyDescent="0.2">
      <c r="A143" s="63">
        <v>139</v>
      </c>
      <c r="B143" s="126" t="s">
        <v>729</v>
      </c>
      <c r="C143" s="157" t="s">
        <v>731</v>
      </c>
      <c r="D143" s="63" t="s">
        <v>531</v>
      </c>
      <c r="E143" s="63">
        <v>100</v>
      </c>
      <c r="F143" s="38"/>
      <c r="G143" s="38"/>
      <c r="H143" s="38"/>
      <c r="I143" s="38"/>
      <c r="J143" s="38"/>
      <c r="K143" s="38"/>
      <c r="L143" s="38"/>
      <c r="M143" s="38"/>
      <c r="N143" s="38"/>
      <c r="O143" s="38"/>
      <c r="P143" s="38"/>
      <c r="Q143" s="38"/>
      <c r="R143" s="38"/>
      <c r="S143" s="38"/>
      <c r="T143" s="38"/>
      <c r="U143" s="38"/>
      <c r="V143" s="38"/>
      <c r="W143" s="38"/>
      <c r="X143" s="38"/>
      <c r="Y143" s="38"/>
      <c r="Z143" s="38"/>
      <c r="AA143" s="38"/>
      <c r="AB143" s="38"/>
      <c r="AC143" s="38"/>
      <c r="AD143" s="38"/>
      <c r="AE143" s="38"/>
      <c r="AF143" s="38"/>
      <c r="AG143" s="38"/>
      <c r="AH143" s="38"/>
      <c r="AI143" s="38"/>
      <c r="AJ143" s="38"/>
      <c r="AK143" s="38"/>
      <c r="AL143" s="38"/>
      <c r="AM143" s="38"/>
      <c r="AN143" s="38">
        <v>41952</v>
      </c>
      <c r="AO143" s="38">
        <v>33100</v>
      </c>
      <c r="AP143" s="38"/>
      <c r="AQ143" s="38"/>
      <c r="AR143" s="38"/>
      <c r="AS143" s="38"/>
      <c r="AT143" s="38"/>
      <c r="AU143" s="38"/>
      <c r="AV143" s="38"/>
      <c r="AW143" s="38"/>
      <c r="AX143" s="38"/>
      <c r="AY143" s="38">
        <v>53550</v>
      </c>
      <c r="AZ143" s="38">
        <v>54740</v>
      </c>
      <c r="BA143" s="38">
        <v>77400</v>
      </c>
      <c r="BB143" s="38"/>
      <c r="BC143" s="38">
        <v>54000</v>
      </c>
      <c r="BD143" s="38"/>
      <c r="BE143" s="38"/>
      <c r="BF143" s="38"/>
      <c r="BG143" s="38"/>
      <c r="BH143" s="38"/>
      <c r="BI143" s="38"/>
      <c r="BJ143" s="107">
        <f t="shared" si="56"/>
        <v>53775</v>
      </c>
      <c r="BK143" s="107">
        <f t="shared" si="57"/>
        <v>52457</v>
      </c>
      <c r="BL143" s="108">
        <f t="shared" si="58"/>
        <v>14939.807963959911</v>
      </c>
      <c r="BM143" s="65">
        <f t="shared" si="59"/>
        <v>0.28480103635282061</v>
      </c>
      <c r="BN143" s="109">
        <f>ROUNDUP(IF(BM143&lt;15%,BK143,BJ143),0)</f>
        <v>53775</v>
      </c>
      <c r="BO143" s="66">
        <v>0</v>
      </c>
      <c r="BP143" s="109">
        <f t="shared" si="61"/>
        <v>53775</v>
      </c>
      <c r="BQ143" s="76">
        <f>BN143*E143</f>
        <v>5377500</v>
      </c>
      <c r="BR143" s="110" t="s">
        <v>902</v>
      </c>
    </row>
    <row r="144" spans="1:70" ht="118.5" customHeight="1" x14ac:dyDescent="0.2">
      <c r="A144" s="63">
        <v>140</v>
      </c>
      <c r="B144" s="126" t="s">
        <v>885</v>
      </c>
      <c r="C144" s="111" t="s">
        <v>865</v>
      </c>
      <c r="D144" s="63" t="s">
        <v>7</v>
      </c>
      <c r="E144" s="63">
        <v>5250</v>
      </c>
      <c r="F144" s="38"/>
      <c r="G144" s="38"/>
      <c r="H144" s="38"/>
      <c r="I144" s="38"/>
      <c r="J144" s="38"/>
      <c r="K144" s="38"/>
      <c r="L144" s="38"/>
      <c r="M144" s="38"/>
      <c r="N144" s="38"/>
      <c r="O144" s="38"/>
      <c r="P144" s="88">
        <v>15000</v>
      </c>
      <c r="Q144" s="70">
        <f>((P144*5.1%)+P144)</f>
        <v>15765</v>
      </c>
      <c r="R144" s="54">
        <v>13000</v>
      </c>
      <c r="S144" s="70">
        <f>((R144*5.1%)+R144)</f>
        <v>13663</v>
      </c>
      <c r="T144" s="54">
        <v>12000</v>
      </c>
      <c r="U144" s="70">
        <f>((T144*5.1%)+T144)</f>
        <v>12612</v>
      </c>
      <c r="V144" s="88">
        <v>17999</v>
      </c>
      <c r="W144" s="70">
        <f>((V144*5.1%)+V144)</f>
        <v>18916.949000000001</v>
      </c>
      <c r="X144" s="38"/>
      <c r="Y144" s="38"/>
      <c r="Z144" s="38"/>
      <c r="AA144" s="38"/>
      <c r="AB144" s="38"/>
      <c r="AC144" s="38"/>
      <c r="AD144" s="38"/>
      <c r="AE144" s="38"/>
      <c r="AF144" s="38"/>
      <c r="AG144" s="38"/>
      <c r="AH144" s="38"/>
      <c r="AI144" s="38"/>
      <c r="AJ144" s="38"/>
      <c r="AK144" s="38"/>
      <c r="AL144" s="38"/>
      <c r="AM144" s="38"/>
      <c r="AN144" s="38"/>
      <c r="AO144" s="38"/>
      <c r="AP144" s="38"/>
      <c r="AQ144" s="38"/>
      <c r="AR144" s="38"/>
      <c r="AS144" s="38"/>
      <c r="AT144" s="38"/>
      <c r="AU144" s="38"/>
      <c r="AV144" s="38"/>
      <c r="AW144" s="38"/>
      <c r="AX144" s="38"/>
      <c r="AY144" s="38"/>
      <c r="AZ144" s="38"/>
      <c r="BA144" s="38"/>
      <c r="BB144" s="38"/>
      <c r="BC144" s="38"/>
      <c r="BD144" s="38"/>
      <c r="BE144" s="38"/>
      <c r="BF144" s="38"/>
      <c r="BG144" s="38"/>
      <c r="BH144" s="38"/>
      <c r="BI144" s="38"/>
      <c r="BJ144" s="107">
        <f t="shared" si="56"/>
        <v>14714</v>
      </c>
      <c r="BK144" s="107">
        <f t="shared" si="57"/>
        <v>15239.23725</v>
      </c>
      <c r="BL144" s="108">
        <f t="shared" si="58"/>
        <v>2780.2211915272005</v>
      </c>
      <c r="BM144" s="65">
        <f t="shared" si="59"/>
        <v>0.18243834293787903</v>
      </c>
      <c r="BN144" s="66">
        <f t="shared" si="46"/>
        <v>12364.705882352942</v>
      </c>
      <c r="BO144" s="66">
        <f t="shared" si="47"/>
        <v>2349.294117647059</v>
      </c>
      <c r="BP144" s="109">
        <f>ROUNDUP(IF(BM144&lt;15%,BK144,BJ144),0)</f>
        <v>14714</v>
      </c>
      <c r="BQ144" s="76">
        <f>BP144*E144</f>
        <v>77248500</v>
      </c>
      <c r="BR144" s="110" t="s">
        <v>902</v>
      </c>
    </row>
    <row r="145" spans="1:70" ht="187" x14ac:dyDescent="0.2">
      <c r="A145" s="63">
        <v>141</v>
      </c>
      <c r="B145" s="63" t="s">
        <v>732</v>
      </c>
      <c r="C145" s="158" t="s">
        <v>1153</v>
      </c>
      <c r="D145" s="63" t="s">
        <v>1146</v>
      </c>
      <c r="E145" s="63">
        <v>2</v>
      </c>
      <c r="F145" s="38"/>
      <c r="G145" s="38"/>
      <c r="H145" s="38"/>
      <c r="I145" s="38"/>
      <c r="J145" s="38"/>
      <c r="K145" s="38"/>
      <c r="L145" s="38"/>
      <c r="M145" s="38"/>
      <c r="N145" s="38"/>
      <c r="O145" s="38"/>
      <c r="P145" s="38"/>
      <c r="Q145" s="38"/>
      <c r="R145" s="38"/>
      <c r="S145" s="38"/>
      <c r="T145" s="38"/>
      <c r="U145" s="38"/>
      <c r="V145" s="38"/>
      <c r="W145" s="38"/>
      <c r="X145" s="38"/>
      <c r="Y145" s="38"/>
      <c r="Z145" s="38"/>
      <c r="AA145" s="38"/>
      <c r="AB145" s="38"/>
      <c r="AC145" s="38"/>
      <c r="AD145" s="38"/>
      <c r="AE145" s="38"/>
      <c r="AF145" s="38"/>
      <c r="AG145" s="38"/>
      <c r="AH145" s="38"/>
      <c r="AI145" s="38"/>
      <c r="AJ145" s="38"/>
      <c r="AK145" s="38"/>
      <c r="AL145" s="38"/>
      <c r="AM145" s="38"/>
      <c r="AN145" s="38"/>
      <c r="AO145" s="38"/>
      <c r="AP145" s="38">
        <v>61700</v>
      </c>
      <c r="AQ145" s="38"/>
      <c r="AR145" s="38"/>
      <c r="AS145" s="38"/>
      <c r="AT145" s="38"/>
      <c r="AU145" s="38"/>
      <c r="AV145" s="38"/>
      <c r="AW145" s="38"/>
      <c r="AX145" s="38"/>
      <c r="AY145" s="38">
        <v>49980</v>
      </c>
      <c r="AZ145" s="38">
        <v>49980</v>
      </c>
      <c r="BA145" s="38">
        <v>49500</v>
      </c>
      <c r="BB145" s="38"/>
      <c r="BC145" s="38"/>
      <c r="BD145" s="38"/>
      <c r="BE145" s="38"/>
      <c r="BF145" s="38"/>
      <c r="BG145" s="38"/>
      <c r="BH145" s="38"/>
      <c r="BI145" s="38"/>
      <c r="BJ145" s="107">
        <f t="shared" si="56"/>
        <v>49980</v>
      </c>
      <c r="BK145" s="107">
        <f t="shared" si="57"/>
        <v>52790</v>
      </c>
      <c r="BL145" s="108">
        <f t="shared" si="58"/>
        <v>5944.3082019693429</v>
      </c>
      <c r="BM145" s="65">
        <f t="shared" si="59"/>
        <v>0.11260292104507184</v>
      </c>
      <c r="BN145" s="109">
        <f t="shared" ref="BN145:BN171" si="62">ROUNDUP(IF(BM145&lt;15%,BK145,BJ145),0)</f>
        <v>52790</v>
      </c>
      <c r="BO145" s="66">
        <v>0</v>
      </c>
      <c r="BP145" s="109">
        <f t="shared" si="61"/>
        <v>52790</v>
      </c>
      <c r="BQ145" s="76">
        <f t="shared" ref="BQ145:BQ171" si="63">BN145*E145</f>
        <v>105580</v>
      </c>
      <c r="BR145" s="110" t="s">
        <v>903</v>
      </c>
    </row>
    <row r="146" spans="1:70" ht="140.75" customHeight="1" x14ac:dyDescent="0.2">
      <c r="A146" s="63">
        <v>142</v>
      </c>
      <c r="B146" s="63" t="s">
        <v>732</v>
      </c>
      <c r="C146" s="157" t="s">
        <v>733</v>
      </c>
      <c r="D146" s="63" t="s">
        <v>584</v>
      </c>
      <c r="E146" s="63">
        <v>2</v>
      </c>
      <c r="F146" s="38"/>
      <c r="G146" s="38"/>
      <c r="H146" s="38"/>
      <c r="I146" s="38"/>
      <c r="J146" s="38"/>
      <c r="K146" s="38"/>
      <c r="L146" s="38"/>
      <c r="M146" s="38"/>
      <c r="N146" s="38"/>
      <c r="O146" s="38"/>
      <c r="P146" s="38"/>
      <c r="Q146" s="38"/>
      <c r="R146" s="38"/>
      <c r="S146" s="38"/>
      <c r="T146" s="38"/>
      <c r="U146" s="38"/>
      <c r="V146" s="38"/>
      <c r="W146" s="38"/>
      <c r="X146" s="38"/>
      <c r="Y146" s="38"/>
      <c r="Z146" s="38"/>
      <c r="AA146" s="38"/>
      <c r="AB146" s="38"/>
      <c r="AC146" s="38"/>
      <c r="AD146" s="38"/>
      <c r="AE146" s="38"/>
      <c r="AF146" s="38"/>
      <c r="AG146" s="38"/>
      <c r="AH146" s="38"/>
      <c r="AI146" s="38"/>
      <c r="AJ146" s="38"/>
      <c r="AK146" s="38"/>
      <c r="AL146" s="38">
        <v>27300</v>
      </c>
      <c r="AM146" s="38"/>
      <c r="AN146" s="38"/>
      <c r="AO146" s="38"/>
      <c r="AP146" s="38"/>
      <c r="AQ146" s="38"/>
      <c r="AR146" s="38"/>
      <c r="AS146" s="38"/>
      <c r="AT146" s="38"/>
      <c r="AU146" s="38"/>
      <c r="AV146" s="38"/>
      <c r="AW146" s="38"/>
      <c r="AX146" s="38"/>
      <c r="AY146" s="38">
        <v>41650</v>
      </c>
      <c r="AZ146" s="38">
        <v>41650</v>
      </c>
      <c r="BA146" s="38">
        <v>51300</v>
      </c>
      <c r="BB146" s="38"/>
      <c r="BC146" s="38"/>
      <c r="BD146" s="38"/>
      <c r="BE146" s="38"/>
      <c r="BF146" s="38"/>
      <c r="BG146" s="38"/>
      <c r="BH146" s="38"/>
      <c r="BI146" s="38"/>
      <c r="BJ146" s="107">
        <f t="shared" si="56"/>
        <v>41650</v>
      </c>
      <c r="BK146" s="107">
        <f t="shared" si="57"/>
        <v>40475</v>
      </c>
      <c r="BL146" s="108">
        <f t="shared" si="58"/>
        <v>9891.4525391033112</v>
      </c>
      <c r="BM146" s="65">
        <f t="shared" si="59"/>
        <v>0.24438425050286131</v>
      </c>
      <c r="BN146" s="109">
        <f t="shared" si="62"/>
        <v>41650</v>
      </c>
      <c r="BO146" s="66">
        <v>0</v>
      </c>
      <c r="BP146" s="109">
        <f t="shared" si="61"/>
        <v>41650</v>
      </c>
      <c r="BQ146" s="76">
        <f t="shared" si="63"/>
        <v>83300</v>
      </c>
      <c r="BR146" s="110" t="s">
        <v>902</v>
      </c>
    </row>
    <row r="147" spans="1:70" ht="119" x14ac:dyDescent="0.2">
      <c r="A147" s="63">
        <v>143</v>
      </c>
      <c r="B147" s="63" t="s">
        <v>732</v>
      </c>
      <c r="C147" s="157" t="s">
        <v>734</v>
      </c>
      <c r="D147" s="63" t="s">
        <v>735</v>
      </c>
      <c r="E147" s="63">
        <v>2</v>
      </c>
      <c r="F147" s="38"/>
      <c r="G147" s="38"/>
      <c r="H147" s="38"/>
      <c r="I147" s="38"/>
      <c r="J147" s="38"/>
      <c r="K147" s="38"/>
      <c r="L147" s="38"/>
      <c r="M147" s="38"/>
      <c r="N147" s="38"/>
      <c r="O147" s="38"/>
      <c r="P147" s="38"/>
      <c r="Q147" s="38"/>
      <c r="R147" s="38"/>
      <c r="S147" s="38"/>
      <c r="T147" s="38"/>
      <c r="U147" s="38"/>
      <c r="V147" s="38"/>
      <c r="W147" s="38"/>
      <c r="X147" s="38"/>
      <c r="Y147" s="38"/>
      <c r="Z147" s="38"/>
      <c r="AA147" s="38"/>
      <c r="AB147" s="38"/>
      <c r="AC147" s="38"/>
      <c r="AD147" s="38"/>
      <c r="AE147" s="38"/>
      <c r="AF147" s="38"/>
      <c r="AG147" s="38"/>
      <c r="AH147" s="38"/>
      <c r="AI147" s="38"/>
      <c r="AJ147" s="38"/>
      <c r="AK147" s="38"/>
      <c r="AL147" s="38">
        <v>103600</v>
      </c>
      <c r="AM147" s="38"/>
      <c r="AN147" s="38">
        <v>170800</v>
      </c>
      <c r="AO147" s="38"/>
      <c r="AP147" s="38"/>
      <c r="AQ147" s="38"/>
      <c r="AR147" s="38"/>
      <c r="AS147" s="38"/>
      <c r="AT147" s="38"/>
      <c r="AU147" s="38"/>
      <c r="AV147" s="38"/>
      <c r="AW147" s="38"/>
      <c r="AX147" s="38"/>
      <c r="AY147" s="38">
        <v>101150</v>
      </c>
      <c r="AZ147" s="38">
        <v>107100</v>
      </c>
      <c r="BA147" s="38">
        <v>117000</v>
      </c>
      <c r="BB147" s="38"/>
      <c r="BC147" s="38"/>
      <c r="BD147" s="38"/>
      <c r="BE147" s="38"/>
      <c r="BF147" s="38"/>
      <c r="BG147" s="38"/>
      <c r="BH147" s="38"/>
      <c r="BI147" s="38"/>
      <c r="BJ147" s="107">
        <f t="shared" si="56"/>
        <v>107100</v>
      </c>
      <c r="BK147" s="107">
        <f t="shared" si="57"/>
        <v>119930</v>
      </c>
      <c r="BL147" s="108">
        <f t="shared" si="58"/>
        <v>29070.208117590078</v>
      </c>
      <c r="BM147" s="65">
        <f t="shared" si="59"/>
        <v>0.2423931303059291</v>
      </c>
      <c r="BN147" s="109">
        <f t="shared" si="62"/>
        <v>107100</v>
      </c>
      <c r="BO147" s="66">
        <v>0</v>
      </c>
      <c r="BP147" s="109">
        <f t="shared" si="61"/>
        <v>107100</v>
      </c>
      <c r="BQ147" s="76">
        <f t="shared" si="63"/>
        <v>214200</v>
      </c>
      <c r="BR147" s="110" t="s">
        <v>902</v>
      </c>
    </row>
    <row r="148" spans="1:70" ht="68" x14ac:dyDescent="0.2">
      <c r="A148" s="63">
        <v>144</v>
      </c>
      <c r="B148" s="63" t="s">
        <v>736</v>
      </c>
      <c r="C148" s="157" t="s">
        <v>737</v>
      </c>
      <c r="D148" s="63" t="s">
        <v>738</v>
      </c>
      <c r="E148" s="63">
        <v>5</v>
      </c>
      <c r="F148" s="38"/>
      <c r="G148" s="38"/>
      <c r="H148" s="38"/>
      <c r="I148" s="38"/>
      <c r="J148" s="38"/>
      <c r="K148" s="38"/>
      <c r="L148" s="38"/>
      <c r="M148" s="38"/>
      <c r="N148" s="38"/>
      <c r="O148" s="38"/>
      <c r="P148" s="38"/>
      <c r="Q148" s="38"/>
      <c r="R148" s="38"/>
      <c r="S148" s="38"/>
      <c r="T148" s="38"/>
      <c r="U148" s="38"/>
      <c r="V148" s="38"/>
      <c r="W148" s="38"/>
      <c r="X148" s="38"/>
      <c r="Y148" s="38"/>
      <c r="Z148" s="38"/>
      <c r="AA148" s="38"/>
      <c r="AB148" s="38"/>
      <c r="AC148" s="38"/>
      <c r="AD148" s="38"/>
      <c r="AE148" s="38"/>
      <c r="AF148" s="38"/>
      <c r="AG148" s="38"/>
      <c r="AH148" s="38"/>
      <c r="AI148" s="38"/>
      <c r="AJ148" s="38"/>
      <c r="AK148" s="38"/>
      <c r="AL148" s="38">
        <v>53100</v>
      </c>
      <c r="AM148" s="38"/>
      <c r="AN148" s="38">
        <v>49643.199999999997</v>
      </c>
      <c r="AO148" s="38">
        <v>32300</v>
      </c>
      <c r="AP148" s="38"/>
      <c r="AQ148" s="38"/>
      <c r="AR148" s="38"/>
      <c r="AS148" s="38"/>
      <c r="AT148" s="38"/>
      <c r="AU148" s="38"/>
      <c r="AV148" s="38"/>
      <c r="AW148" s="38"/>
      <c r="AX148" s="38"/>
      <c r="AY148" s="38">
        <v>33320</v>
      </c>
      <c r="AZ148" s="38">
        <v>33320</v>
      </c>
      <c r="BA148" s="38"/>
      <c r="BB148" s="38"/>
      <c r="BC148" s="38">
        <v>49000</v>
      </c>
      <c r="BD148" s="38"/>
      <c r="BE148" s="38"/>
      <c r="BF148" s="38"/>
      <c r="BG148" s="38"/>
      <c r="BH148" s="38"/>
      <c r="BI148" s="38"/>
      <c r="BJ148" s="107">
        <f t="shared" si="56"/>
        <v>41160</v>
      </c>
      <c r="BK148" s="107">
        <f t="shared" si="57"/>
        <v>41780.533333333333</v>
      </c>
      <c r="BL148" s="108">
        <f t="shared" si="58"/>
        <v>9747.9670961009397</v>
      </c>
      <c r="BM148" s="65">
        <f t="shared" si="59"/>
        <v>0.23331361087063529</v>
      </c>
      <c r="BN148" s="109">
        <f t="shared" si="62"/>
        <v>41160</v>
      </c>
      <c r="BO148" s="66">
        <v>0</v>
      </c>
      <c r="BP148" s="109">
        <f t="shared" si="61"/>
        <v>41160</v>
      </c>
      <c r="BQ148" s="76">
        <f t="shared" si="63"/>
        <v>205800</v>
      </c>
      <c r="BR148" s="110" t="s">
        <v>902</v>
      </c>
    </row>
    <row r="149" spans="1:70" ht="34" x14ac:dyDescent="0.2">
      <c r="A149" s="63">
        <v>145</v>
      </c>
      <c r="B149" s="63" t="s">
        <v>739</v>
      </c>
      <c r="C149" s="158" t="s">
        <v>740</v>
      </c>
      <c r="D149" s="63" t="s">
        <v>516</v>
      </c>
      <c r="E149" s="63">
        <v>20</v>
      </c>
      <c r="F149" s="38"/>
      <c r="G149" s="38"/>
      <c r="H149" s="38"/>
      <c r="I149" s="38"/>
      <c r="J149" s="38"/>
      <c r="K149" s="38"/>
      <c r="L149" s="38"/>
      <c r="M149" s="38"/>
      <c r="N149" s="38"/>
      <c r="O149" s="38"/>
      <c r="P149" s="38"/>
      <c r="Q149" s="38"/>
      <c r="R149" s="38"/>
      <c r="S149" s="38"/>
      <c r="T149" s="38"/>
      <c r="U149" s="38"/>
      <c r="V149" s="38"/>
      <c r="W149" s="38"/>
      <c r="X149" s="38"/>
      <c r="Y149" s="38"/>
      <c r="Z149" s="38"/>
      <c r="AA149" s="38"/>
      <c r="AB149" s="38"/>
      <c r="AC149" s="38"/>
      <c r="AD149" s="38"/>
      <c r="AE149" s="38"/>
      <c r="AF149" s="38"/>
      <c r="AG149" s="38"/>
      <c r="AH149" s="38"/>
      <c r="AI149" s="38"/>
      <c r="AJ149" s="38"/>
      <c r="AK149" s="38"/>
      <c r="AL149" s="38">
        <v>16300</v>
      </c>
      <c r="AM149" s="38"/>
      <c r="AN149" s="38">
        <v>20574.55</v>
      </c>
      <c r="AO149" s="38">
        <v>14400</v>
      </c>
      <c r="AP149" s="38"/>
      <c r="AQ149" s="38"/>
      <c r="AR149" s="38"/>
      <c r="AS149" s="38"/>
      <c r="AT149" s="38"/>
      <c r="AU149" s="38"/>
      <c r="AV149" s="38"/>
      <c r="AW149" s="38"/>
      <c r="AX149" s="38"/>
      <c r="AY149" s="38"/>
      <c r="AZ149" s="38"/>
      <c r="BA149" s="38"/>
      <c r="BB149" s="38"/>
      <c r="BC149" s="38"/>
      <c r="BD149" s="38"/>
      <c r="BE149" s="38"/>
      <c r="BF149" s="38"/>
      <c r="BG149" s="38"/>
      <c r="BH149" s="38"/>
      <c r="BI149" s="38"/>
      <c r="BJ149" s="107">
        <f t="shared" si="56"/>
        <v>16300</v>
      </c>
      <c r="BK149" s="107">
        <f t="shared" si="57"/>
        <v>17091.516666666666</v>
      </c>
      <c r="BL149" s="108">
        <f t="shared" si="58"/>
        <v>3162.4580472843036</v>
      </c>
      <c r="BM149" s="65">
        <f t="shared" si="59"/>
        <v>0.18503086115534725</v>
      </c>
      <c r="BN149" s="109">
        <f t="shared" si="62"/>
        <v>16300</v>
      </c>
      <c r="BO149" s="66">
        <v>0</v>
      </c>
      <c r="BP149" s="109">
        <f t="shared" si="61"/>
        <v>16300</v>
      </c>
      <c r="BQ149" s="76">
        <f t="shared" si="63"/>
        <v>326000</v>
      </c>
      <c r="BR149" s="110" t="s">
        <v>902</v>
      </c>
    </row>
    <row r="150" spans="1:70" ht="34" x14ac:dyDescent="0.2">
      <c r="A150" s="63">
        <v>146</v>
      </c>
      <c r="B150" s="126" t="s">
        <v>741</v>
      </c>
      <c r="C150" s="157" t="s">
        <v>742</v>
      </c>
      <c r="D150" s="63" t="s">
        <v>743</v>
      </c>
      <c r="E150" s="63">
        <v>25</v>
      </c>
      <c r="F150" s="38"/>
      <c r="G150" s="38"/>
      <c r="H150" s="38"/>
      <c r="I150" s="38"/>
      <c r="J150" s="38"/>
      <c r="K150" s="38"/>
      <c r="L150" s="38"/>
      <c r="M150" s="38"/>
      <c r="N150" s="38"/>
      <c r="O150" s="38"/>
      <c r="P150" s="38"/>
      <c r="Q150" s="38"/>
      <c r="R150" s="38"/>
      <c r="S150" s="38"/>
      <c r="T150" s="38"/>
      <c r="U150" s="38"/>
      <c r="V150" s="38"/>
      <c r="W150" s="38"/>
      <c r="X150" s="38"/>
      <c r="Y150" s="38"/>
      <c r="Z150" s="38"/>
      <c r="AA150" s="38"/>
      <c r="AB150" s="38"/>
      <c r="AC150" s="38"/>
      <c r="AD150" s="38"/>
      <c r="AE150" s="38"/>
      <c r="AF150" s="38"/>
      <c r="AG150" s="38"/>
      <c r="AH150" s="38"/>
      <c r="AI150" s="38"/>
      <c r="AJ150" s="38"/>
      <c r="AK150" s="38"/>
      <c r="AL150" s="38"/>
      <c r="AM150" s="38"/>
      <c r="AN150" s="38"/>
      <c r="AO150" s="38"/>
      <c r="AP150" s="38"/>
      <c r="AQ150" s="38"/>
      <c r="AR150" s="38"/>
      <c r="AS150" s="38"/>
      <c r="AT150" s="38"/>
      <c r="AU150" s="38"/>
      <c r="AV150" s="38"/>
      <c r="AW150" s="38"/>
      <c r="AX150" s="38"/>
      <c r="AY150" s="38"/>
      <c r="AZ150" s="38"/>
      <c r="BA150" s="38">
        <v>8100</v>
      </c>
      <c r="BB150" s="38"/>
      <c r="BC150" s="38">
        <v>11000</v>
      </c>
      <c r="BD150" s="38"/>
      <c r="BE150" s="38"/>
      <c r="BF150" s="38"/>
      <c r="BG150" s="38"/>
      <c r="BH150" s="38"/>
      <c r="BI150" s="38"/>
      <c r="BJ150" s="107">
        <f t="shared" si="56"/>
        <v>9550</v>
      </c>
      <c r="BK150" s="107">
        <f t="shared" si="57"/>
        <v>9550</v>
      </c>
      <c r="BL150" s="108">
        <f t="shared" si="58"/>
        <v>2050.609665440988</v>
      </c>
      <c r="BM150" s="65">
        <f t="shared" si="59"/>
        <v>0.2147235251770668</v>
      </c>
      <c r="BN150" s="109">
        <f t="shared" si="62"/>
        <v>9550</v>
      </c>
      <c r="BO150" s="66">
        <v>0</v>
      </c>
      <c r="BP150" s="109">
        <f t="shared" si="61"/>
        <v>9550</v>
      </c>
      <c r="BQ150" s="76">
        <f t="shared" si="63"/>
        <v>238750</v>
      </c>
      <c r="BR150" s="110" t="s">
        <v>902</v>
      </c>
    </row>
    <row r="151" spans="1:70" ht="34" x14ac:dyDescent="0.2">
      <c r="A151" s="63">
        <v>147</v>
      </c>
      <c r="B151" s="63" t="s">
        <v>744</v>
      </c>
      <c r="C151" s="157" t="s">
        <v>745</v>
      </c>
      <c r="D151" s="63" t="s">
        <v>531</v>
      </c>
      <c r="E151" s="63">
        <v>5</v>
      </c>
      <c r="F151" s="38"/>
      <c r="G151" s="38"/>
      <c r="H151" s="38"/>
      <c r="I151" s="38"/>
      <c r="J151" s="38"/>
      <c r="K151" s="38"/>
      <c r="L151" s="38"/>
      <c r="M151" s="38"/>
      <c r="N151" s="38"/>
      <c r="O151" s="38"/>
      <c r="P151" s="38"/>
      <c r="Q151" s="38"/>
      <c r="R151" s="38"/>
      <c r="S151" s="38"/>
      <c r="T151" s="38"/>
      <c r="U151" s="38"/>
      <c r="V151" s="38"/>
      <c r="W151" s="38"/>
      <c r="X151" s="38"/>
      <c r="Y151" s="38"/>
      <c r="Z151" s="38"/>
      <c r="AA151" s="38"/>
      <c r="AB151" s="38"/>
      <c r="AC151" s="38"/>
      <c r="AD151" s="38"/>
      <c r="AE151" s="38"/>
      <c r="AF151" s="38"/>
      <c r="AG151" s="38"/>
      <c r="AH151" s="38"/>
      <c r="AI151" s="38"/>
      <c r="AJ151" s="38"/>
      <c r="AK151" s="38"/>
      <c r="AL151" s="38">
        <v>29200</v>
      </c>
      <c r="AM151" s="38"/>
      <c r="AN151" s="38"/>
      <c r="AO151" s="38"/>
      <c r="AP151" s="38"/>
      <c r="AQ151" s="38"/>
      <c r="AR151" s="38"/>
      <c r="AS151" s="38"/>
      <c r="AT151" s="38"/>
      <c r="AU151" s="38"/>
      <c r="AV151" s="38"/>
      <c r="AW151" s="38"/>
      <c r="AX151" s="38"/>
      <c r="AY151" s="38">
        <v>36890</v>
      </c>
      <c r="AZ151" s="38">
        <v>39270</v>
      </c>
      <c r="BA151" s="38"/>
      <c r="BB151" s="38"/>
      <c r="BC151" s="38">
        <v>47000</v>
      </c>
      <c r="BD151" s="38"/>
      <c r="BE151" s="38"/>
      <c r="BF151" s="38"/>
      <c r="BG151" s="38"/>
      <c r="BH151" s="38"/>
      <c r="BI151" s="38"/>
      <c r="BJ151" s="107">
        <f t="shared" si="56"/>
        <v>38080</v>
      </c>
      <c r="BK151" s="107">
        <f t="shared" si="57"/>
        <v>38090</v>
      </c>
      <c r="BL151" s="108">
        <f t="shared" si="58"/>
        <v>7331.4982552454221</v>
      </c>
      <c r="BM151" s="65">
        <f t="shared" si="59"/>
        <v>0.19247829496575011</v>
      </c>
      <c r="BN151" s="109">
        <f t="shared" si="62"/>
        <v>38080</v>
      </c>
      <c r="BO151" s="66">
        <v>0</v>
      </c>
      <c r="BP151" s="109">
        <f t="shared" si="61"/>
        <v>38080</v>
      </c>
      <c r="BQ151" s="76">
        <f t="shared" si="63"/>
        <v>190400</v>
      </c>
      <c r="BR151" s="110" t="s">
        <v>902</v>
      </c>
    </row>
    <row r="152" spans="1:70" ht="34" x14ac:dyDescent="0.2">
      <c r="A152" s="63">
        <v>148</v>
      </c>
      <c r="B152" s="63" t="s">
        <v>746</v>
      </c>
      <c r="C152" s="157" t="s">
        <v>747</v>
      </c>
      <c r="D152" s="63" t="s">
        <v>513</v>
      </c>
      <c r="E152" s="63">
        <v>100</v>
      </c>
      <c r="F152" s="38"/>
      <c r="G152" s="38"/>
      <c r="H152" s="38"/>
      <c r="I152" s="38"/>
      <c r="J152" s="38"/>
      <c r="K152" s="38"/>
      <c r="L152" s="38"/>
      <c r="M152" s="38"/>
      <c r="N152" s="38"/>
      <c r="O152" s="38"/>
      <c r="P152" s="38"/>
      <c r="Q152" s="38"/>
      <c r="R152" s="38"/>
      <c r="S152" s="38"/>
      <c r="T152" s="38"/>
      <c r="U152" s="38"/>
      <c r="V152" s="38"/>
      <c r="W152" s="38"/>
      <c r="X152" s="38"/>
      <c r="Y152" s="38"/>
      <c r="Z152" s="38"/>
      <c r="AA152" s="38"/>
      <c r="AB152" s="38"/>
      <c r="AC152" s="38"/>
      <c r="AD152" s="38"/>
      <c r="AE152" s="38"/>
      <c r="AF152" s="38"/>
      <c r="AG152" s="38"/>
      <c r="AH152" s="38"/>
      <c r="AI152" s="38"/>
      <c r="AJ152" s="38"/>
      <c r="AK152" s="38"/>
      <c r="AL152" s="38">
        <v>140200</v>
      </c>
      <c r="AM152" s="38"/>
      <c r="AN152" s="38"/>
      <c r="AO152" s="38"/>
      <c r="AP152" s="38"/>
      <c r="AQ152" s="38"/>
      <c r="AR152" s="38"/>
      <c r="AS152" s="38"/>
      <c r="AT152" s="38"/>
      <c r="AU152" s="38"/>
      <c r="AV152" s="38"/>
      <c r="AW152" s="38"/>
      <c r="AX152" s="38"/>
      <c r="AY152" s="38">
        <v>154700</v>
      </c>
      <c r="AZ152" s="38">
        <v>172550</v>
      </c>
      <c r="BA152" s="38"/>
      <c r="BB152" s="38"/>
      <c r="BC152" s="38">
        <v>225000</v>
      </c>
      <c r="BD152" s="38"/>
      <c r="BE152" s="38"/>
      <c r="BF152" s="38"/>
      <c r="BG152" s="38"/>
      <c r="BH152" s="38"/>
      <c r="BI152" s="38"/>
      <c r="BJ152" s="107">
        <f t="shared" si="56"/>
        <v>163625</v>
      </c>
      <c r="BK152" s="107">
        <f t="shared" si="57"/>
        <v>173112.5</v>
      </c>
      <c r="BL152" s="108">
        <f t="shared" si="58"/>
        <v>37035.486923580022</v>
      </c>
      <c r="BM152" s="65">
        <f t="shared" si="59"/>
        <v>0.21393883701974162</v>
      </c>
      <c r="BN152" s="109">
        <f t="shared" si="62"/>
        <v>163625</v>
      </c>
      <c r="BO152" s="66">
        <v>0</v>
      </c>
      <c r="BP152" s="109">
        <f t="shared" si="61"/>
        <v>163625</v>
      </c>
      <c r="BQ152" s="76">
        <f t="shared" si="63"/>
        <v>16362500</v>
      </c>
      <c r="BR152" s="110" t="s">
        <v>902</v>
      </c>
    </row>
    <row r="153" spans="1:70" ht="34" x14ac:dyDescent="0.2">
      <c r="A153" s="63">
        <v>149</v>
      </c>
      <c r="B153" s="126" t="s">
        <v>746</v>
      </c>
      <c r="C153" s="157" t="s">
        <v>748</v>
      </c>
      <c r="D153" s="63" t="s">
        <v>531</v>
      </c>
      <c r="E153" s="63">
        <v>50</v>
      </c>
      <c r="F153" s="38"/>
      <c r="G153" s="38"/>
      <c r="H153" s="38"/>
      <c r="I153" s="38"/>
      <c r="J153" s="38"/>
      <c r="K153" s="38"/>
      <c r="L153" s="38"/>
      <c r="M153" s="38"/>
      <c r="N153" s="38"/>
      <c r="O153" s="38"/>
      <c r="P153" s="38"/>
      <c r="Q153" s="38"/>
      <c r="R153" s="38"/>
      <c r="S153" s="38"/>
      <c r="T153" s="38"/>
      <c r="U153" s="38"/>
      <c r="V153" s="38"/>
      <c r="W153" s="38"/>
      <c r="X153" s="38"/>
      <c r="Y153" s="38"/>
      <c r="Z153" s="38"/>
      <c r="AA153" s="38"/>
      <c r="AB153" s="38"/>
      <c r="AC153" s="38"/>
      <c r="AD153" s="38"/>
      <c r="AE153" s="38"/>
      <c r="AF153" s="38"/>
      <c r="AG153" s="38"/>
      <c r="AH153" s="38"/>
      <c r="AI153" s="38"/>
      <c r="AJ153" s="38"/>
      <c r="AK153" s="38"/>
      <c r="AL153" s="38">
        <v>69900</v>
      </c>
      <c r="AM153" s="38"/>
      <c r="AN153" s="38">
        <v>66746</v>
      </c>
      <c r="AO153" s="38"/>
      <c r="AP153" s="38"/>
      <c r="AQ153" s="38"/>
      <c r="AR153" s="38"/>
      <c r="AS153" s="38"/>
      <c r="AT153" s="38"/>
      <c r="AU153" s="38"/>
      <c r="AV153" s="38"/>
      <c r="AW153" s="38"/>
      <c r="AX153" s="38"/>
      <c r="AY153" s="38"/>
      <c r="AZ153" s="38"/>
      <c r="BA153" s="38"/>
      <c r="BB153" s="38"/>
      <c r="BC153" s="38">
        <v>47000</v>
      </c>
      <c r="BD153" s="38"/>
      <c r="BE153" s="38"/>
      <c r="BF153" s="38"/>
      <c r="BG153" s="38"/>
      <c r="BH153" s="38"/>
      <c r="BI153" s="38"/>
      <c r="BJ153" s="107">
        <f t="shared" si="56"/>
        <v>66746</v>
      </c>
      <c r="BK153" s="107">
        <f t="shared" si="57"/>
        <v>61215.333333333336</v>
      </c>
      <c r="BL153" s="108">
        <f t="shared" si="58"/>
        <v>12411.434459132151</v>
      </c>
      <c r="BM153" s="65">
        <f t="shared" si="59"/>
        <v>0.20275041861732057</v>
      </c>
      <c r="BN153" s="109">
        <f t="shared" si="62"/>
        <v>66746</v>
      </c>
      <c r="BO153" s="66">
        <v>0</v>
      </c>
      <c r="BP153" s="109">
        <f t="shared" si="61"/>
        <v>66746</v>
      </c>
      <c r="BQ153" s="76">
        <f t="shared" si="63"/>
        <v>3337300</v>
      </c>
      <c r="BR153" s="110" t="s">
        <v>902</v>
      </c>
    </row>
    <row r="154" spans="1:70" ht="34" x14ac:dyDescent="0.2">
      <c r="A154" s="63">
        <v>150</v>
      </c>
      <c r="B154" s="63" t="s">
        <v>749</v>
      </c>
      <c r="C154" s="157" t="s">
        <v>750</v>
      </c>
      <c r="D154" s="63" t="s">
        <v>751</v>
      </c>
      <c r="E154" s="63">
        <v>2</v>
      </c>
      <c r="F154" s="38"/>
      <c r="G154" s="38"/>
      <c r="H154" s="38"/>
      <c r="I154" s="38"/>
      <c r="J154" s="38"/>
      <c r="K154" s="38"/>
      <c r="L154" s="38"/>
      <c r="M154" s="38"/>
      <c r="N154" s="38"/>
      <c r="O154" s="38"/>
      <c r="P154" s="38"/>
      <c r="Q154" s="38"/>
      <c r="R154" s="38"/>
      <c r="S154" s="38"/>
      <c r="T154" s="38"/>
      <c r="U154" s="38"/>
      <c r="V154" s="38"/>
      <c r="W154" s="38"/>
      <c r="X154" s="38"/>
      <c r="Y154" s="38"/>
      <c r="Z154" s="38"/>
      <c r="AA154" s="38"/>
      <c r="AB154" s="38"/>
      <c r="AC154" s="38"/>
      <c r="AD154" s="38"/>
      <c r="AE154" s="38"/>
      <c r="AF154" s="38"/>
      <c r="AG154" s="38"/>
      <c r="AH154" s="38"/>
      <c r="AI154" s="38"/>
      <c r="AJ154" s="38"/>
      <c r="AK154" s="38"/>
      <c r="AL154" s="38"/>
      <c r="AM154" s="38"/>
      <c r="AN154" s="38"/>
      <c r="AO154" s="38"/>
      <c r="AP154" s="38"/>
      <c r="AQ154" s="38"/>
      <c r="AR154" s="38"/>
      <c r="AS154" s="38"/>
      <c r="AT154" s="38"/>
      <c r="AU154" s="38"/>
      <c r="AV154" s="38"/>
      <c r="AW154" s="38"/>
      <c r="AX154" s="38"/>
      <c r="AY154" s="38">
        <v>32130</v>
      </c>
      <c r="AZ154" s="38">
        <v>29750</v>
      </c>
      <c r="BA154" s="38"/>
      <c r="BB154" s="38"/>
      <c r="BC154" s="38">
        <v>25000</v>
      </c>
      <c r="BD154" s="38"/>
      <c r="BE154" s="38"/>
      <c r="BF154" s="38"/>
      <c r="BG154" s="38"/>
      <c r="BH154" s="38"/>
      <c r="BI154" s="38"/>
      <c r="BJ154" s="107">
        <f t="shared" si="56"/>
        <v>29750</v>
      </c>
      <c r="BK154" s="107">
        <f t="shared" si="57"/>
        <v>28960</v>
      </c>
      <c r="BL154" s="108">
        <f t="shared" si="58"/>
        <v>3630.0550960006103</v>
      </c>
      <c r="BM154" s="65">
        <f t="shared" si="59"/>
        <v>0.12534720635361224</v>
      </c>
      <c r="BN154" s="109">
        <f t="shared" si="62"/>
        <v>28960</v>
      </c>
      <c r="BO154" s="66">
        <v>0</v>
      </c>
      <c r="BP154" s="109">
        <f t="shared" si="61"/>
        <v>28960</v>
      </c>
      <c r="BQ154" s="76">
        <f t="shared" si="63"/>
        <v>57920</v>
      </c>
      <c r="BR154" s="110" t="s">
        <v>903</v>
      </c>
    </row>
    <row r="155" spans="1:70" ht="102" x14ac:dyDescent="0.2">
      <c r="A155" s="63">
        <v>151</v>
      </c>
      <c r="B155" s="126" t="s">
        <v>752</v>
      </c>
      <c r="C155" s="157" t="s">
        <v>753</v>
      </c>
      <c r="D155" s="63" t="s">
        <v>754</v>
      </c>
      <c r="E155" s="63">
        <v>50</v>
      </c>
      <c r="F155" s="38"/>
      <c r="G155" s="38"/>
      <c r="H155" s="38"/>
      <c r="I155" s="38"/>
      <c r="J155" s="38"/>
      <c r="K155" s="38"/>
      <c r="L155" s="38"/>
      <c r="M155" s="38"/>
      <c r="N155" s="38"/>
      <c r="O155" s="38"/>
      <c r="P155" s="38"/>
      <c r="Q155" s="38"/>
      <c r="R155" s="38"/>
      <c r="S155" s="38"/>
      <c r="T155" s="38"/>
      <c r="U155" s="38"/>
      <c r="V155" s="38"/>
      <c r="W155" s="38"/>
      <c r="X155" s="38"/>
      <c r="Y155" s="38"/>
      <c r="Z155" s="38"/>
      <c r="AA155" s="38"/>
      <c r="AB155" s="38"/>
      <c r="AC155" s="38"/>
      <c r="AD155" s="38"/>
      <c r="AE155" s="38"/>
      <c r="AF155" s="38"/>
      <c r="AG155" s="38"/>
      <c r="AH155" s="38"/>
      <c r="AI155" s="38"/>
      <c r="AJ155" s="38"/>
      <c r="AK155" s="38"/>
      <c r="AL155" s="38"/>
      <c r="AM155" s="38"/>
      <c r="AN155" s="38"/>
      <c r="AO155" s="38"/>
      <c r="AP155" s="38"/>
      <c r="AQ155" s="38"/>
      <c r="AR155" s="38"/>
      <c r="AS155" s="38"/>
      <c r="AT155" s="38"/>
      <c r="AU155" s="38"/>
      <c r="AV155" s="38"/>
      <c r="AW155" s="38"/>
      <c r="AX155" s="38"/>
      <c r="AY155" s="38">
        <v>14875</v>
      </c>
      <c r="AZ155" s="38">
        <v>14875</v>
      </c>
      <c r="BA155" s="38">
        <v>13500</v>
      </c>
      <c r="BB155" s="38"/>
      <c r="BC155" s="38"/>
      <c r="BD155" s="38"/>
      <c r="BE155" s="38"/>
      <c r="BF155" s="38"/>
      <c r="BG155" s="38"/>
      <c r="BH155" s="38"/>
      <c r="BI155" s="38"/>
      <c r="BJ155" s="107">
        <f t="shared" si="56"/>
        <v>14875</v>
      </c>
      <c r="BK155" s="107">
        <f t="shared" si="57"/>
        <v>14416.666666666666</v>
      </c>
      <c r="BL155" s="108">
        <f t="shared" si="58"/>
        <v>793.8566201357354</v>
      </c>
      <c r="BM155" s="65">
        <f t="shared" si="59"/>
        <v>5.5065199084559681E-2</v>
      </c>
      <c r="BN155" s="109">
        <f t="shared" si="62"/>
        <v>14417</v>
      </c>
      <c r="BO155" s="66">
        <v>0</v>
      </c>
      <c r="BP155" s="109">
        <f t="shared" si="61"/>
        <v>14417</v>
      </c>
      <c r="BQ155" s="76">
        <f t="shared" si="63"/>
        <v>720850</v>
      </c>
      <c r="BR155" s="110" t="s">
        <v>903</v>
      </c>
    </row>
    <row r="156" spans="1:70" ht="51" x14ac:dyDescent="0.2">
      <c r="A156" s="63">
        <v>152</v>
      </c>
      <c r="B156" s="126" t="s">
        <v>752</v>
      </c>
      <c r="C156" s="157" t="s">
        <v>755</v>
      </c>
      <c r="D156" s="63" t="s">
        <v>756</v>
      </c>
      <c r="E156" s="63">
        <v>50</v>
      </c>
      <c r="F156" s="38"/>
      <c r="G156" s="38"/>
      <c r="H156" s="38"/>
      <c r="I156" s="38"/>
      <c r="J156" s="38"/>
      <c r="K156" s="38"/>
      <c r="L156" s="38"/>
      <c r="M156" s="38"/>
      <c r="N156" s="38"/>
      <c r="O156" s="38"/>
      <c r="P156" s="38"/>
      <c r="Q156" s="38"/>
      <c r="R156" s="38"/>
      <c r="S156" s="38"/>
      <c r="T156" s="38"/>
      <c r="U156" s="38"/>
      <c r="V156" s="38"/>
      <c r="W156" s="38"/>
      <c r="X156" s="38"/>
      <c r="Y156" s="38"/>
      <c r="Z156" s="38"/>
      <c r="AA156" s="38"/>
      <c r="AB156" s="38"/>
      <c r="AC156" s="38"/>
      <c r="AD156" s="38"/>
      <c r="AE156" s="38"/>
      <c r="AF156" s="38"/>
      <c r="AG156" s="38"/>
      <c r="AH156" s="38"/>
      <c r="AI156" s="38"/>
      <c r="AJ156" s="38"/>
      <c r="AK156" s="38"/>
      <c r="AL156" s="38"/>
      <c r="AM156" s="38"/>
      <c r="AN156" s="38">
        <v>8050</v>
      </c>
      <c r="AO156" s="38"/>
      <c r="AP156" s="38"/>
      <c r="AQ156" s="38"/>
      <c r="AR156" s="38"/>
      <c r="AS156" s="38"/>
      <c r="AT156" s="38"/>
      <c r="AU156" s="38"/>
      <c r="AV156" s="38"/>
      <c r="AW156" s="38"/>
      <c r="AX156" s="38"/>
      <c r="AY156" s="38">
        <v>12495</v>
      </c>
      <c r="AZ156" s="38">
        <v>12495</v>
      </c>
      <c r="BA156" s="38">
        <v>8640</v>
      </c>
      <c r="BB156" s="38"/>
      <c r="BC156" s="38"/>
      <c r="BD156" s="38"/>
      <c r="BE156" s="38"/>
      <c r="BF156" s="38"/>
      <c r="BG156" s="38"/>
      <c r="BH156" s="38"/>
      <c r="BI156" s="38"/>
      <c r="BJ156" s="107">
        <f t="shared" si="56"/>
        <v>10567.5</v>
      </c>
      <c r="BK156" s="107">
        <f t="shared" si="57"/>
        <v>10420</v>
      </c>
      <c r="BL156" s="108">
        <f t="shared" si="58"/>
        <v>2408.0801481678304</v>
      </c>
      <c r="BM156" s="65">
        <f t="shared" si="59"/>
        <v>0.23110174166677835</v>
      </c>
      <c r="BN156" s="109">
        <f t="shared" si="62"/>
        <v>10568</v>
      </c>
      <c r="BO156" s="66">
        <v>0</v>
      </c>
      <c r="BP156" s="109">
        <f t="shared" si="61"/>
        <v>10568</v>
      </c>
      <c r="BQ156" s="76">
        <f t="shared" si="63"/>
        <v>528400</v>
      </c>
      <c r="BR156" s="110" t="s">
        <v>902</v>
      </c>
    </row>
    <row r="157" spans="1:70" ht="136" x14ac:dyDescent="0.2">
      <c r="A157" s="63">
        <v>153</v>
      </c>
      <c r="B157" s="63" t="s">
        <v>532</v>
      </c>
      <c r="C157" s="157" t="s">
        <v>757</v>
      </c>
      <c r="D157" s="63" t="s">
        <v>758</v>
      </c>
      <c r="E157" s="63">
        <v>5</v>
      </c>
      <c r="F157" s="38"/>
      <c r="G157" s="38"/>
      <c r="H157" s="38"/>
      <c r="I157" s="38"/>
      <c r="J157" s="38"/>
      <c r="K157" s="38"/>
      <c r="L157" s="38"/>
      <c r="M157" s="38"/>
      <c r="N157" s="38"/>
      <c r="O157" s="38"/>
      <c r="P157" s="38"/>
      <c r="Q157" s="38"/>
      <c r="R157" s="38"/>
      <c r="S157" s="38"/>
      <c r="T157" s="38"/>
      <c r="U157" s="38"/>
      <c r="V157" s="38"/>
      <c r="W157" s="38"/>
      <c r="X157" s="38"/>
      <c r="Y157" s="38"/>
      <c r="Z157" s="38"/>
      <c r="AA157" s="38"/>
      <c r="AB157" s="38"/>
      <c r="AC157" s="38"/>
      <c r="AD157" s="38"/>
      <c r="AE157" s="38"/>
      <c r="AF157" s="38"/>
      <c r="AG157" s="38"/>
      <c r="AH157" s="38"/>
      <c r="AI157" s="38"/>
      <c r="AJ157" s="38"/>
      <c r="AK157" s="38"/>
      <c r="AL157" s="38"/>
      <c r="AM157" s="38"/>
      <c r="AN157" s="38"/>
      <c r="AO157" s="38"/>
      <c r="AP157" s="38"/>
      <c r="AQ157" s="38"/>
      <c r="AR157" s="38"/>
      <c r="AS157" s="38"/>
      <c r="AT157" s="38"/>
      <c r="AU157" s="38"/>
      <c r="AV157" s="38"/>
      <c r="AW157" s="38"/>
      <c r="AX157" s="38"/>
      <c r="AY157" s="38">
        <v>172550</v>
      </c>
      <c r="AZ157" s="38">
        <v>172550</v>
      </c>
      <c r="BA157" s="38">
        <v>176400</v>
      </c>
      <c r="BB157" s="38"/>
      <c r="BC157" s="38"/>
      <c r="BD157" s="38"/>
      <c r="BE157" s="38"/>
      <c r="BF157" s="38"/>
      <c r="BG157" s="38"/>
      <c r="BH157" s="38"/>
      <c r="BI157" s="38"/>
      <c r="BJ157" s="107">
        <f t="shared" si="56"/>
        <v>172550</v>
      </c>
      <c r="BK157" s="107">
        <f t="shared" si="57"/>
        <v>173833.33333333334</v>
      </c>
      <c r="BL157" s="108">
        <f t="shared" si="58"/>
        <v>2222.798536380059</v>
      </c>
      <c r="BM157" s="65">
        <f t="shared" si="59"/>
        <v>1.2786952270642716E-2</v>
      </c>
      <c r="BN157" s="109">
        <f t="shared" si="62"/>
        <v>173834</v>
      </c>
      <c r="BO157" s="66">
        <v>0</v>
      </c>
      <c r="BP157" s="109">
        <f t="shared" si="61"/>
        <v>173834</v>
      </c>
      <c r="BQ157" s="76">
        <f t="shared" si="63"/>
        <v>869170</v>
      </c>
      <c r="BR157" s="110" t="s">
        <v>903</v>
      </c>
    </row>
    <row r="158" spans="1:70" ht="237.5" customHeight="1" x14ac:dyDescent="0.2">
      <c r="A158" s="63">
        <v>154</v>
      </c>
      <c r="B158" s="159" t="s">
        <v>759</v>
      </c>
      <c r="C158" s="157" t="s">
        <v>1154</v>
      </c>
      <c r="D158" s="63" t="s">
        <v>114</v>
      </c>
      <c r="E158" s="63">
        <v>10</v>
      </c>
      <c r="F158" s="38"/>
      <c r="G158" s="38"/>
      <c r="H158" s="38"/>
      <c r="I158" s="38"/>
      <c r="J158" s="38"/>
      <c r="K158" s="38"/>
      <c r="L158" s="38"/>
      <c r="M158" s="38"/>
      <c r="N158" s="38"/>
      <c r="O158" s="38"/>
      <c r="P158" s="38"/>
      <c r="Q158" s="38"/>
      <c r="R158" s="38"/>
      <c r="S158" s="38"/>
      <c r="T158" s="38"/>
      <c r="U158" s="38"/>
      <c r="V158" s="38"/>
      <c r="W158" s="38"/>
      <c r="X158" s="38"/>
      <c r="Y158" s="38"/>
      <c r="Z158" s="38"/>
      <c r="AA158" s="38"/>
      <c r="AB158" s="38"/>
      <c r="AC158" s="38"/>
      <c r="AD158" s="38"/>
      <c r="AE158" s="38"/>
      <c r="AF158" s="38"/>
      <c r="AG158" s="38"/>
      <c r="AH158" s="38"/>
      <c r="AI158" s="38"/>
      <c r="AJ158" s="38"/>
      <c r="AK158" s="38"/>
      <c r="AL158" s="38">
        <v>218500</v>
      </c>
      <c r="AM158" s="38"/>
      <c r="AN158" s="38"/>
      <c r="AO158" s="38"/>
      <c r="AP158" s="38"/>
      <c r="AQ158" s="38"/>
      <c r="AR158" s="38"/>
      <c r="AS158" s="38"/>
      <c r="AT158" s="38"/>
      <c r="AU158" s="38"/>
      <c r="AV158" s="38"/>
      <c r="AW158" s="38"/>
      <c r="AX158" s="38"/>
      <c r="AY158" s="38"/>
      <c r="AZ158" s="38"/>
      <c r="BA158" s="38">
        <v>354600</v>
      </c>
      <c r="BB158" s="38"/>
      <c r="BC158" s="38">
        <v>380000</v>
      </c>
      <c r="BD158" s="38"/>
      <c r="BE158" s="38"/>
      <c r="BF158" s="38"/>
      <c r="BG158" s="38"/>
      <c r="BH158" s="38"/>
      <c r="BI158" s="38"/>
      <c r="BJ158" s="107">
        <f t="shared" si="56"/>
        <v>354600</v>
      </c>
      <c r="BK158" s="107">
        <f t="shared" si="57"/>
        <v>317700</v>
      </c>
      <c r="BL158" s="108">
        <f t="shared" si="58"/>
        <v>86843.364743657876</v>
      </c>
      <c r="BM158" s="65">
        <f t="shared" si="59"/>
        <v>0.27335021952677957</v>
      </c>
      <c r="BN158" s="109">
        <f t="shared" si="62"/>
        <v>354600</v>
      </c>
      <c r="BO158" s="66">
        <v>0</v>
      </c>
      <c r="BP158" s="109">
        <f t="shared" si="61"/>
        <v>354600</v>
      </c>
      <c r="BQ158" s="76">
        <f t="shared" si="63"/>
        <v>3546000</v>
      </c>
      <c r="BR158" s="110" t="s">
        <v>902</v>
      </c>
    </row>
    <row r="159" spans="1:70" ht="170" x14ac:dyDescent="0.2">
      <c r="A159" s="63">
        <v>155</v>
      </c>
      <c r="B159" s="159" t="s">
        <v>759</v>
      </c>
      <c r="C159" s="157" t="s">
        <v>760</v>
      </c>
      <c r="D159" s="63" t="s">
        <v>761</v>
      </c>
      <c r="E159" s="63">
        <v>50</v>
      </c>
      <c r="F159" s="38"/>
      <c r="G159" s="38"/>
      <c r="H159" s="38"/>
      <c r="I159" s="38"/>
      <c r="J159" s="38"/>
      <c r="K159" s="38"/>
      <c r="L159" s="38"/>
      <c r="M159" s="38"/>
      <c r="N159" s="38"/>
      <c r="O159" s="38"/>
      <c r="P159" s="38"/>
      <c r="Q159" s="38"/>
      <c r="R159" s="38"/>
      <c r="S159" s="38"/>
      <c r="T159" s="38"/>
      <c r="U159" s="38"/>
      <c r="V159" s="38"/>
      <c r="W159" s="38"/>
      <c r="X159" s="38"/>
      <c r="Y159" s="38"/>
      <c r="Z159" s="38"/>
      <c r="AA159" s="38"/>
      <c r="AB159" s="38"/>
      <c r="AC159" s="38"/>
      <c r="AD159" s="38"/>
      <c r="AE159" s="38"/>
      <c r="AF159" s="38"/>
      <c r="AG159" s="38"/>
      <c r="AH159" s="38"/>
      <c r="AI159" s="38"/>
      <c r="AJ159" s="38"/>
      <c r="AK159" s="38"/>
      <c r="AL159" s="38"/>
      <c r="AM159" s="38"/>
      <c r="AN159" s="38">
        <v>94208</v>
      </c>
      <c r="AO159" s="38">
        <v>73400</v>
      </c>
      <c r="AP159" s="38"/>
      <c r="AQ159" s="38"/>
      <c r="AR159" s="38"/>
      <c r="AS159" s="38"/>
      <c r="AT159" s="38"/>
      <c r="AU159" s="38"/>
      <c r="AV159" s="38"/>
      <c r="AW159" s="38"/>
      <c r="AX159" s="38"/>
      <c r="AY159" s="38"/>
      <c r="AZ159" s="38"/>
      <c r="BA159" s="38">
        <v>110160</v>
      </c>
      <c r="BB159" s="38"/>
      <c r="BC159" s="38">
        <v>79000</v>
      </c>
      <c r="BD159" s="38"/>
      <c r="BE159" s="38"/>
      <c r="BF159" s="38"/>
      <c r="BG159" s="38"/>
      <c r="BH159" s="38"/>
      <c r="BI159" s="38"/>
      <c r="BJ159" s="107">
        <f t="shared" si="56"/>
        <v>86604</v>
      </c>
      <c r="BK159" s="107">
        <f t="shared" si="57"/>
        <v>89192</v>
      </c>
      <c r="BL159" s="108">
        <f t="shared" si="58"/>
        <v>16513.443089394372</v>
      </c>
      <c r="BM159" s="65">
        <f t="shared" si="59"/>
        <v>0.18514489067847309</v>
      </c>
      <c r="BN159" s="109">
        <f t="shared" si="62"/>
        <v>86604</v>
      </c>
      <c r="BO159" s="66">
        <v>0</v>
      </c>
      <c r="BP159" s="109">
        <f t="shared" si="61"/>
        <v>86604</v>
      </c>
      <c r="BQ159" s="76">
        <f t="shared" si="63"/>
        <v>4330200</v>
      </c>
      <c r="BR159" s="110" t="s">
        <v>902</v>
      </c>
    </row>
    <row r="160" spans="1:70" ht="170" x14ac:dyDescent="0.2">
      <c r="A160" s="63">
        <v>156</v>
      </c>
      <c r="B160" s="159" t="s">
        <v>759</v>
      </c>
      <c r="C160" s="157" t="s">
        <v>762</v>
      </c>
      <c r="D160" s="63" t="s">
        <v>761</v>
      </c>
      <c r="E160" s="63">
        <v>50</v>
      </c>
      <c r="F160" s="38"/>
      <c r="G160" s="38"/>
      <c r="H160" s="38"/>
      <c r="I160" s="38"/>
      <c r="J160" s="38"/>
      <c r="K160" s="38"/>
      <c r="L160" s="38"/>
      <c r="M160" s="38"/>
      <c r="N160" s="38"/>
      <c r="O160" s="38"/>
      <c r="P160" s="38"/>
      <c r="Q160" s="38"/>
      <c r="R160" s="38"/>
      <c r="S160" s="38"/>
      <c r="T160" s="38"/>
      <c r="U160" s="38"/>
      <c r="V160" s="38"/>
      <c r="W160" s="38"/>
      <c r="X160" s="38"/>
      <c r="Y160" s="38"/>
      <c r="Z160" s="38"/>
      <c r="AA160" s="38"/>
      <c r="AB160" s="38"/>
      <c r="AC160" s="38"/>
      <c r="AD160" s="38"/>
      <c r="AE160" s="38"/>
      <c r="AF160" s="38"/>
      <c r="AG160" s="38"/>
      <c r="AH160" s="38"/>
      <c r="AI160" s="38"/>
      <c r="AJ160" s="38"/>
      <c r="AK160" s="38"/>
      <c r="AL160" s="38"/>
      <c r="AM160" s="38"/>
      <c r="AN160" s="38">
        <v>70656</v>
      </c>
      <c r="AO160" s="38">
        <v>53800</v>
      </c>
      <c r="AP160" s="38"/>
      <c r="AQ160" s="38"/>
      <c r="AR160" s="38"/>
      <c r="AS160" s="38"/>
      <c r="AT160" s="38"/>
      <c r="AU160" s="38"/>
      <c r="AV160" s="38"/>
      <c r="AW160" s="38"/>
      <c r="AX160" s="38"/>
      <c r="AY160" s="38">
        <v>65450</v>
      </c>
      <c r="AZ160" s="38">
        <v>65450</v>
      </c>
      <c r="BA160" s="38">
        <v>91800</v>
      </c>
      <c r="BB160" s="38"/>
      <c r="BC160" s="38"/>
      <c r="BD160" s="38"/>
      <c r="BE160" s="38"/>
      <c r="BF160" s="38"/>
      <c r="BG160" s="38"/>
      <c r="BH160" s="38"/>
      <c r="BI160" s="38"/>
      <c r="BJ160" s="107">
        <f t="shared" si="56"/>
        <v>65450</v>
      </c>
      <c r="BK160" s="107">
        <f t="shared" si="57"/>
        <v>69431.199999999997</v>
      </c>
      <c r="BL160" s="108">
        <f t="shared" si="58"/>
        <v>13945.408463003148</v>
      </c>
      <c r="BM160" s="65">
        <f t="shared" si="59"/>
        <v>0.20085218839661634</v>
      </c>
      <c r="BN160" s="109">
        <f t="shared" si="62"/>
        <v>65450</v>
      </c>
      <c r="BO160" s="66">
        <v>0</v>
      </c>
      <c r="BP160" s="109">
        <f t="shared" si="61"/>
        <v>65450</v>
      </c>
      <c r="BQ160" s="76">
        <f t="shared" si="63"/>
        <v>3272500</v>
      </c>
      <c r="BR160" s="110" t="s">
        <v>902</v>
      </c>
    </row>
    <row r="161" spans="1:70" ht="170" x14ac:dyDescent="0.2">
      <c r="A161" s="63">
        <v>157</v>
      </c>
      <c r="B161" s="159" t="s">
        <v>759</v>
      </c>
      <c r="C161" s="157" t="s">
        <v>763</v>
      </c>
      <c r="D161" s="63" t="s">
        <v>761</v>
      </c>
      <c r="E161" s="63">
        <v>50</v>
      </c>
      <c r="F161" s="38"/>
      <c r="G161" s="38"/>
      <c r="H161" s="38"/>
      <c r="I161" s="38"/>
      <c r="J161" s="38"/>
      <c r="K161" s="38"/>
      <c r="L161" s="38"/>
      <c r="M161" s="38"/>
      <c r="N161" s="38"/>
      <c r="O161" s="38"/>
      <c r="P161" s="38"/>
      <c r="Q161" s="38"/>
      <c r="R161" s="38"/>
      <c r="S161" s="38"/>
      <c r="T161" s="38"/>
      <c r="U161" s="38"/>
      <c r="V161" s="38"/>
      <c r="W161" s="38"/>
      <c r="X161" s="38"/>
      <c r="Y161" s="38"/>
      <c r="Z161" s="38"/>
      <c r="AA161" s="38"/>
      <c r="AB161" s="38"/>
      <c r="AC161" s="38"/>
      <c r="AD161" s="38"/>
      <c r="AE161" s="38"/>
      <c r="AF161" s="38"/>
      <c r="AG161" s="38"/>
      <c r="AH161" s="38"/>
      <c r="AI161" s="38"/>
      <c r="AJ161" s="38"/>
      <c r="AK161" s="38"/>
      <c r="AL161" s="38"/>
      <c r="AM161" s="38"/>
      <c r="AN161" s="38">
        <v>108339.2</v>
      </c>
      <c r="AO161" s="38">
        <v>83900</v>
      </c>
      <c r="AP161" s="38"/>
      <c r="AQ161" s="38"/>
      <c r="AR161" s="38"/>
      <c r="AS161" s="38"/>
      <c r="AT161" s="38"/>
      <c r="AU161" s="38"/>
      <c r="AV161" s="38"/>
      <c r="AW161" s="38"/>
      <c r="AX161" s="38"/>
      <c r="AY161" s="38"/>
      <c r="AZ161" s="38"/>
      <c r="BA161" s="38">
        <v>127800</v>
      </c>
      <c r="BB161" s="38"/>
      <c r="BC161" s="38">
        <v>91000</v>
      </c>
      <c r="BD161" s="38"/>
      <c r="BE161" s="38"/>
      <c r="BF161" s="38"/>
      <c r="BG161" s="38"/>
      <c r="BH161" s="38"/>
      <c r="BI161" s="38"/>
      <c r="BJ161" s="107">
        <f t="shared" si="56"/>
        <v>99669.6</v>
      </c>
      <c r="BK161" s="107">
        <f t="shared" si="57"/>
        <v>102759.8</v>
      </c>
      <c r="BL161" s="108">
        <f t="shared" si="58"/>
        <v>19596.991882089078</v>
      </c>
      <c r="BM161" s="65">
        <f t="shared" si="59"/>
        <v>0.19070679275445337</v>
      </c>
      <c r="BN161" s="109">
        <f t="shared" si="62"/>
        <v>99670</v>
      </c>
      <c r="BO161" s="66">
        <v>0</v>
      </c>
      <c r="BP161" s="109">
        <f t="shared" si="61"/>
        <v>99670</v>
      </c>
      <c r="BQ161" s="76">
        <f t="shared" si="63"/>
        <v>4983500</v>
      </c>
      <c r="BR161" s="110" t="s">
        <v>902</v>
      </c>
    </row>
    <row r="162" spans="1:70" ht="170" x14ac:dyDescent="0.2">
      <c r="A162" s="63">
        <v>158</v>
      </c>
      <c r="B162" s="159" t="s">
        <v>759</v>
      </c>
      <c r="C162" s="157" t="s">
        <v>764</v>
      </c>
      <c r="D162" s="63" t="s">
        <v>761</v>
      </c>
      <c r="E162" s="63">
        <v>50</v>
      </c>
      <c r="F162" s="38"/>
      <c r="G162" s="38"/>
      <c r="H162" s="38"/>
      <c r="I162" s="38"/>
      <c r="J162" s="38"/>
      <c r="K162" s="38"/>
      <c r="L162" s="38"/>
      <c r="M162" s="38"/>
      <c r="N162" s="38"/>
      <c r="O162" s="38"/>
      <c r="P162" s="38"/>
      <c r="Q162" s="38"/>
      <c r="R162" s="38"/>
      <c r="S162" s="38"/>
      <c r="T162" s="38"/>
      <c r="U162" s="38"/>
      <c r="V162" s="38"/>
      <c r="W162" s="38"/>
      <c r="X162" s="38"/>
      <c r="Y162" s="38"/>
      <c r="Z162" s="38"/>
      <c r="AA162" s="38"/>
      <c r="AB162" s="38"/>
      <c r="AC162" s="38"/>
      <c r="AD162" s="38"/>
      <c r="AE162" s="38"/>
      <c r="AF162" s="38"/>
      <c r="AG162" s="38"/>
      <c r="AH162" s="38"/>
      <c r="AI162" s="38"/>
      <c r="AJ162" s="38"/>
      <c r="AK162" s="38"/>
      <c r="AL162" s="38"/>
      <c r="AM162" s="38"/>
      <c r="AN162" s="38">
        <v>74188.800000000003</v>
      </c>
      <c r="AO162" s="38">
        <v>58300</v>
      </c>
      <c r="AP162" s="38"/>
      <c r="AQ162" s="38"/>
      <c r="AR162" s="38"/>
      <c r="AS162" s="38"/>
      <c r="AT162" s="38"/>
      <c r="AU162" s="38"/>
      <c r="AV162" s="38"/>
      <c r="AW162" s="38"/>
      <c r="AX162" s="38"/>
      <c r="AY162" s="38">
        <v>77350</v>
      </c>
      <c r="AZ162" s="38">
        <v>77350</v>
      </c>
      <c r="BA162" s="38">
        <v>97200</v>
      </c>
      <c r="BB162" s="38"/>
      <c r="BC162" s="38"/>
      <c r="BD162" s="38"/>
      <c r="BE162" s="38"/>
      <c r="BF162" s="38"/>
      <c r="BG162" s="38"/>
      <c r="BH162" s="38"/>
      <c r="BI162" s="38"/>
      <c r="BJ162" s="107">
        <f t="shared" si="56"/>
        <v>77350</v>
      </c>
      <c r="BK162" s="107">
        <f t="shared" si="57"/>
        <v>76877.759999999995</v>
      </c>
      <c r="BL162" s="108">
        <f t="shared" si="58"/>
        <v>13836.574109511368</v>
      </c>
      <c r="BM162" s="65">
        <f t="shared" si="59"/>
        <v>0.17998149412146464</v>
      </c>
      <c r="BN162" s="109">
        <f t="shared" si="62"/>
        <v>77350</v>
      </c>
      <c r="BO162" s="66">
        <v>0</v>
      </c>
      <c r="BP162" s="109">
        <f t="shared" si="61"/>
        <v>77350</v>
      </c>
      <c r="BQ162" s="76">
        <f t="shared" si="63"/>
        <v>3867500</v>
      </c>
      <c r="BR162" s="110" t="s">
        <v>902</v>
      </c>
    </row>
    <row r="163" spans="1:70" ht="170" x14ac:dyDescent="0.2">
      <c r="A163" s="63">
        <v>159</v>
      </c>
      <c r="B163" s="159" t="s">
        <v>759</v>
      </c>
      <c r="C163" s="157" t="s">
        <v>765</v>
      </c>
      <c r="D163" s="63" t="s">
        <v>761</v>
      </c>
      <c r="E163" s="63">
        <v>50</v>
      </c>
      <c r="F163" s="38"/>
      <c r="G163" s="38"/>
      <c r="H163" s="38"/>
      <c r="I163" s="38"/>
      <c r="J163" s="38"/>
      <c r="K163" s="38"/>
      <c r="L163" s="38"/>
      <c r="M163" s="38"/>
      <c r="N163" s="38"/>
      <c r="O163" s="38"/>
      <c r="P163" s="38"/>
      <c r="Q163" s="38"/>
      <c r="R163" s="38"/>
      <c r="S163" s="38"/>
      <c r="T163" s="38"/>
      <c r="U163" s="38"/>
      <c r="V163" s="38"/>
      <c r="W163" s="38"/>
      <c r="X163" s="38"/>
      <c r="Y163" s="38"/>
      <c r="Z163" s="38"/>
      <c r="AA163" s="38"/>
      <c r="AB163" s="38"/>
      <c r="AC163" s="38"/>
      <c r="AD163" s="38"/>
      <c r="AE163" s="38"/>
      <c r="AF163" s="38"/>
      <c r="AG163" s="38"/>
      <c r="AH163" s="38"/>
      <c r="AI163" s="38"/>
      <c r="AJ163" s="38"/>
      <c r="AK163" s="38"/>
      <c r="AL163" s="38"/>
      <c r="AM163" s="38"/>
      <c r="AN163" s="38">
        <v>80076.800000000003</v>
      </c>
      <c r="AO163" s="38">
        <v>62800</v>
      </c>
      <c r="AP163" s="38"/>
      <c r="AQ163" s="38"/>
      <c r="AR163" s="38"/>
      <c r="AS163" s="38"/>
      <c r="AT163" s="38"/>
      <c r="AU163" s="38"/>
      <c r="AV163" s="38"/>
      <c r="AW163" s="38"/>
      <c r="AX163" s="38"/>
      <c r="AY163" s="38">
        <v>113050</v>
      </c>
      <c r="AZ163" s="38">
        <v>113050</v>
      </c>
      <c r="BA163" s="38">
        <v>97200</v>
      </c>
      <c r="BB163" s="38"/>
      <c r="BC163" s="38"/>
      <c r="BD163" s="38"/>
      <c r="BE163" s="38"/>
      <c r="BF163" s="38"/>
      <c r="BG163" s="38"/>
      <c r="BH163" s="38"/>
      <c r="BI163" s="38"/>
      <c r="BJ163" s="107">
        <f t="shared" si="56"/>
        <v>97200</v>
      </c>
      <c r="BK163" s="107">
        <f t="shared" si="57"/>
        <v>93235.36</v>
      </c>
      <c r="BL163" s="108">
        <f t="shared" si="58"/>
        <v>21796.886971492113</v>
      </c>
      <c r="BM163" s="65">
        <f t="shared" si="59"/>
        <v>0.23378348055385975</v>
      </c>
      <c r="BN163" s="109">
        <f t="shared" si="62"/>
        <v>97200</v>
      </c>
      <c r="BO163" s="66">
        <v>0</v>
      </c>
      <c r="BP163" s="109">
        <f t="shared" si="61"/>
        <v>97200</v>
      </c>
      <c r="BQ163" s="76">
        <f t="shared" si="63"/>
        <v>4860000</v>
      </c>
      <c r="BR163" s="110" t="s">
        <v>902</v>
      </c>
    </row>
    <row r="164" spans="1:70" ht="34" x14ac:dyDescent="0.2">
      <c r="A164" s="63">
        <v>160</v>
      </c>
      <c r="B164" s="63" t="s">
        <v>766</v>
      </c>
      <c r="C164" s="157" t="s">
        <v>1155</v>
      </c>
      <c r="D164" s="63" t="s">
        <v>1156</v>
      </c>
      <c r="E164" s="63">
        <v>15</v>
      </c>
      <c r="F164" s="38"/>
      <c r="G164" s="38"/>
      <c r="H164" s="38"/>
      <c r="I164" s="38"/>
      <c r="J164" s="38"/>
      <c r="K164" s="38"/>
      <c r="L164" s="38"/>
      <c r="M164" s="38"/>
      <c r="N164" s="38"/>
      <c r="O164" s="38"/>
      <c r="P164" s="38"/>
      <c r="Q164" s="38"/>
      <c r="R164" s="38"/>
      <c r="S164" s="38"/>
      <c r="T164" s="38"/>
      <c r="U164" s="38"/>
      <c r="V164" s="38"/>
      <c r="W164" s="38"/>
      <c r="X164" s="38"/>
      <c r="Y164" s="38"/>
      <c r="Z164" s="38"/>
      <c r="AA164" s="38"/>
      <c r="AB164" s="38"/>
      <c r="AC164" s="38"/>
      <c r="AD164" s="38"/>
      <c r="AE164" s="38"/>
      <c r="AF164" s="38"/>
      <c r="AG164" s="38"/>
      <c r="AH164" s="38"/>
      <c r="AI164" s="38"/>
      <c r="AJ164" s="38"/>
      <c r="AK164" s="38"/>
      <c r="AL164" s="38">
        <v>28700</v>
      </c>
      <c r="AM164" s="38"/>
      <c r="AN164" s="38">
        <v>52992</v>
      </c>
      <c r="AO164" s="38"/>
      <c r="AP164" s="38"/>
      <c r="AQ164" s="38"/>
      <c r="AR164" s="38"/>
      <c r="AS164" s="38"/>
      <c r="AT164" s="38"/>
      <c r="AU164" s="38"/>
      <c r="AV164" s="38"/>
      <c r="AW164" s="38"/>
      <c r="AX164" s="38"/>
      <c r="AY164" s="38">
        <v>33320</v>
      </c>
      <c r="AZ164" s="38">
        <v>33320</v>
      </c>
      <c r="BA164" s="38">
        <v>39600</v>
      </c>
      <c r="BB164" s="38"/>
      <c r="BC164" s="38"/>
      <c r="BD164" s="38"/>
      <c r="BE164" s="38"/>
      <c r="BF164" s="38"/>
      <c r="BG164" s="38"/>
      <c r="BH164" s="38"/>
      <c r="BI164" s="38"/>
      <c r="BJ164" s="107">
        <f t="shared" si="56"/>
        <v>33320</v>
      </c>
      <c r="BK164" s="107">
        <f t="shared" si="57"/>
        <v>37586.400000000001</v>
      </c>
      <c r="BL164" s="108">
        <f t="shared" si="58"/>
        <v>9444.0396441353405</v>
      </c>
      <c r="BM164" s="65">
        <f t="shared" si="59"/>
        <v>0.25126214918521966</v>
      </c>
      <c r="BN164" s="109">
        <f t="shared" si="62"/>
        <v>33320</v>
      </c>
      <c r="BO164" s="66">
        <v>0</v>
      </c>
      <c r="BP164" s="109">
        <f t="shared" si="61"/>
        <v>33320</v>
      </c>
      <c r="BQ164" s="76">
        <f t="shared" si="63"/>
        <v>499800</v>
      </c>
      <c r="BR164" s="110" t="s">
        <v>902</v>
      </c>
    </row>
    <row r="165" spans="1:70" ht="34" x14ac:dyDescent="0.2">
      <c r="A165" s="63">
        <v>161</v>
      </c>
      <c r="B165" s="63" t="s">
        <v>767</v>
      </c>
      <c r="C165" s="157" t="s">
        <v>1017</v>
      </c>
      <c r="D165" s="63" t="s">
        <v>1016</v>
      </c>
      <c r="E165" s="63">
        <v>15</v>
      </c>
      <c r="F165" s="38"/>
      <c r="G165" s="38"/>
      <c r="H165" s="38"/>
      <c r="I165" s="38"/>
      <c r="J165" s="38"/>
      <c r="K165" s="38"/>
      <c r="L165" s="38"/>
      <c r="M165" s="38"/>
      <c r="N165" s="38"/>
      <c r="O165" s="38"/>
      <c r="P165" s="38"/>
      <c r="Q165" s="38"/>
      <c r="R165" s="38"/>
      <c r="S165" s="38"/>
      <c r="T165" s="38"/>
      <c r="U165" s="38"/>
      <c r="V165" s="38"/>
      <c r="W165" s="38"/>
      <c r="X165" s="38"/>
      <c r="Y165" s="38"/>
      <c r="Z165" s="38"/>
      <c r="AA165" s="38"/>
      <c r="AB165" s="38"/>
      <c r="AC165" s="38"/>
      <c r="AD165" s="38"/>
      <c r="AE165" s="38"/>
      <c r="AF165" s="38"/>
      <c r="AG165" s="38"/>
      <c r="AH165" s="38"/>
      <c r="AI165" s="38"/>
      <c r="AJ165" s="38"/>
      <c r="AK165" s="38"/>
      <c r="AL165" s="38">
        <v>48400</v>
      </c>
      <c r="AM165" s="38"/>
      <c r="AN165" s="38">
        <v>52992</v>
      </c>
      <c r="AO165" s="38"/>
      <c r="AP165" s="38"/>
      <c r="AQ165" s="38"/>
      <c r="AR165" s="38"/>
      <c r="AS165" s="38"/>
      <c r="AT165" s="38"/>
      <c r="AU165" s="38"/>
      <c r="AV165" s="38"/>
      <c r="AW165" s="38"/>
      <c r="AX165" s="38"/>
      <c r="AY165" s="38">
        <v>49980</v>
      </c>
      <c r="AZ165" s="38">
        <v>49980</v>
      </c>
      <c r="BA165" s="38"/>
      <c r="BB165" s="38"/>
      <c r="BC165" s="38">
        <v>70000</v>
      </c>
      <c r="BD165" s="38"/>
      <c r="BE165" s="38"/>
      <c r="BF165" s="38"/>
      <c r="BG165" s="38"/>
      <c r="BH165" s="38"/>
      <c r="BI165" s="38"/>
      <c r="BJ165" s="107">
        <f t="shared" si="56"/>
        <v>49980</v>
      </c>
      <c r="BK165" s="107">
        <f t="shared" si="57"/>
        <v>54270.400000000001</v>
      </c>
      <c r="BL165" s="108">
        <f t="shared" si="58"/>
        <v>8948.9005358200393</v>
      </c>
      <c r="BM165" s="65">
        <f t="shared" si="59"/>
        <v>0.16489468542373079</v>
      </c>
      <c r="BN165" s="109">
        <f t="shared" si="62"/>
        <v>49980</v>
      </c>
      <c r="BO165" s="66">
        <v>0</v>
      </c>
      <c r="BP165" s="109">
        <f t="shared" si="61"/>
        <v>49980</v>
      </c>
      <c r="BQ165" s="76">
        <f t="shared" si="63"/>
        <v>749700</v>
      </c>
      <c r="BR165" s="110" t="s">
        <v>902</v>
      </c>
    </row>
    <row r="166" spans="1:70" ht="34" x14ac:dyDescent="0.2">
      <c r="A166" s="63">
        <v>162</v>
      </c>
      <c r="B166" s="159" t="s">
        <v>768</v>
      </c>
      <c r="C166" s="157" t="s">
        <v>769</v>
      </c>
      <c r="D166" s="63" t="s">
        <v>770</v>
      </c>
      <c r="E166" s="63">
        <v>20</v>
      </c>
      <c r="F166" s="38"/>
      <c r="G166" s="38"/>
      <c r="H166" s="38"/>
      <c r="I166" s="38"/>
      <c r="J166" s="38"/>
      <c r="K166" s="38"/>
      <c r="L166" s="38"/>
      <c r="M166" s="38"/>
      <c r="N166" s="38"/>
      <c r="O166" s="38"/>
      <c r="P166" s="38"/>
      <c r="Q166" s="38"/>
      <c r="R166" s="38"/>
      <c r="S166" s="38"/>
      <c r="T166" s="38"/>
      <c r="U166" s="38"/>
      <c r="V166" s="38"/>
      <c r="W166" s="38"/>
      <c r="X166" s="38"/>
      <c r="Y166" s="38"/>
      <c r="Z166" s="38"/>
      <c r="AA166" s="38"/>
      <c r="AB166" s="38"/>
      <c r="AC166" s="38"/>
      <c r="AD166" s="38"/>
      <c r="AE166" s="38"/>
      <c r="AF166" s="38"/>
      <c r="AG166" s="38"/>
      <c r="AH166" s="38"/>
      <c r="AI166" s="38"/>
      <c r="AJ166" s="38"/>
      <c r="AK166" s="38"/>
      <c r="AL166" s="38"/>
      <c r="AM166" s="38"/>
      <c r="AN166" s="38"/>
      <c r="AO166" s="38"/>
      <c r="AP166" s="38"/>
      <c r="AQ166" s="38"/>
      <c r="AR166" s="38"/>
      <c r="AS166" s="38"/>
      <c r="AT166" s="38"/>
      <c r="AU166" s="38"/>
      <c r="AV166" s="38"/>
      <c r="AW166" s="38"/>
      <c r="AX166" s="38"/>
      <c r="AY166" s="38">
        <v>19040</v>
      </c>
      <c r="AZ166" s="38">
        <v>17850</v>
      </c>
      <c r="BA166" s="38">
        <v>23760</v>
      </c>
      <c r="BB166" s="38"/>
      <c r="BC166" s="38">
        <v>11500</v>
      </c>
      <c r="BD166" s="38"/>
      <c r="BE166" s="38"/>
      <c r="BF166" s="38"/>
      <c r="BG166" s="38"/>
      <c r="BH166" s="38"/>
      <c r="BI166" s="38"/>
      <c r="BJ166" s="107">
        <f t="shared" si="56"/>
        <v>18445</v>
      </c>
      <c r="BK166" s="107">
        <f t="shared" si="57"/>
        <v>18037.5</v>
      </c>
      <c r="BL166" s="108">
        <f t="shared" si="58"/>
        <v>5050.6129990988884</v>
      </c>
      <c r="BM166" s="65">
        <f t="shared" si="59"/>
        <v>0.28000626467630707</v>
      </c>
      <c r="BN166" s="109">
        <f t="shared" si="62"/>
        <v>18445</v>
      </c>
      <c r="BO166" s="66">
        <v>0</v>
      </c>
      <c r="BP166" s="109">
        <f t="shared" si="61"/>
        <v>18445</v>
      </c>
      <c r="BQ166" s="76">
        <f t="shared" si="63"/>
        <v>368900</v>
      </c>
      <c r="BR166" s="110" t="s">
        <v>902</v>
      </c>
    </row>
    <row r="167" spans="1:70" ht="112.5" customHeight="1" x14ac:dyDescent="0.2">
      <c r="A167" s="63">
        <v>163</v>
      </c>
      <c r="B167" s="63" t="s">
        <v>771</v>
      </c>
      <c r="C167" s="157" t="s">
        <v>1157</v>
      </c>
      <c r="D167" s="38" t="s">
        <v>7</v>
      </c>
      <c r="E167" s="63">
        <v>20</v>
      </c>
      <c r="F167" s="38"/>
      <c r="G167" s="38"/>
      <c r="H167" s="38"/>
      <c r="I167" s="38"/>
      <c r="J167" s="38"/>
      <c r="K167" s="38"/>
      <c r="L167" s="38"/>
      <c r="M167" s="38"/>
      <c r="N167" s="38"/>
      <c r="O167" s="38"/>
      <c r="P167" s="38"/>
      <c r="Q167" s="38"/>
      <c r="R167" s="38"/>
      <c r="S167" s="38"/>
      <c r="T167" s="38"/>
      <c r="U167" s="38"/>
      <c r="V167" s="38"/>
      <c r="W167" s="38"/>
      <c r="X167" s="38"/>
      <c r="Y167" s="38"/>
      <c r="Z167" s="38"/>
      <c r="AA167" s="38"/>
      <c r="AB167" s="38"/>
      <c r="AC167" s="38"/>
      <c r="AD167" s="38"/>
      <c r="AE167" s="38"/>
      <c r="AF167" s="38"/>
      <c r="AG167" s="38"/>
      <c r="AH167" s="38"/>
      <c r="AI167" s="38"/>
      <c r="AJ167" s="38"/>
      <c r="AK167" s="38"/>
      <c r="AL167" s="38">
        <v>43000</v>
      </c>
      <c r="AM167" s="38"/>
      <c r="AN167" s="38">
        <v>52700</v>
      </c>
      <c r="AO167" s="38"/>
      <c r="AP167" s="38"/>
      <c r="AQ167" s="38"/>
      <c r="AR167" s="38"/>
      <c r="AS167" s="38"/>
      <c r="AT167" s="38"/>
      <c r="AU167" s="38"/>
      <c r="AV167" s="38"/>
      <c r="AW167" s="38"/>
      <c r="AX167" s="38"/>
      <c r="AY167" s="38">
        <v>33320</v>
      </c>
      <c r="AZ167" s="38">
        <v>33320</v>
      </c>
      <c r="BA167" s="38">
        <v>51300</v>
      </c>
      <c r="BB167" s="38"/>
      <c r="BC167" s="38"/>
      <c r="BD167" s="38"/>
      <c r="BE167" s="38"/>
      <c r="BF167" s="38"/>
      <c r="BG167" s="38"/>
      <c r="BH167" s="38"/>
      <c r="BI167" s="38"/>
      <c r="BJ167" s="107">
        <f t="shared" si="56"/>
        <v>43000</v>
      </c>
      <c r="BK167" s="107">
        <f t="shared" si="57"/>
        <v>42728</v>
      </c>
      <c r="BL167" s="108">
        <f t="shared" si="58"/>
        <v>9354.3423071854704</v>
      </c>
      <c r="BM167" s="65">
        <f t="shared" si="59"/>
        <v>0.21892768927133191</v>
      </c>
      <c r="BN167" s="109">
        <f t="shared" si="62"/>
        <v>43000</v>
      </c>
      <c r="BO167" s="66">
        <v>0</v>
      </c>
      <c r="BP167" s="109">
        <f t="shared" si="61"/>
        <v>43000</v>
      </c>
      <c r="BQ167" s="76">
        <f t="shared" si="63"/>
        <v>860000</v>
      </c>
      <c r="BR167" s="110" t="s">
        <v>902</v>
      </c>
    </row>
    <row r="168" spans="1:70" ht="34" x14ac:dyDescent="0.2">
      <c r="A168" s="63">
        <v>164</v>
      </c>
      <c r="B168" s="126" t="s">
        <v>772</v>
      </c>
      <c r="C168" s="157" t="s">
        <v>773</v>
      </c>
      <c r="D168" s="63" t="s">
        <v>774</v>
      </c>
      <c r="E168" s="63">
        <v>3250</v>
      </c>
      <c r="F168" s="38"/>
      <c r="G168" s="38"/>
      <c r="H168" s="38"/>
      <c r="I168" s="38"/>
      <c r="J168" s="38"/>
      <c r="K168" s="38"/>
      <c r="L168" s="38"/>
      <c r="M168" s="38"/>
      <c r="N168" s="38"/>
      <c r="O168" s="38"/>
      <c r="P168" s="38"/>
      <c r="Q168" s="38"/>
      <c r="R168" s="38"/>
      <c r="S168" s="38"/>
      <c r="T168" s="38"/>
      <c r="U168" s="38"/>
      <c r="V168" s="38"/>
      <c r="W168" s="38"/>
      <c r="X168" s="38"/>
      <c r="Y168" s="38"/>
      <c r="Z168" s="38"/>
      <c r="AA168" s="38"/>
      <c r="AB168" s="38"/>
      <c r="AC168" s="38"/>
      <c r="AD168" s="38"/>
      <c r="AE168" s="38"/>
      <c r="AF168" s="38"/>
      <c r="AG168" s="38"/>
      <c r="AH168" s="38"/>
      <c r="AI168" s="38"/>
      <c r="AJ168" s="38"/>
      <c r="AK168" s="38"/>
      <c r="AL168" s="38">
        <v>30200</v>
      </c>
      <c r="AM168" s="38"/>
      <c r="AN168" s="38"/>
      <c r="AO168" s="38"/>
      <c r="AP168" s="38"/>
      <c r="AQ168" s="38"/>
      <c r="AR168" s="38"/>
      <c r="AS168" s="38"/>
      <c r="AT168" s="38"/>
      <c r="AU168" s="38"/>
      <c r="AV168" s="38"/>
      <c r="AW168" s="38"/>
      <c r="AX168" s="38"/>
      <c r="AY168" s="38">
        <v>26180</v>
      </c>
      <c r="AZ168" s="38">
        <v>26180</v>
      </c>
      <c r="BA168" s="38">
        <v>33300</v>
      </c>
      <c r="BB168" s="38"/>
      <c r="BC168" s="38"/>
      <c r="BD168" s="38"/>
      <c r="BE168" s="38"/>
      <c r="BF168" s="38"/>
      <c r="BG168" s="38"/>
      <c r="BH168" s="38"/>
      <c r="BI168" s="38"/>
      <c r="BJ168" s="107">
        <f t="shared" si="56"/>
        <v>28190</v>
      </c>
      <c r="BK168" s="107">
        <f t="shared" si="57"/>
        <v>28965</v>
      </c>
      <c r="BL168" s="108">
        <f t="shared" si="58"/>
        <v>3455.9079848861716</v>
      </c>
      <c r="BM168" s="65">
        <f t="shared" si="59"/>
        <v>0.11931323959558679</v>
      </c>
      <c r="BN168" s="109">
        <f t="shared" si="62"/>
        <v>28965</v>
      </c>
      <c r="BO168" s="66">
        <v>0</v>
      </c>
      <c r="BP168" s="109">
        <f t="shared" si="61"/>
        <v>28965</v>
      </c>
      <c r="BQ168" s="76">
        <f t="shared" si="63"/>
        <v>94136250</v>
      </c>
      <c r="BR168" s="110" t="s">
        <v>903</v>
      </c>
    </row>
    <row r="169" spans="1:70" ht="102" x14ac:dyDescent="0.2">
      <c r="A169" s="63">
        <v>165</v>
      </c>
      <c r="B169" s="63" t="s">
        <v>775</v>
      </c>
      <c r="C169" s="157" t="s">
        <v>776</v>
      </c>
      <c r="D169" s="63" t="s">
        <v>774</v>
      </c>
      <c r="E169" s="63">
        <v>150</v>
      </c>
      <c r="F169" s="38"/>
      <c r="G169" s="38"/>
      <c r="H169" s="38"/>
      <c r="I169" s="38"/>
      <c r="J169" s="38"/>
      <c r="K169" s="38"/>
      <c r="L169" s="38"/>
      <c r="M169" s="38"/>
      <c r="N169" s="38"/>
      <c r="O169" s="38"/>
      <c r="P169" s="38"/>
      <c r="Q169" s="38"/>
      <c r="R169" s="38"/>
      <c r="S169" s="38"/>
      <c r="T169" s="38"/>
      <c r="U169" s="38"/>
      <c r="V169" s="38"/>
      <c r="W169" s="38"/>
      <c r="X169" s="38"/>
      <c r="Y169" s="38"/>
      <c r="Z169" s="38"/>
      <c r="AA169" s="38"/>
      <c r="AB169" s="38"/>
      <c r="AC169" s="38"/>
      <c r="AD169" s="38"/>
      <c r="AE169" s="38"/>
      <c r="AF169" s="38"/>
      <c r="AG169" s="38"/>
      <c r="AH169" s="38"/>
      <c r="AI169" s="38"/>
      <c r="AJ169" s="38"/>
      <c r="AK169" s="38"/>
      <c r="AL169" s="38">
        <v>32300</v>
      </c>
      <c r="AM169" s="38"/>
      <c r="AN169" s="38">
        <v>32972.800000000003</v>
      </c>
      <c r="AO169" s="38">
        <v>23900</v>
      </c>
      <c r="AP169" s="38"/>
      <c r="AQ169" s="38"/>
      <c r="AR169" s="38"/>
      <c r="AS169" s="38"/>
      <c r="AT169" s="38"/>
      <c r="AU169" s="38"/>
      <c r="AV169" s="38"/>
      <c r="AW169" s="38"/>
      <c r="AX169" s="38"/>
      <c r="AY169" s="38">
        <v>22015</v>
      </c>
      <c r="AZ169" s="38">
        <v>22015</v>
      </c>
      <c r="BA169" s="38">
        <v>38700</v>
      </c>
      <c r="BB169" s="38"/>
      <c r="BC169" s="38"/>
      <c r="BD169" s="38"/>
      <c r="BE169" s="38"/>
      <c r="BF169" s="38"/>
      <c r="BG169" s="38"/>
      <c r="BH169" s="38"/>
      <c r="BI169" s="38"/>
      <c r="BJ169" s="107">
        <f t="shared" si="56"/>
        <v>28100</v>
      </c>
      <c r="BK169" s="107">
        <f t="shared" si="57"/>
        <v>28650.466666666664</v>
      </c>
      <c r="BL169" s="108">
        <f t="shared" si="58"/>
        <v>6980.2657332415902</v>
      </c>
      <c r="BM169" s="65">
        <f t="shared" si="59"/>
        <v>0.24363532414509564</v>
      </c>
      <c r="BN169" s="109">
        <f t="shared" si="62"/>
        <v>28100</v>
      </c>
      <c r="BO169" s="66">
        <v>0</v>
      </c>
      <c r="BP169" s="109">
        <f t="shared" si="61"/>
        <v>28100</v>
      </c>
      <c r="BQ169" s="76">
        <f t="shared" si="63"/>
        <v>4215000</v>
      </c>
      <c r="BR169" s="110" t="s">
        <v>902</v>
      </c>
    </row>
    <row r="170" spans="1:70" ht="34" x14ac:dyDescent="0.2">
      <c r="A170" s="63">
        <v>166</v>
      </c>
      <c r="B170" s="63" t="s">
        <v>777</v>
      </c>
      <c r="C170" s="157" t="s">
        <v>778</v>
      </c>
      <c r="D170" s="63" t="s">
        <v>774</v>
      </c>
      <c r="E170" s="63">
        <v>1200</v>
      </c>
      <c r="F170" s="38"/>
      <c r="G170" s="38"/>
      <c r="H170" s="38"/>
      <c r="I170" s="38"/>
      <c r="J170" s="38"/>
      <c r="K170" s="38"/>
      <c r="L170" s="38"/>
      <c r="M170" s="38"/>
      <c r="N170" s="38"/>
      <c r="O170" s="38"/>
      <c r="P170" s="38"/>
      <c r="Q170" s="38"/>
      <c r="R170" s="38"/>
      <c r="S170" s="38"/>
      <c r="T170" s="38"/>
      <c r="U170" s="38"/>
      <c r="V170" s="38"/>
      <c r="W170" s="38"/>
      <c r="X170" s="54">
        <v>22940</v>
      </c>
      <c r="Y170" s="70">
        <f>((X170*5.1%)+X170)</f>
        <v>24109.94</v>
      </c>
      <c r="Z170" s="54">
        <v>40850</v>
      </c>
      <c r="AA170" s="70">
        <f>((Z170*5.1%)+Z170)</f>
        <v>42933.35</v>
      </c>
      <c r="AB170" s="54">
        <v>34450</v>
      </c>
      <c r="AC170" s="70">
        <f>((AB170*5.1%)+AB170)</f>
        <v>36206.949999999997</v>
      </c>
      <c r="AD170" s="54">
        <v>30000</v>
      </c>
      <c r="AE170" s="70">
        <f>((AD170*5.1%)+AD170)</f>
        <v>31530</v>
      </c>
      <c r="AF170" s="38"/>
      <c r="AG170" s="38"/>
      <c r="AH170" s="38"/>
      <c r="AI170" s="38"/>
      <c r="AJ170" s="38"/>
      <c r="AK170" s="38"/>
      <c r="AL170" s="38"/>
      <c r="AM170" s="38"/>
      <c r="AN170" s="38"/>
      <c r="AO170" s="38"/>
      <c r="AP170" s="38"/>
      <c r="AQ170" s="38"/>
      <c r="AR170" s="38"/>
      <c r="AS170" s="38"/>
      <c r="AT170" s="38"/>
      <c r="AU170" s="38"/>
      <c r="AV170" s="38"/>
      <c r="AW170" s="38"/>
      <c r="AX170" s="38"/>
      <c r="AY170" s="38"/>
      <c r="AZ170" s="38"/>
      <c r="BA170" s="38"/>
      <c r="BB170" s="38"/>
      <c r="BC170" s="38"/>
      <c r="BD170" s="38"/>
      <c r="BE170" s="38"/>
      <c r="BF170" s="38"/>
      <c r="BG170" s="38"/>
      <c r="BH170" s="38"/>
      <c r="BI170" s="38"/>
      <c r="BJ170" s="107">
        <f t="shared" si="56"/>
        <v>33868.474999999999</v>
      </c>
      <c r="BK170" s="107">
        <f t="shared" si="57"/>
        <v>33695.06</v>
      </c>
      <c r="BL170" s="108">
        <f t="shared" si="58"/>
        <v>7920.8081177407012</v>
      </c>
      <c r="BM170" s="65">
        <f t="shared" si="59"/>
        <v>0.23507327536264075</v>
      </c>
      <c r="BN170" s="109">
        <f t="shared" si="62"/>
        <v>33869</v>
      </c>
      <c r="BO170" s="66">
        <v>0</v>
      </c>
      <c r="BP170" s="109">
        <f t="shared" si="61"/>
        <v>33869</v>
      </c>
      <c r="BQ170" s="76">
        <f t="shared" si="63"/>
        <v>40642800</v>
      </c>
      <c r="BR170" s="110" t="s">
        <v>902</v>
      </c>
    </row>
    <row r="171" spans="1:70" ht="119" x14ac:dyDescent="0.2">
      <c r="A171" s="63">
        <v>167</v>
      </c>
      <c r="B171" s="63" t="s">
        <v>732</v>
      </c>
      <c r="C171" s="157" t="s">
        <v>779</v>
      </c>
      <c r="D171" s="63" t="s">
        <v>780</v>
      </c>
      <c r="E171" s="63">
        <v>5</v>
      </c>
      <c r="F171" s="38"/>
      <c r="G171" s="38"/>
      <c r="H171" s="38"/>
      <c r="I171" s="38"/>
      <c r="J171" s="38"/>
      <c r="K171" s="38"/>
      <c r="L171" s="38"/>
      <c r="M171" s="38"/>
      <c r="N171" s="38"/>
      <c r="O171" s="38"/>
      <c r="P171" s="38"/>
      <c r="Q171" s="38"/>
      <c r="R171" s="38"/>
      <c r="S171" s="38"/>
      <c r="T171" s="38"/>
      <c r="U171" s="38"/>
      <c r="V171" s="38"/>
      <c r="W171" s="38"/>
      <c r="X171" s="38"/>
      <c r="Y171" s="38"/>
      <c r="Z171" s="38"/>
      <c r="AA171" s="38"/>
      <c r="AB171" s="38"/>
      <c r="AC171" s="38"/>
      <c r="AD171" s="38"/>
      <c r="AE171" s="38"/>
      <c r="AF171" s="38"/>
      <c r="AG171" s="38"/>
      <c r="AH171" s="38"/>
      <c r="AI171" s="38"/>
      <c r="AJ171" s="38"/>
      <c r="AK171" s="38"/>
      <c r="AL171" s="38"/>
      <c r="AM171" s="38"/>
      <c r="AN171" s="38"/>
      <c r="AO171" s="38"/>
      <c r="AP171" s="38"/>
      <c r="AQ171" s="38"/>
      <c r="AR171" s="38"/>
      <c r="AS171" s="38"/>
      <c r="AT171" s="38"/>
      <c r="AU171" s="38"/>
      <c r="AV171" s="38"/>
      <c r="AW171" s="38"/>
      <c r="AX171" s="38"/>
      <c r="AY171" s="38">
        <v>53550</v>
      </c>
      <c r="AZ171" s="38">
        <v>53550</v>
      </c>
      <c r="BA171" s="38">
        <v>58500</v>
      </c>
      <c r="BB171" s="38"/>
      <c r="BC171" s="38"/>
      <c r="BD171" s="38"/>
      <c r="BE171" s="38"/>
      <c r="BF171" s="38"/>
      <c r="BG171" s="38"/>
      <c r="BH171" s="38"/>
      <c r="BI171" s="38"/>
      <c r="BJ171" s="107">
        <f t="shared" si="56"/>
        <v>53550</v>
      </c>
      <c r="BK171" s="107">
        <f t="shared" si="57"/>
        <v>55200</v>
      </c>
      <c r="BL171" s="108">
        <f t="shared" si="58"/>
        <v>2857.8838324886474</v>
      </c>
      <c r="BM171" s="65">
        <f t="shared" si="59"/>
        <v>5.1773257834939267E-2</v>
      </c>
      <c r="BN171" s="109">
        <f t="shared" si="62"/>
        <v>55200</v>
      </c>
      <c r="BO171" s="66">
        <v>0</v>
      </c>
      <c r="BP171" s="109">
        <f t="shared" si="61"/>
        <v>55200</v>
      </c>
      <c r="BQ171" s="76">
        <f t="shared" si="63"/>
        <v>276000</v>
      </c>
      <c r="BR171" s="110" t="s">
        <v>903</v>
      </c>
    </row>
    <row r="172" spans="1:70" ht="153" x14ac:dyDescent="0.2">
      <c r="A172" s="63">
        <v>168</v>
      </c>
      <c r="B172" s="63" t="s">
        <v>781</v>
      </c>
      <c r="C172" s="157" t="s">
        <v>782</v>
      </c>
      <c r="D172" s="63" t="s">
        <v>783</v>
      </c>
      <c r="E172" s="63">
        <v>100</v>
      </c>
      <c r="F172" s="38"/>
      <c r="G172" s="38"/>
      <c r="H172" s="38"/>
      <c r="I172" s="38"/>
      <c r="J172" s="38"/>
      <c r="K172" s="38"/>
      <c r="L172" s="54">
        <v>176610</v>
      </c>
      <c r="M172" s="70">
        <f>((L172*5.1%)+L172)</f>
        <v>185617.11</v>
      </c>
      <c r="N172" s="54">
        <v>183225</v>
      </c>
      <c r="O172" s="70">
        <f>((N172*5.1%)+N172)</f>
        <v>192569.47500000001</v>
      </c>
      <c r="P172" s="38"/>
      <c r="Q172" s="38"/>
      <c r="R172" s="38"/>
      <c r="S172" s="38"/>
      <c r="T172" s="38"/>
      <c r="U172" s="38"/>
      <c r="V172" s="38"/>
      <c r="W172" s="38"/>
      <c r="X172" s="38"/>
      <c r="Y172" s="38"/>
      <c r="Z172" s="38"/>
      <c r="AA172" s="38"/>
      <c r="AB172" s="38"/>
      <c r="AC172" s="38"/>
      <c r="AD172" s="38"/>
      <c r="AE172" s="38"/>
      <c r="AF172" s="54">
        <v>170561</v>
      </c>
      <c r="AG172" s="70">
        <f>((AF172*5.1%)+AF172)</f>
        <v>179259.611</v>
      </c>
      <c r="AH172" s="54">
        <v>130000</v>
      </c>
      <c r="AI172" s="70">
        <f>((AH172*5.1%)+AH172)</f>
        <v>136630</v>
      </c>
      <c r="AJ172" s="70"/>
      <c r="AK172" s="70"/>
      <c r="AL172" s="70"/>
      <c r="AM172" s="70"/>
      <c r="AN172" s="70"/>
      <c r="AO172" s="70"/>
      <c r="AP172" s="70"/>
      <c r="AQ172" s="70"/>
      <c r="AR172" s="70"/>
      <c r="AS172" s="70"/>
      <c r="AT172" s="70"/>
      <c r="AU172" s="70"/>
      <c r="AV172" s="70"/>
      <c r="AW172" s="70"/>
      <c r="AX172" s="70"/>
      <c r="AY172" s="70"/>
      <c r="AZ172" s="70"/>
      <c r="BA172" s="70"/>
      <c r="BB172" s="70"/>
      <c r="BC172" s="70"/>
      <c r="BD172" s="70"/>
      <c r="BE172" s="70"/>
      <c r="BF172" s="70"/>
      <c r="BG172" s="70"/>
      <c r="BH172" s="70"/>
      <c r="BI172" s="70"/>
      <c r="BJ172" s="107">
        <f t="shared" si="56"/>
        <v>182438.36050000001</v>
      </c>
      <c r="BK172" s="107">
        <f t="shared" si="57"/>
        <v>173519.049</v>
      </c>
      <c r="BL172" s="108">
        <f t="shared" si="58"/>
        <v>25186.225064119553</v>
      </c>
      <c r="BM172" s="65">
        <f t="shared" si="59"/>
        <v>0.1451496259878623</v>
      </c>
      <c r="BN172" s="66">
        <f t="shared" si="46"/>
        <v>145815.12605042016</v>
      </c>
      <c r="BO172" s="66">
        <f t="shared" si="47"/>
        <v>27704.873949579833</v>
      </c>
      <c r="BP172" s="109">
        <f t="shared" ref="BP172:BP184" si="64">ROUNDUP(IF(BM172&lt;15%,BK172,BJ172),0)</f>
        <v>173520</v>
      </c>
      <c r="BQ172" s="76">
        <f t="shared" ref="BQ172:BQ184" si="65">BP172*E172</f>
        <v>17352000</v>
      </c>
      <c r="BR172" s="110" t="s">
        <v>903</v>
      </c>
    </row>
    <row r="173" spans="1:70" ht="153" x14ac:dyDescent="0.2">
      <c r="A173" s="63">
        <v>169</v>
      </c>
      <c r="B173" s="63" t="s">
        <v>784</v>
      </c>
      <c r="C173" s="157" t="s">
        <v>785</v>
      </c>
      <c r="D173" s="63" t="s">
        <v>786</v>
      </c>
      <c r="E173" s="63">
        <v>101</v>
      </c>
      <c r="F173" s="54">
        <v>220300</v>
      </c>
      <c r="G173" s="70">
        <f>((F173*5.1%)+F173)</f>
        <v>231535.3</v>
      </c>
      <c r="H173" s="54">
        <v>290000</v>
      </c>
      <c r="I173" s="38"/>
      <c r="J173" s="38"/>
      <c r="K173" s="38"/>
      <c r="L173" s="54">
        <v>208425</v>
      </c>
      <c r="M173" s="70">
        <f>((L173*5.1%)+L173)</f>
        <v>219054.67499999999</v>
      </c>
      <c r="N173" s="54">
        <v>216300</v>
      </c>
      <c r="O173" s="70">
        <f>((N173*5.1%)+N173)</f>
        <v>227331.3</v>
      </c>
      <c r="P173" s="38"/>
      <c r="Q173" s="38"/>
      <c r="R173" s="38"/>
      <c r="S173" s="38"/>
      <c r="T173" s="38"/>
      <c r="U173" s="38"/>
      <c r="V173" s="38"/>
      <c r="W173" s="38"/>
      <c r="X173" s="38"/>
      <c r="Y173" s="38"/>
      <c r="Z173" s="38"/>
      <c r="AA173" s="38"/>
      <c r="AB173" s="38"/>
      <c r="AC173" s="38"/>
      <c r="AD173" s="38"/>
      <c r="AE173" s="38"/>
      <c r="AF173" s="38"/>
      <c r="AG173" s="38"/>
      <c r="AH173" s="38"/>
      <c r="AI173" s="38"/>
      <c r="AJ173" s="38"/>
      <c r="AK173" s="38"/>
      <c r="AL173" s="38"/>
      <c r="AM173" s="38"/>
      <c r="AN173" s="38"/>
      <c r="AO173" s="38"/>
      <c r="AP173" s="38"/>
      <c r="AQ173" s="38"/>
      <c r="AR173" s="38"/>
      <c r="AS173" s="38"/>
      <c r="AT173" s="38"/>
      <c r="AU173" s="38"/>
      <c r="AV173" s="38"/>
      <c r="AW173" s="38"/>
      <c r="AX173" s="38"/>
      <c r="AY173" s="38"/>
      <c r="AZ173" s="38"/>
      <c r="BA173" s="38"/>
      <c r="BB173" s="38"/>
      <c r="BC173" s="38"/>
      <c r="BD173" s="38"/>
      <c r="BE173" s="38"/>
      <c r="BF173" s="38"/>
      <c r="BG173" s="38"/>
      <c r="BH173" s="38"/>
      <c r="BI173" s="38"/>
      <c r="BJ173" s="107">
        <f t="shared" si="56"/>
        <v>227331.3</v>
      </c>
      <c r="BK173" s="107">
        <f t="shared" si="57"/>
        <v>225973.7583333333</v>
      </c>
      <c r="BL173" s="108">
        <f t="shared" si="58"/>
        <v>6350.0936709790612</v>
      </c>
      <c r="BM173" s="65">
        <f t="shared" si="59"/>
        <v>2.8101022516127977E-2</v>
      </c>
      <c r="BN173" s="66">
        <f t="shared" si="46"/>
        <v>189894.11764705883</v>
      </c>
      <c r="BO173" s="66">
        <f t="shared" si="47"/>
        <v>36079.882352941175</v>
      </c>
      <c r="BP173" s="109">
        <f t="shared" si="64"/>
        <v>225974</v>
      </c>
      <c r="BQ173" s="76">
        <f t="shared" si="65"/>
        <v>22823374</v>
      </c>
      <c r="BR173" s="110" t="s">
        <v>903</v>
      </c>
    </row>
    <row r="174" spans="1:70" ht="119" x14ac:dyDescent="0.2">
      <c r="A174" s="63">
        <v>170</v>
      </c>
      <c r="B174" s="63" t="s">
        <v>787</v>
      </c>
      <c r="C174" s="157" t="s">
        <v>788</v>
      </c>
      <c r="D174" s="63" t="s">
        <v>786</v>
      </c>
      <c r="E174" s="63">
        <v>100</v>
      </c>
      <c r="F174" s="54">
        <v>198000</v>
      </c>
      <c r="G174" s="70">
        <f>((F174*5.1%)+F174)</f>
        <v>208098</v>
      </c>
      <c r="H174" s="54">
        <v>259000</v>
      </c>
      <c r="I174" s="70">
        <f>((H174*5.1%)+H174)</f>
        <v>272209</v>
      </c>
      <c r="J174" s="38"/>
      <c r="K174" s="38"/>
      <c r="L174" s="54">
        <v>183225</v>
      </c>
      <c r="M174" s="70">
        <f>((L174*5.1%)+L174)</f>
        <v>192569.47500000001</v>
      </c>
      <c r="N174" s="54">
        <v>193725</v>
      </c>
      <c r="O174" s="70">
        <f>((N174*5.1%)+N174)</f>
        <v>203604.97500000001</v>
      </c>
      <c r="P174" s="38"/>
      <c r="Q174" s="38"/>
      <c r="R174" s="38"/>
      <c r="S174" s="38"/>
      <c r="T174" s="38"/>
      <c r="U174" s="38"/>
      <c r="V174" s="38"/>
      <c r="W174" s="38"/>
      <c r="X174" s="38"/>
      <c r="Y174" s="38"/>
      <c r="Z174" s="38"/>
      <c r="AA174" s="38"/>
      <c r="AB174" s="38"/>
      <c r="AC174" s="38"/>
      <c r="AD174" s="38"/>
      <c r="AE174" s="38"/>
      <c r="AF174" s="54">
        <v>142509</v>
      </c>
      <c r="AG174" s="70">
        <f>((AF174*5.1%)+AF174)</f>
        <v>149776.959</v>
      </c>
      <c r="AH174" s="38"/>
      <c r="AI174" s="38"/>
      <c r="AJ174" s="38"/>
      <c r="AK174" s="38"/>
      <c r="AL174" s="38"/>
      <c r="AM174" s="38"/>
      <c r="AN174" s="38"/>
      <c r="AO174" s="38"/>
      <c r="AP174" s="38"/>
      <c r="AQ174" s="38"/>
      <c r="AR174" s="38"/>
      <c r="AS174" s="38"/>
      <c r="AT174" s="38"/>
      <c r="AU174" s="38"/>
      <c r="AV174" s="38"/>
      <c r="AW174" s="38"/>
      <c r="AX174" s="38"/>
      <c r="AY174" s="38"/>
      <c r="AZ174" s="38"/>
      <c r="BA174" s="38"/>
      <c r="BB174" s="38"/>
      <c r="BC174" s="38"/>
      <c r="BD174" s="38"/>
      <c r="BE174" s="38"/>
      <c r="BF174" s="38"/>
      <c r="BG174" s="38"/>
      <c r="BH174" s="38"/>
      <c r="BI174" s="38"/>
      <c r="BJ174" s="107">
        <f t="shared" si="56"/>
        <v>203604.97500000001</v>
      </c>
      <c r="BK174" s="107">
        <f t="shared" si="57"/>
        <v>205251.68179999999</v>
      </c>
      <c r="BL174" s="108">
        <f t="shared" si="58"/>
        <v>43966.973031389316</v>
      </c>
      <c r="BM174" s="65">
        <f t="shared" si="59"/>
        <v>0.21421005005080215</v>
      </c>
      <c r="BN174" s="66">
        <f t="shared" si="46"/>
        <v>171096.63865546219</v>
      </c>
      <c r="BO174" s="66">
        <f t="shared" si="47"/>
        <v>32508.361344537814</v>
      </c>
      <c r="BP174" s="109">
        <f t="shared" si="64"/>
        <v>203605</v>
      </c>
      <c r="BQ174" s="76">
        <f t="shared" si="65"/>
        <v>20360500</v>
      </c>
      <c r="BR174" s="110" t="s">
        <v>902</v>
      </c>
    </row>
    <row r="175" spans="1:70" ht="170" x14ac:dyDescent="0.2">
      <c r="A175" s="63">
        <v>171</v>
      </c>
      <c r="B175" s="63" t="s">
        <v>789</v>
      </c>
      <c r="C175" s="157" t="s">
        <v>790</v>
      </c>
      <c r="D175" s="63" t="s">
        <v>783</v>
      </c>
      <c r="E175" s="63">
        <v>100</v>
      </c>
      <c r="F175" s="38"/>
      <c r="G175" s="38"/>
      <c r="H175" s="38"/>
      <c r="I175" s="38"/>
      <c r="J175" s="38"/>
      <c r="K175" s="38"/>
      <c r="L175" s="54">
        <v>141225</v>
      </c>
      <c r="M175" s="70">
        <f>((L175*5.1%)+L175)</f>
        <v>148427.47500000001</v>
      </c>
      <c r="N175" s="54">
        <v>152880</v>
      </c>
      <c r="O175" s="70">
        <f>((N175*5.1%)+N175)</f>
        <v>160676.88</v>
      </c>
      <c r="P175" s="38"/>
      <c r="Q175" s="38"/>
      <c r="R175" s="38"/>
      <c r="S175" s="38"/>
      <c r="T175" s="38"/>
      <c r="U175" s="38"/>
      <c r="V175" s="38"/>
      <c r="W175" s="38"/>
      <c r="X175" s="38"/>
      <c r="Y175" s="38"/>
      <c r="Z175" s="38"/>
      <c r="AA175" s="38"/>
      <c r="AB175" s="38"/>
      <c r="AC175" s="38"/>
      <c r="AD175" s="38"/>
      <c r="AE175" s="38"/>
      <c r="AF175" s="54">
        <v>170561</v>
      </c>
      <c r="AG175" s="70">
        <f>((AF175*5.1%)+AF175)</f>
        <v>179259.611</v>
      </c>
      <c r="AH175" s="38"/>
      <c r="AI175" s="38"/>
      <c r="AJ175" s="38"/>
      <c r="AK175" s="38"/>
      <c r="AL175" s="38"/>
      <c r="AM175" s="38"/>
      <c r="AN175" s="38"/>
      <c r="AO175" s="38"/>
      <c r="AP175" s="38"/>
      <c r="AQ175" s="38"/>
      <c r="AR175" s="38"/>
      <c r="AS175" s="38"/>
      <c r="AT175" s="38"/>
      <c r="AU175" s="38"/>
      <c r="AV175" s="38"/>
      <c r="AW175" s="38"/>
      <c r="AX175" s="38"/>
      <c r="AY175" s="38"/>
      <c r="AZ175" s="38"/>
      <c r="BA175" s="38"/>
      <c r="BB175" s="38"/>
      <c r="BC175" s="38"/>
      <c r="BD175" s="38"/>
      <c r="BE175" s="38"/>
      <c r="BF175" s="38"/>
      <c r="BG175" s="38"/>
      <c r="BH175" s="38"/>
      <c r="BI175" s="38"/>
      <c r="BJ175" s="107">
        <f t="shared" si="56"/>
        <v>160676.88</v>
      </c>
      <c r="BK175" s="107">
        <f t="shared" si="57"/>
        <v>162787.98866666667</v>
      </c>
      <c r="BL175" s="108">
        <f t="shared" si="58"/>
        <v>15524.101823695963</v>
      </c>
      <c r="BM175" s="65">
        <f t="shared" si="59"/>
        <v>9.5363926729778184E-2</v>
      </c>
      <c r="BN175" s="66">
        <f t="shared" si="46"/>
        <v>136796.63865546219</v>
      </c>
      <c r="BO175" s="66">
        <f t="shared" si="47"/>
        <v>25991.361344537814</v>
      </c>
      <c r="BP175" s="109">
        <f t="shared" si="64"/>
        <v>162788</v>
      </c>
      <c r="BQ175" s="76">
        <f t="shared" si="65"/>
        <v>16278800</v>
      </c>
      <c r="BR175" s="110" t="s">
        <v>903</v>
      </c>
    </row>
    <row r="176" spans="1:70" ht="255" x14ac:dyDescent="0.2">
      <c r="A176" s="63">
        <v>172</v>
      </c>
      <c r="B176" s="63" t="s">
        <v>791</v>
      </c>
      <c r="C176" s="157" t="s">
        <v>792</v>
      </c>
      <c r="D176" s="63" t="s">
        <v>793</v>
      </c>
      <c r="E176" s="63">
        <v>100</v>
      </c>
      <c r="F176" s="54">
        <v>133000</v>
      </c>
      <c r="G176" s="70">
        <f>((F176*5.1%)+F176)</f>
        <v>139783</v>
      </c>
      <c r="H176" s="54">
        <v>150000</v>
      </c>
      <c r="I176" s="70">
        <f>((H176*5.1%)+H176)</f>
        <v>157650</v>
      </c>
      <c r="J176" s="38"/>
      <c r="K176" s="38"/>
      <c r="L176" s="54">
        <v>87045</v>
      </c>
      <c r="M176" s="70">
        <f>((L176*5.1%)+L176)</f>
        <v>91484.294999999998</v>
      </c>
      <c r="N176" s="54">
        <v>89880</v>
      </c>
      <c r="O176" s="70">
        <f>((N176*5.1%)+N176)</f>
        <v>94463.88</v>
      </c>
      <c r="P176" s="38"/>
      <c r="Q176" s="38"/>
      <c r="R176" s="38"/>
      <c r="S176" s="38"/>
      <c r="T176" s="38"/>
      <c r="U176" s="38"/>
      <c r="V176" s="38"/>
      <c r="W176" s="38"/>
      <c r="X176" s="38"/>
      <c r="Y176" s="38"/>
      <c r="Z176" s="38"/>
      <c r="AA176" s="38"/>
      <c r="AB176" s="38"/>
      <c r="AC176" s="38"/>
      <c r="AD176" s="38"/>
      <c r="AE176" s="38"/>
      <c r="AF176" s="38"/>
      <c r="AG176" s="38"/>
      <c r="AH176" s="38"/>
      <c r="AI176" s="38"/>
      <c r="AJ176" s="38"/>
      <c r="AK176" s="38"/>
      <c r="AL176" s="38"/>
      <c r="AM176" s="38"/>
      <c r="AN176" s="38"/>
      <c r="AO176" s="38"/>
      <c r="AP176" s="38"/>
      <c r="AQ176" s="38"/>
      <c r="AR176" s="38"/>
      <c r="AS176" s="38"/>
      <c r="AT176" s="38"/>
      <c r="AU176" s="38"/>
      <c r="AV176" s="38"/>
      <c r="AW176" s="38"/>
      <c r="AX176" s="38"/>
      <c r="AY176" s="38"/>
      <c r="AZ176" s="38"/>
      <c r="BA176" s="38"/>
      <c r="BB176" s="38"/>
      <c r="BC176" s="38"/>
      <c r="BD176" s="38"/>
      <c r="BE176" s="38"/>
      <c r="BF176" s="38"/>
      <c r="BG176" s="38"/>
      <c r="BH176" s="38"/>
      <c r="BI176" s="38"/>
      <c r="BJ176" s="107">
        <f t="shared" si="56"/>
        <v>117123.44</v>
      </c>
      <c r="BK176" s="107">
        <f t="shared" si="57"/>
        <v>120845.29375</v>
      </c>
      <c r="BL176" s="108">
        <f t="shared" si="58"/>
        <v>33021.560427526114</v>
      </c>
      <c r="BM176" s="65">
        <f t="shared" si="59"/>
        <v>0.27325483188314992</v>
      </c>
      <c r="BN176" s="66">
        <f t="shared" ref="BN176:BN201" si="66">BP176/1.19</f>
        <v>98423.529411764714</v>
      </c>
      <c r="BO176" s="66">
        <f t="shared" ref="BO176:BO202" si="67">BN176*19%</f>
        <v>18700.470588235297</v>
      </c>
      <c r="BP176" s="109">
        <f t="shared" si="64"/>
        <v>117124</v>
      </c>
      <c r="BQ176" s="76">
        <f t="shared" si="65"/>
        <v>11712400</v>
      </c>
      <c r="BR176" s="110" t="s">
        <v>902</v>
      </c>
    </row>
    <row r="177" spans="1:70" ht="267.75" customHeight="1" x14ac:dyDescent="0.2">
      <c r="A177" s="63">
        <v>173</v>
      </c>
      <c r="B177" s="63" t="s">
        <v>794</v>
      </c>
      <c r="C177" s="157" t="s">
        <v>795</v>
      </c>
      <c r="D177" s="63" t="s">
        <v>783</v>
      </c>
      <c r="E177" s="63">
        <v>100</v>
      </c>
      <c r="F177" s="54">
        <v>300000</v>
      </c>
      <c r="G177" s="70">
        <f>((F177*5.1%)+F177)</f>
        <v>315300</v>
      </c>
      <c r="H177" s="54">
        <v>310000</v>
      </c>
      <c r="I177" s="70">
        <f>((H177*5.1%)+H177)</f>
        <v>325810</v>
      </c>
      <c r="J177" s="38"/>
      <c r="K177" s="38"/>
      <c r="L177" s="38"/>
      <c r="M177" s="38"/>
      <c r="N177" s="38"/>
      <c r="O177" s="38"/>
      <c r="P177" s="38"/>
      <c r="Q177" s="38"/>
      <c r="R177" s="38"/>
      <c r="S177" s="38"/>
      <c r="T177" s="38"/>
      <c r="U177" s="38"/>
      <c r="V177" s="38"/>
      <c r="W177" s="38"/>
      <c r="X177" s="38"/>
      <c r="Y177" s="38"/>
      <c r="Z177" s="38"/>
      <c r="AA177" s="38"/>
      <c r="AB177" s="38"/>
      <c r="AC177" s="38"/>
      <c r="AD177" s="38"/>
      <c r="AE177" s="38"/>
      <c r="AF177" s="54">
        <v>219431</v>
      </c>
      <c r="AG177" s="70">
        <f>((AF177*5.1%)+AF177)</f>
        <v>230621.981</v>
      </c>
      <c r="AH177" s="38"/>
      <c r="AI177" s="38"/>
      <c r="AJ177" s="38"/>
      <c r="AK177" s="38"/>
      <c r="AL177" s="38"/>
      <c r="AM177" s="38"/>
      <c r="AN177" s="38"/>
      <c r="AO177" s="38"/>
      <c r="AP177" s="38"/>
      <c r="AQ177" s="38"/>
      <c r="AR177" s="38"/>
      <c r="AS177" s="38"/>
      <c r="AT177" s="38"/>
      <c r="AU177" s="38"/>
      <c r="AV177" s="38"/>
      <c r="AW177" s="38"/>
      <c r="AX177" s="38"/>
      <c r="AY177" s="38"/>
      <c r="AZ177" s="38"/>
      <c r="BA177" s="38"/>
      <c r="BB177" s="38"/>
      <c r="BC177" s="38"/>
      <c r="BD177" s="38"/>
      <c r="BE177" s="38"/>
      <c r="BF177" s="38"/>
      <c r="BG177" s="38"/>
      <c r="BH177" s="38"/>
      <c r="BI177" s="38"/>
      <c r="BJ177" s="107">
        <f t="shared" si="56"/>
        <v>315300</v>
      </c>
      <c r="BK177" s="107">
        <f t="shared" si="57"/>
        <v>290577.32699999999</v>
      </c>
      <c r="BL177" s="108">
        <f t="shared" si="58"/>
        <v>52188.098839532249</v>
      </c>
      <c r="BM177" s="65">
        <f t="shared" si="59"/>
        <v>0.17960141411698047</v>
      </c>
      <c r="BN177" s="66">
        <f t="shared" si="66"/>
        <v>264957.98319327732</v>
      </c>
      <c r="BO177" s="66">
        <f t="shared" si="67"/>
        <v>50342.016806722691</v>
      </c>
      <c r="BP177" s="109">
        <f t="shared" si="64"/>
        <v>315300</v>
      </c>
      <c r="BQ177" s="76">
        <f t="shared" si="65"/>
        <v>31530000</v>
      </c>
      <c r="BR177" s="110" t="s">
        <v>902</v>
      </c>
    </row>
    <row r="178" spans="1:70" ht="204" x14ac:dyDescent="0.2">
      <c r="A178" s="63">
        <v>174</v>
      </c>
      <c r="B178" s="126" t="s">
        <v>796</v>
      </c>
      <c r="C178" s="160" t="s">
        <v>1174</v>
      </c>
      <c r="D178" s="63" t="s">
        <v>7</v>
      </c>
      <c r="E178" s="63">
        <v>5</v>
      </c>
      <c r="F178" s="54">
        <v>45000</v>
      </c>
      <c r="G178" s="70">
        <f t="shared" ref="G178:I179" si="68">((F178*5.1%)+F178)</f>
        <v>47295</v>
      </c>
      <c r="H178" s="38"/>
      <c r="I178" s="38"/>
      <c r="J178" s="38"/>
      <c r="K178" s="38"/>
      <c r="L178" s="54">
        <v>73710</v>
      </c>
      <c r="M178" s="70">
        <f t="shared" ref="M178:M180" si="69">((L178*5.1%)+L178)</f>
        <v>77469.210000000006</v>
      </c>
      <c r="N178" s="54">
        <v>71925</v>
      </c>
      <c r="O178" s="70">
        <f t="shared" ref="O178:O180" si="70">((N178*5.1%)+N178)</f>
        <v>75593.175000000003</v>
      </c>
      <c r="P178" s="38"/>
      <c r="Q178" s="38"/>
      <c r="R178" s="38"/>
      <c r="S178" s="38"/>
      <c r="T178" s="38"/>
      <c r="U178" s="38"/>
      <c r="V178" s="38"/>
      <c r="W178" s="38"/>
      <c r="X178" s="38"/>
      <c r="Y178" s="38"/>
      <c r="Z178" s="38"/>
      <c r="AA178" s="38"/>
      <c r="AB178" s="38"/>
      <c r="AC178" s="38"/>
      <c r="AD178" s="38"/>
      <c r="AE178" s="38"/>
      <c r="AF178" s="38"/>
      <c r="AG178" s="38"/>
      <c r="AH178" s="38"/>
      <c r="AI178" s="38"/>
      <c r="AJ178" s="38"/>
      <c r="AK178" s="38"/>
      <c r="AL178" s="38"/>
      <c r="AM178" s="38"/>
      <c r="AN178" s="38"/>
      <c r="AO178" s="38"/>
      <c r="AP178" s="38"/>
      <c r="AQ178" s="38"/>
      <c r="AR178" s="38"/>
      <c r="AS178" s="38"/>
      <c r="AT178" s="38"/>
      <c r="AU178" s="38"/>
      <c r="AV178" s="38"/>
      <c r="AW178" s="38"/>
      <c r="AX178" s="38"/>
      <c r="AY178" s="38"/>
      <c r="AZ178" s="38"/>
      <c r="BA178" s="38"/>
      <c r="BB178" s="38"/>
      <c r="BC178" s="38"/>
      <c r="BD178" s="38"/>
      <c r="BE178" s="38"/>
      <c r="BF178" s="38"/>
      <c r="BG178" s="38"/>
      <c r="BH178" s="38"/>
      <c r="BI178" s="38"/>
      <c r="BJ178" s="107">
        <f t="shared" si="56"/>
        <v>75593.175000000003</v>
      </c>
      <c r="BK178" s="107">
        <f t="shared" si="57"/>
        <v>66785.794999999998</v>
      </c>
      <c r="BL178" s="108">
        <f t="shared" si="58"/>
        <v>16905.566956754952</v>
      </c>
      <c r="BM178" s="65">
        <f t="shared" si="59"/>
        <v>0.25313117792121742</v>
      </c>
      <c r="BN178" s="66">
        <f t="shared" si="66"/>
        <v>63524.36974789916</v>
      </c>
      <c r="BO178" s="66">
        <f t="shared" si="67"/>
        <v>12069.63025210084</v>
      </c>
      <c r="BP178" s="109">
        <f t="shared" si="64"/>
        <v>75594</v>
      </c>
      <c r="BQ178" s="76">
        <f t="shared" si="65"/>
        <v>377970</v>
      </c>
      <c r="BR178" s="110" t="s">
        <v>902</v>
      </c>
    </row>
    <row r="179" spans="1:70" ht="255" x14ac:dyDescent="0.2">
      <c r="A179" s="63">
        <v>175</v>
      </c>
      <c r="B179" s="126" t="s">
        <v>797</v>
      </c>
      <c r="C179" s="160" t="s">
        <v>1175</v>
      </c>
      <c r="D179" s="63" t="s">
        <v>7</v>
      </c>
      <c r="E179" s="63">
        <v>5</v>
      </c>
      <c r="F179" s="54">
        <v>45000</v>
      </c>
      <c r="G179" s="70">
        <f t="shared" si="68"/>
        <v>47295</v>
      </c>
      <c r="H179" s="54">
        <v>45000</v>
      </c>
      <c r="I179" s="70">
        <f t="shared" si="68"/>
        <v>47295</v>
      </c>
      <c r="J179" s="38"/>
      <c r="K179" s="38"/>
      <c r="L179" s="54">
        <v>61845</v>
      </c>
      <c r="M179" s="70">
        <f t="shared" si="69"/>
        <v>64999.095000000001</v>
      </c>
      <c r="N179" s="54">
        <v>63210</v>
      </c>
      <c r="O179" s="70">
        <f t="shared" si="70"/>
        <v>66433.710000000006</v>
      </c>
      <c r="P179" s="38"/>
      <c r="Q179" s="38"/>
      <c r="R179" s="38"/>
      <c r="S179" s="38"/>
      <c r="T179" s="38"/>
      <c r="U179" s="38"/>
      <c r="V179" s="38"/>
      <c r="W179" s="38"/>
      <c r="X179" s="38"/>
      <c r="Y179" s="38"/>
      <c r="Z179" s="38"/>
      <c r="AA179" s="38"/>
      <c r="AB179" s="38"/>
      <c r="AC179" s="38"/>
      <c r="AD179" s="38"/>
      <c r="AE179" s="38"/>
      <c r="AF179" s="38"/>
      <c r="AG179" s="38"/>
      <c r="AH179" s="38"/>
      <c r="AI179" s="38"/>
      <c r="AJ179" s="38"/>
      <c r="AK179" s="38"/>
      <c r="AL179" s="38"/>
      <c r="AM179" s="38"/>
      <c r="AN179" s="38"/>
      <c r="AO179" s="38"/>
      <c r="AP179" s="38"/>
      <c r="AQ179" s="38"/>
      <c r="AR179" s="38"/>
      <c r="AS179" s="38"/>
      <c r="AT179" s="38"/>
      <c r="AU179" s="38"/>
      <c r="AV179" s="38"/>
      <c r="AW179" s="38"/>
      <c r="AX179" s="38"/>
      <c r="AY179" s="38"/>
      <c r="AZ179" s="38"/>
      <c r="BA179" s="38"/>
      <c r="BB179" s="38"/>
      <c r="BC179" s="38"/>
      <c r="BD179" s="38"/>
      <c r="BE179" s="38"/>
      <c r="BF179" s="38"/>
      <c r="BG179" s="38"/>
      <c r="BH179" s="38"/>
      <c r="BI179" s="38"/>
      <c r="BJ179" s="107">
        <f t="shared" si="56"/>
        <v>56147.047500000001</v>
      </c>
      <c r="BK179" s="107">
        <f t="shared" si="57"/>
        <v>56505.701249999998</v>
      </c>
      <c r="BL179" s="108">
        <f t="shared" si="58"/>
        <v>10651.71551388349</v>
      </c>
      <c r="BM179" s="65">
        <f t="shared" si="59"/>
        <v>0.188506916616374</v>
      </c>
      <c r="BN179" s="66">
        <f t="shared" si="66"/>
        <v>47183.193277310929</v>
      </c>
      <c r="BO179" s="66">
        <f t="shared" si="67"/>
        <v>8964.8067226890762</v>
      </c>
      <c r="BP179" s="109">
        <f t="shared" si="64"/>
        <v>56148</v>
      </c>
      <c r="BQ179" s="76">
        <f t="shared" si="65"/>
        <v>280740</v>
      </c>
      <c r="BR179" s="110" t="s">
        <v>902</v>
      </c>
    </row>
    <row r="180" spans="1:70" ht="47.25" customHeight="1" x14ac:dyDescent="0.2">
      <c r="A180" s="63">
        <v>176</v>
      </c>
      <c r="B180" s="126" t="s">
        <v>844</v>
      </c>
      <c r="C180" s="111" t="s">
        <v>1166</v>
      </c>
      <c r="D180" s="63" t="s">
        <v>798</v>
      </c>
      <c r="E180" s="63">
        <v>10</v>
      </c>
      <c r="F180" s="38"/>
      <c r="G180" s="38"/>
      <c r="H180" s="70"/>
      <c r="I180" s="70"/>
      <c r="J180" s="88">
        <v>33320</v>
      </c>
      <c r="K180" s="70">
        <f t="shared" ref="K180" si="71">((J180*5.1%)+J180)</f>
        <v>35019.32</v>
      </c>
      <c r="L180" s="88">
        <v>54500</v>
      </c>
      <c r="M180" s="70">
        <f t="shared" si="69"/>
        <v>57279.5</v>
      </c>
      <c r="N180" s="88">
        <v>56800</v>
      </c>
      <c r="O180" s="70">
        <f t="shared" si="70"/>
        <v>59696.800000000003</v>
      </c>
      <c r="P180" s="38"/>
      <c r="Q180" s="38"/>
      <c r="R180" s="38"/>
      <c r="S180" s="38"/>
      <c r="T180" s="38"/>
      <c r="U180" s="38"/>
      <c r="V180" s="38"/>
      <c r="W180" s="38"/>
      <c r="X180" s="38"/>
      <c r="Y180" s="38"/>
      <c r="Z180" s="38"/>
      <c r="AA180" s="38"/>
      <c r="AB180" s="38"/>
      <c r="AC180" s="38"/>
      <c r="AD180" s="38"/>
      <c r="AE180" s="38"/>
      <c r="AF180" s="38"/>
      <c r="AG180" s="38"/>
      <c r="AH180" s="38"/>
      <c r="AI180" s="38"/>
      <c r="AJ180" s="38"/>
      <c r="AK180" s="38"/>
      <c r="AL180" s="38"/>
      <c r="AM180" s="38"/>
      <c r="AN180" s="38"/>
      <c r="AO180" s="38"/>
      <c r="AP180" s="38"/>
      <c r="AQ180" s="38"/>
      <c r="AR180" s="38"/>
      <c r="AS180" s="38"/>
      <c r="AT180" s="38"/>
      <c r="AU180" s="38"/>
      <c r="AV180" s="38"/>
      <c r="AW180" s="38"/>
      <c r="AX180" s="38"/>
      <c r="AY180" s="38"/>
      <c r="AZ180" s="38"/>
      <c r="BA180" s="38"/>
      <c r="BB180" s="38"/>
      <c r="BC180" s="38"/>
      <c r="BD180" s="38"/>
      <c r="BE180" s="38"/>
      <c r="BF180" s="38"/>
      <c r="BG180" s="38"/>
      <c r="BH180" s="38"/>
      <c r="BI180" s="38"/>
      <c r="BJ180" s="107">
        <f t="shared" si="56"/>
        <v>57279.5</v>
      </c>
      <c r="BK180" s="107">
        <f t="shared" si="57"/>
        <v>50665.206666666665</v>
      </c>
      <c r="BL180" s="108">
        <f t="shared" si="58"/>
        <v>13603.534908696825</v>
      </c>
      <c r="BM180" s="65">
        <f t="shared" si="59"/>
        <v>0.26849855756429347</v>
      </c>
      <c r="BN180" s="66">
        <f t="shared" si="66"/>
        <v>48134.45378151261</v>
      </c>
      <c r="BO180" s="66">
        <f t="shared" si="67"/>
        <v>9145.5462184873959</v>
      </c>
      <c r="BP180" s="109">
        <f t="shared" si="64"/>
        <v>57280</v>
      </c>
      <c r="BQ180" s="76">
        <f t="shared" si="65"/>
        <v>572800</v>
      </c>
      <c r="BR180" s="110" t="s">
        <v>902</v>
      </c>
    </row>
    <row r="181" spans="1:70" ht="147.75" customHeight="1" x14ac:dyDescent="0.2">
      <c r="A181" s="63">
        <v>177</v>
      </c>
      <c r="B181" s="126" t="s">
        <v>799</v>
      </c>
      <c r="C181" s="157" t="s">
        <v>800</v>
      </c>
      <c r="D181" s="63" t="s">
        <v>7</v>
      </c>
      <c r="E181" s="63">
        <v>1</v>
      </c>
      <c r="F181" s="38"/>
      <c r="G181" s="38"/>
      <c r="H181" s="38"/>
      <c r="I181" s="38"/>
      <c r="J181" s="38"/>
      <c r="K181" s="38"/>
      <c r="L181" s="38"/>
      <c r="M181" s="38"/>
      <c r="N181" s="38"/>
      <c r="O181" s="38"/>
      <c r="P181" s="38"/>
      <c r="Q181" s="38"/>
      <c r="R181" s="38"/>
      <c r="S181" s="38"/>
      <c r="T181" s="38"/>
      <c r="U181" s="38"/>
      <c r="V181" s="38"/>
      <c r="W181" s="38"/>
      <c r="X181" s="38"/>
      <c r="Y181" s="38"/>
      <c r="Z181" s="38"/>
      <c r="AA181" s="38"/>
      <c r="AB181" s="38"/>
      <c r="AC181" s="38"/>
      <c r="AD181" s="38"/>
      <c r="AE181" s="38"/>
      <c r="AF181" s="38"/>
      <c r="AG181" s="38"/>
      <c r="AH181" s="38"/>
      <c r="AI181" s="38"/>
      <c r="AJ181" s="38"/>
      <c r="AK181" s="38"/>
      <c r="AL181" s="38"/>
      <c r="AM181" s="38"/>
      <c r="AN181" s="38"/>
      <c r="AO181" s="38"/>
      <c r="AP181" s="38"/>
      <c r="AQ181" s="38"/>
      <c r="AR181" s="38"/>
      <c r="AS181" s="38"/>
      <c r="AT181" s="38"/>
      <c r="AU181" s="38"/>
      <c r="AV181" s="38"/>
      <c r="AW181" s="38"/>
      <c r="AX181" s="38"/>
      <c r="AY181" s="38">
        <v>83300</v>
      </c>
      <c r="AZ181" s="38">
        <v>71400</v>
      </c>
      <c r="BA181" s="38"/>
      <c r="BB181" s="38"/>
      <c r="BC181" s="38"/>
      <c r="BD181" s="38"/>
      <c r="BE181" s="38"/>
      <c r="BF181" s="38"/>
      <c r="BG181" s="38"/>
      <c r="BH181" s="38"/>
      <c r="BI181" s="38"/>
      <c r="BJ181" s="107">
        <f t="shared" si="56"/>
        <v>77350</v>
      </c>
      <c r="BK181" s="107">
        <f t="shared" si="57"/>
        <v>77350</v>
      </c>
      <c r="BL181" s="108">
        <f t="shared" si="58"/>
        <v>8414.5706961199157</v>
      </c>
      <c r="BM181" s="65">
        <f t="shared" si="59"/>
        <v>0.10878565864408424</v>
      </c>
      <c r="BN181" s="66">
        <f t="shared" si="66"/>
        <v>65000</v>
      </c>
      <c r="BO181" s="66">
        <f t="shared" si="67"/>
        <v>12350</v>
      </c>
      <c r="BP181" s="109">
        <f t="shared" si="64"/>
        <v>77350</v>
      </c>
      <c r="BQ181" s="76">
        <f t="shared" si="65"/>
        <v>77350</v>
      </c>
      <c r="BR181" s="110" t="s">
        <v>903</v>
      </c>
    </row>
    <row r="182" spans="1:70" ht="102" x14ac:dyDescent="0.2">
      <c r="A182" s="63">
        <v>178</v>
      </c>
      <c r="B182" s="126" t="s">
        <v>801</v>
      </c>
      <c r="C182" s="157" t="s">
        <v>887</v>
      </c>
      <c r="D182" s="63" t="s">
        <v>7</v>
      </c>
      <c r="E182" s="63">
        <v>5</v>
      </c>
      <c r="F182" s="89">
        <v>150000</v>
      </c>
      <c r="G182" s="70">
        <f t="shared" ref="G182" si="72">((F182*5.1%)+F182)</f>
        <v>157650</v>
      </c>
      <c r="H182" s="89">
        <v>200000</v>
      </c>
      <c r="I182" s="70">
        <f t="shared" ref="I182" si="73">((H182*5.1%)+H182)</f>
        <v>210200</v>
      </c>
      <c r="J182" s="89">
        <v>214200</v>
      </c>
      <c r="K182" s="70">
        <f t="shared" ref="K182" si="74">((J182*5.1%)+J182)</f>
        <v>225124.2</v>
      </c>
      <c r="L182" s="89">
        <v>150000</v>
      </c>
      <c r="M182" s="70">
        <f t="shared" ref="M182" si="75">((L182*5.1%)+L182)</f>
        <v>157650</v>
      </c>
      <c r="N182" s="89">
        <v>198500</v>
      </c>
      <c r="O182" s="70">
        <f t="shared" ref="O182" si="76">((N182*5.1%)+N182)</f>
        <v>208623.5</v>
      </c>
      <c r="P182" s="38"/>
      <c r="Q182" s="38"/>
      <c r="R182" s="38"/>
      <c r="S182" s="38"/>
      <c r="T182" s="38"/>
      <c r="U182" s="38"/>
      <c r="V182" s="38"/>
      <c r="W182" s="38"/>
      <c r="X182" s="38"/>
      <c r="Y182" s="38"/>
      <c r="Z182" s="38"/>
      <c r="AA182" s="38"/>
      <c r="AB182" s="38"/>
      <c r="AC182" s="38"/>
      <c r="AD182" s="38"/>
      <c r="AE182" s="38"/>
      <c r="AF182" s="38"/>
      <c r="AG182" s="38"/>
      <c r="AH182" s="38"/>
      <c r="AI182" s="38"/>
      <c r="AJ182" s="38"/>
      <c r="AK182" s="38"/>
      <c r="AL182" s="38"/>
      <c r="AM182" s="38"/>
      <c r="AN182" s="38"/>
      <c r="AO182" s="38"/>
      <c r="AP182" s="38"/>
      <c r="AQ182" s="38"/>
      <c r="AR182" s="38"/>
      <c r="AS182" s="38"/>
      <c r="AT182" s="38"/>
      <c r="AU182" s="38"/>
      <c r="AV182" s="38"/>
      <c r="AW182" s="38"/>
      <c r="AX182" s="38"/>
      <c r="AY182" s="38"/>
      <c r="AZ182" s="38"/>
      <c r="BA182" s="38"/>
      <c r="BB182" s="38"/>
      <c r="BC182" s="38"/>
      <c r="BD182" s="38"/>
      <c r="BE182" s="38"/>
      <c r="BF182" s="38"/>
      <c r="BG182" s="38"/>
      <c r="BH182" s="38"/>
      <c r="BI182" s="38"/>
      <c r="BJ182" s="107">
        <f t="shared" si="56"/>
        <v>208623.5</v>
      </c>
      <c r="BK182" s="107">
        <f t="shared" si="57"/>
        <v>191849.53999999998</v>
      </c>
      <c r="BL182" s="108">
        <f t="shared" si="58"/>
        <v>31876.8144065245</v>
      </c>
      <c r="BM182" s="65">
        <f t="shared" si="59"/>
        <v>0.16615528192835127</v>
      </c>
      <c r="BN182" s="66">
        <f t="shared" si="66"/>
        <v>175314.28571428571</v>
      </c>
      <c r="BO182" s="66">
        <f t="shared" si="67"/>
        <v>33309.714285714283</v>
      </c>
      <c r="BP182" s="109">
        <f t="shared" si="64"/>
        <v>208624</v>
      </c>
      <c r="BQ182" s="76">
        <f t="shared" si="65"/>
        <v>1043120</v>
      </c>
      <c r="BR182" s="110" t="s">
        <v>902</v>
      </c>
    </row>
    <row r="183" spans="1:70" ht="119" x14ac:dyDescent="0.2">
      <c r="A183" s="63">
        <v>179</v>
      </c>
      <c r="B183" s="126" t="s">
        <v>802</v>
      </c>
      <c r="C183" s="157" t="s">
        <v>803</v>
      </c>
      <c r="D183" s="63" t="s">
        <v>7</v>
      </c>
      <c r="E183" s="63">
        <v>1</v>
      </c>
      <c r="F183" s="38"/>
      <c r="G183" s="38"/>
      <c r="H183" s="38"/>
      <c r="I183" s="38"/>
      <c r="J183" s="38"/>
      <c r="K183" s="38"/>
      <c r="L183" s="38"/>
      <c r="M183" s="38"/>
      <c r="N183" s="38"/>
      <c r="O183" s="38"/>
      <c r="P183" s="38"/>
      <c r="Q183" s="38"/>
      <c r="R183" s="38"/>
      <c r="S183" s="38"/>
      <c r="T183" s="38"/>
      <c r="U183" s="38"/>
      <c r="V183" s="38"/>
      <c r="W183" s="38"/>
      <c r="X183" s="38"/>
      <c r="Y183" s="38"/>
      <c r="Z183" s="38"/>
      <c r="AA183" s="38"/>
      <c r="AB183" s="38"/>
      <c r="AC183" s="38"/>
      <c r="AD183" s="38"/>
      <c r="AE183" s="38"/>
      <c r="AF183" s="38"/>
      <c r="AG183" s="38"/>
      <c r="AH183" s="38"/>
      <c r="AI183" s="38"/>
      <c r="AJ183" s="38"/>
      <c r="AK183" s="38"/>
      <c r="AL183" s="38"/>
      <c r="AM183" s="38"/>
      <c r="AN183" s="38"/>
      <c r="AO183" s="38"/>
      <c r="AP183" s="38"/>
      <c r="AQ183" s="38"/>
      <c r="AR183" s="38"/>
      <c r="AS183" s="38"/>
      <c r="AT183" s="38"/>
      <c r="AU183" s="38"/>
      <c r="AV183" s="38"/>
      <c r="AW183" s="38"/>
      <c r="AX183" s="38"/>
      <c r="AY183" s="38">
        <v>403588.5</v>
      </c>
      <c r="AZ183" s="38">
        <v>403588.5</v>
      </c>
      <c r="BA183" s="38">
        <v>466200</v>
      </c>
      <c r="BB183" s="38"/>
      <c r="BC183" s="38"/>
      <c r="BD183" s="38"/>
      <c r="BE183" s="38"/>
      <c r="BF183" s="38"/>
      <c r="BG183" s="38"/>
      <c r="BH183" s="38"/>
      <c r="BI183" s="38"/>
      <c r="BJ183" s="107">
        <f t="shared" si="56"/>
        <v>403588.5</v>
      </c>
      <c r="BK183" s="107">
        <f t="shared" si="57"/>
        <v>424459</v>
      </c>
      <c r="BL183" s="108">
        <f t="shared" si="58"/>
        <v>36148.76637936625</v>
      </c>
      <c r="BM183" s="65">
        <f t="shared" si="59"/>
        <v>8.5164330075145664E-2</v>
      </c>
      <c r="BN183" s="66">
        <f t="shared" si="66"/>
        <v>356688.23529411765</v>
      </c>
      <c r="BO183" s="66">
        <f t="shared" si="67"/>
        <v>67770.76470588235</v>
      </c>
      <c r="BP183" s="109">
        <f t="shared" si="64"/>
        <v>424459</v>
      </c>
      <c r="BQ183" s="76">
        <f t="shared" si="65"/>
        <v>424459</v>
      </c>
      <c r="BR183" s="110" t="s">
        <v>903</v>
      </c>
    </row>
    <row r="184" spans="1:70" ht="136" x14ac:dyDescent="0.2">
      <c r="A184" s="63">
        <v>180</v>
      </c>
      <c r="B184" s="126" t="s">
        <v>838</v>
      </c>
      <c r="C184" s="157" t="s">
        <v>804</v>
      </c>
      <c r="D184" s="63" t="s">
        <v>7</v>
      </c>
      <c r="E184" s="63">
        <v>5</v>
      </c>
      <c r="F184" s="89">
        <v>300000</v>
      </c>
      <c r="G184" s="70">
        <f t="shared" ref="G184" si="77">((F184*5.1%)+F184)</f>
        <v>315300</v>
      </c>
      <c r="H184" s="89">
        <v>300000</v>
      </c>
      <c r="I184" s="70">
        <f t="shared" ref="I184" si="78">((H184*5.1%)+H184)</f>
        <v>315300</v>
      </c>
      <c r="J184" s="89">
        <v>285600</v>
      </c>
      <c r="K184" s="70">
        <f t="shared" ref="K184" si="79">((J184*5.1%)+J184)</f>
        <v>300165.59999999998</v>
      </c>
      <c r="L184" s="38"/>
      <c r="M184" s="38"/>
      <c r="N184" s="38"/>
      <c r="O184" s="38"/>
      <c r="P184" s="38"/>
      <c r="Q184" s="38"/>
      <c r="R184" s="38"/>
      <c r="S184" s="38"/>
      <c r="T184" s="38"/>
      <c r="U184" s="38"/>
      <c r="V184" s="38"/>
      <c r="W184" s="38"/>
      <c r="X184" s="38"/>
      <c r="Y184" s="38"/>
      <c r="Z184" s="38"/>
      <c r="AA184" s="38"/>
      <c r="AB184" s="38"/>
      <c r="AC184" s="38"/>
      <c r="AD184" s="38"/>
      <c r="AE184" s="38"/>
      <c r="AF184" s="38"/>
      <c r="AG184" s="38"/>
      <c r="AH184" s="38"/>
      <c r="AI184" s="38"/>
      <c r="AJ184" s="38"/>
      <c r="AK184" s="38"/>
      <c r="AL184" s="38"/>
      <c r="AM184" s="38"/>
      <c r="AN184" s="38"/>
      <c r="AO184" s="38"/>
      <c r="AP184" s="38"/>
      <c r="AQ184" s="38"/>
      <c r="AR184" s="38"/>
      <c r="AS184" s="38"/>
      <c r="AT184" s="38"/>
      <c r="AU184" s="38"/>
      <c r="AV184" s="38"/>
      <c r="AW184" s="38"/>
      <c r="AX184" s="38"/>
      <c r="AY184" s="38"/>
      <c r="AZ184" s="38"/>
      <c r="BA184" s="38"/>
      <c r="BB184" s="38"/>
      <c r="BC184" s="38"/>
      <c r="BD184" s="38"/>
      <c r="BE184" s="38"/>
      <c r="BF184" s="38"/>
      <c r="BG184" s="38"/>
      <c r="BH184" s="38"/>
      <c r="BI184" s="38"/>
      <c r="BJ184" s="107">
        <f t="shared" si="56"/>
        <v>315300</v>
      </c>
      <c r="BK184" s="107">
        <f t="shared" si="57"/>
        <v>310255.2</v>
      </c>
      <c r="BL184" s="108">
        <f t="shared" si="58"/>
        <v>8737.8499140234853</v>
      </c>
      <c r="BM184" s="65">
        <f t="shared" si="59"/>
        <v>2.8163427765347641E-2</v>
      </c>
      <c r="BN184" s="66">
        <f t="shared" si="66"/>
        <v>260719.32773109246</v>
      </c>
      <c r="BO184" s="66">
        <f t="shared" si="67"/>
        <v>49536.672268907569</v>
      </c>
      <c r="BP184" s="109">
        <f t="shared" si="64"/>
        <v>310256</v>
      </c>
      <c r="BQ184" s="76">
        <f t="shared" si="65"/>
        <v>1551280</v>
      </c>
      <c r="BR184" s="110" t="s">
        <v>903</v>
      </c>
    </row>
    <row r="185" spans="1:70" ht="170" x14ac:dyDescent="0.2">
      <c r="A185" s="63">
        <v>181</v>
      </c>
      <c r="B185" s="126" t="s">
        <v>759</v>
      </c>
      <c r="C185" s="157" t="s">
        <v>1167</v>
      </c>
      <c r="D185" s="63" t="s">
        <v>1168</v>
      </c>
      <c r="E185" s="63">
        <v>150</v>
      </c>
      <c r="F185" s="38"/>
      <c r="G185" s="38"/>
      <c r="H185" s="38"/>
      <c r="I185" s="38"/>
      <c r="J185" s="38"/>
      <c r="K185" s="38"/>
      <c r="L185" s="38"/>
      <c r="M185" s="38"/>
      <c r="N185" s="38"/>
      <c r="O185" s="38"/>
      <c r="P185" s="38"/>
      <c r="Q185" s="38"/>
      <c r="R185" s="38"/>
      <c r="S185" s="38"/>
      <c r="T185" s="38"/>
      <c r="U185" s="38"/>
      <c r="V185" s="38"/>
      <c r="W185" s="38"/>
      <c r="X185" s="38"/>
      <c r="Y185" s="38"/>
      <c r="Z185" s="38"/>
      <c r="AA185" s="38"/>
      <c r="AB185" s="38"/>
      <c r="AC185" s="38"/>
      <c r="AD185" s="38"/>
      <c r="AE185" s="38"/>
      <c r="AF185" s="38"/>
      <c r="AG185" s="38"/>
      <c r="AH185" s="38"/>
      <c r="AI185" s="38"/>
      <c r="AJ185" s="38"/>
      <c r="AK185" s="38"/>
      <c r="AL185" s="38">
        <v>4100</v>
      </c>
      <c r="AM185" s="38"/>
      <c r="AN185" s="38"/>
      <c r="AO185" s="38"/>
      <c r="AP185" s="38"/>
      <c r="AQ185" s="38"/>
      <c r="AR185" s="38"/>
      <c r="AS185" s="38"/>
      <c r="AT185" s="38"/>
      <c r="AU185" s="38"/>
      <c r="AV185" s="38"/>
      <c r="AW185" s="38"/>
      <c r="AX185" s="38"/>
      <c r="AY185" s="38">
        <v>5950</v>
      </c>
      <c r="AZ185" s="38">
        <v>7140</v>
      </c>
      <c r="BA185" s="38">
        <v>7560</v>
      </c>
      <c r="BB185" s="38"/>
      <c r="BC185" s="38">
        <v>5800</v>
      </c>
      <c r="BD185" s="38"/>
      <c r="BE185" s="38"/>
      <c r="BF185" s="38"/>
      <c r="BG185" s="38"/>
      <c r="BH185" s="38"/>
      <c r="BI185" s="38"/>
      <c r="BJ185" s="107">
        <f t="shared" si="56"/>
        <v>5950</v>
      </c>
      <c r="BK185" s="107">
        <f t="shared" si="57"/>
        <v>6110</v>
      </c>
      <c r="BL185" s="108">
        <f t="shared" si="58"/>
        <v>1353.255334369682</v>
      </c>
      <c r="BM185" s="65">
        <f t="shared" si="59"/>
        <v>0.22148205145166647</v>
      </c>
      <c r="BN185" s="109">
        <f>ROUNDUP(IF(BM185&lt;15%,BK185,BJ185),0)</f>
        <v>5950</v>
      </c>
      <c r="BO185" s="66">
        <v>0</v>
      </c>
      <c r="BP185" s="109">
        <f t="shared" ref="BP185:BP187" si="80">BN185+BO185</f>
        <v>5950</v>
      </c>
      <c r="BQ185" s="76">
        <f>BN185*E185</f>
        <v>892500</v>
      </c>
      <c r="BR185" s="110" t="s">
        <v>902</v>
      </c>
    </row>
    <row r="186" spans="1:70" ht="153" x14ac:dyDescent="0.2">
      <c r="A186" s="63">
        <v>182</v>
      </c>
      <c r="B186" s="126" t="s">
        <v>759</v>
      </c>
      <c r="C186" s="157" t="s">
        <v>1169</v>
      </c>
      <c r="D186" s="63" t="s">
        <v>1168</v>
      </c>
      <c r="E186" s="63">
        <v>150</v>
      </c>
      <c r="F186" s="38"/>
      <c r="G186" s="38"/>
      <c r="H186" s="38"/>
      <c r="I186" s="38"/>
      <c r="J186" s="38"/>
      <c r="K186" s="38"/>
      <c r="L186" s="38"/>
      <c r="M186" s="38"/>
      <c r="N186" s="38"/>
      <c r="O186" s="38"/>
      <c r="P186" s="38"/>
      <c r="Q186" s="38"/>
      <c r="R186" s="38"/>
      <c r="S186" s="38"/>
      <c r="T186" s="38"/>
      <c r="U186" s="38"/>
      <c r="V186" s="38"/>
      <c r="W186" s="38"/>
      <c r="X186" s="38"/>
      <c r="Y186" s="38"/>
      <c r="Z186" s="38"/>
      <c r="AA186" s="38"/>
      <c r="AB186" s="38"/>
      <c r="AC186" s="38"/>
      <c r="AD186" s="38"/>
      <c r="AE186" s="38"/>
      <c r="AF186" s="38"/>
      <c r="AG186" s="38"/>
      <c r="AH186" s="38"/>
      <c r="AI186" s="38"/>
      <c r="AJ186" s="38"/>
      <c r="AK186" s="38"/>
      <c r="AL186" s="38">
        <v>10500</v>
      </c>
      <c r="AM186" s="38"/>
      <c r="AN186" s="38"/>
      <c r="AO186" s="38"/>
      <c r="AP186" s="38"/>
      <c r="AQ186" s="38"/>
      <c r="AR186" s="38"/>
      <c r="AS186" s="38"/>
      <c r="AT186" s="38"/>
      <c r="AU186" s="38"/>
      <c r="AV186" s="38"/>
      <c r="AW186" s="38"/>
      <c r="AX186" s="38"/>
      <c r="AY186" s="38">
        <v>15470</v>
      </c>
      <c r="AZ186" s="38">
        <v>14280</v>
      </c>
      <c r="BA186" s="38">
        <v>16020</v>
      </c>
      <c r="BB186" s="38"/>
      <c r="BC186" s="38">
        <v>12800</v>
      </c>
      <c r="BD186" s="38"/>
      <c r="BE186" s="38"/>
      <c r="BF186" s="38"/>
      <c r="BG186" s="38"/>
      <c r="BH186" s="38"/>
      <c r="BI186" s="38"/>
      <c r="BJ186" s="107">
        <f t="shared" si="56"/>
        <v>14280</v>
      </c>
      <c r="BK186" s="107">
        <f t="shared" si="57"/>
        <v>13814</v>
      </c>
      <c r="BL186" s="108">
        <f t="shared" si="58"/>
        <v>2226.9216420880193</v>
      </c>
      <c r="BM186" s="65">
        <f t="shared" si="59"/>
        <v>0.1612075895532083</v>
      </c>
      <c r="BN186" s="109">
        <f>ROUNDUP(IF(BM186&lt;15%,BK186,BJ186),0)</f>
        <v>14280</v>
      </c>
      <c r="BO186" s="66">
        <v>0</v>
      </c>
      <c r="BP186" s="109">
        <f t="shared" si="80"/>
        <v>14280</v>
      </c>
      <c r="BQ186" s="76">
        <f>BN186*E186</f>
        <v>2142000</v>
      </c>
      <c r="BR186" s="110" t="s">
        <v>902</v>
      </c>
    </row>
    <row r="187" spans="1:70" ht="136" x14ac:dyDescent="0.2">
      <c r="A187" s="63">
        <v>183</v>
      </c>
      <c r="B187" s="126" t="s">
        <v>805</v>
      </c>
      <c r="C187" s="157" t="s">
        <v>806</v>
      </c>
      <c r="D187" s="63" t="s">
        <v>807</v>
      </c>
      <c r="E187" s="63">
        <v>1501</v>
      </c>
      <c r="F187" s="38"/>
      <c r="G187" s="38"/>
      <c r="H187" s="38"/>
      <c r="I187" s="38"/>
      <c r="J187" s="38"/>
      <c r="K187" s="38"/>
      <c r="L187" s="38"/>
      <c r="M187" s="38"/>
      <c r="N187" s="38"/>
      <c r="O187" s="38"/>
      <c r="P187" s="38"/>
      <c r="Q187" s="38"/>
      <c r="R187" s="38"/>
      <c r="S187" s="38"/>
      <c r="T187" s="38"/>
      <c r="U187" s="38"/>
      <c r="V187" s="38"/>
      <c r="W187" s="38"/>
      <c r="X187" s="38"/>
      <c r="Y187" s="38"/>
      <c r="Z187" s="38"/>
      <c r="AA187" s="38"/>
      <c r="AB187" s="38"/>
      <c r="AC187" s="38"/>
      <c r="AD187" s="38"/>
      <c r="AE187" s="38"/>
      <c r="AF187" s="38"/>
      <c r="AG187" s="38"/>
      <c r="AH187" s="38"/>
      <c r="AI187" s="38"/>
      <c r="AJ187" s="38"/>
      <c r="AK187" s="38"/>
      <c r="AL187" s="38">
        <v>22600</v>
      </c>
      <c r="AM187" s="38"/>
      <c r="AN187" s="38"/>
      <c r="AO187" s="38"/>
      <c r="AP187" s="38"/>
      <c r="AQ187" s="38"/>
      <c r="AR187" s="38"/>
      <c r="AS187" s="38"/>
      <c r="AT187" s="38"/>
      <c r="AU187" s="38"/>
      <c r="AV187" s="38"/>
      <c r="AW187" s="38"/>
      <c r="AX187" s="38"/>
      <c r="AY187" s="38">
        <v>26180</v>
      </c>
      <c r="AZ187" s="38">
        <v>26180</v>
      </c>
      <c r="BA187" s="38">
        <v>38520</v>
      </c>
      <c r="BB187" s="38"/>
      <c r="BC187" s="38"/>
      <c r="BD187" s="38"/>
      <c r="BE187" s="38"/>
      <c r="BF187" s="38"/>
      <c r="BG187" s="38"/>
      <c r="BH187" s="38"/>
      <c r="BI187" s="38"/>
      <c r="BJ187" s="107">
        <f t="shared" si="56"/>
        <v>26180</v>
      </c>
      <c r="BK187" s="107">
        <f t="shared" si="57"/>
        <v>28370</v>
      </c>
      <c r="BL187" s="108">
        <f t="shared" si="58"/>
        <v>6973.9419747132015</v>
      </c>
      <c r="BM187" s="65">
        <f t="shared" si="59"/>
        <v>0.24582100721583369</v>
      </c>
      <c r="BN187" s="109">
        <f>ROUNDUP(IF(BM187&lt;15%,BK187,BJ187),0)</f>
        <v>26180</v>
      </c>
      <c r="BO187" s="66">
        <v>0</v>
      </c>
      <c r="BP187" s="109">
        <f t="shared" si="80"/>
        <v>26180</v>
      </c>
      <c r="BQ187" s="76">
        <f>BN187*E187</f>
        <v>39296180</v>
      </c>
      <c r="BR187" s="110" t="s">
        <v>902</v>
      </c>
    </row>
    <row r="188" spans="1:70" ht="136" x14ac:dyDescent="0.2">
      <c r="A188" s="63">
        <v>184</v>
      </c>
      <c r="B188" s="126" t="s">
        <v>808</v>
      </c>
      <c r="C188" s="157" t="s">
        <v>1068</v>
      </c>
      <c r="D188" s="63" t="s">
        <v>7</v>
      </c>
      <c r="E188" s="63">
        <v>1</v>
      </c>
      <c r="F188" s="38"/>
      <c r="G188" s="38"/>
      <c r="H188" s="38"/>
      <c r="I188" s="38"/>
      <c r="J188" s="38"/>
      <c r="K188" s="38"/>
      <c r="L188" s="38"/>
      <c r="M188" s="38"/>
      <c r="N188" s="38"/>
      <c r="O188" s="38"/>
      <c r="P188" s="38"/>
      <c r="Q188" s="38"/>
      <c r="R188" s="38"/>
      <c r="S188" s="38"/>
      <c r="T188" s="38"/>
      <c r="U188" s="38"/>
      <c r="V188" s="38"/>
      <c r="W188" s="38"/>
      <c r="X188" s="38"/>
      <c r="Y188" s="38"/>
      <c r="Z188" s="38"/>
      <c r="AA188" s="38"/>
      <c r="AB188" s="38"/>
      <c r="AC188" s="38"/>
      <c r="AD188" s="38"/>
      <c r="AE188" s="38"/>
      <c r="AF188" s="38"/>
      <c r="AG188" s="38"/>
      <c r="AH188" s="38"/>
      <c r="AI188" s="38"/>
      <c r="AJ188" s="38"/>
      <c r="AK188" s="38"/>
      <c r="AL188" s="38"/>
      <c r="AM188" s="38"/>
      <c r="AN188" s="38"/>
      <c r="AO188" s="38"/>
      <c r="AP188" s="38"/>
      <c r="AQ188" s="38"/>
      <c r="AR188" s="38">
        <v>155000</v>
      </c>
      <c r="AS188" s="38"/>
      <c r="AT188" s="38"/>
      <c r="AU188" s="38"/>
      <c r="AV188" s="38"/>
      <c r="AW188" s="38"/>
      <c r="AX188" s="38"/>
      <c r="AY188" s="38">
        <v>134529.5</v>
      </c>
      <c r="AZ188" s="38">
        <v>134529.5</v>
      </c>
      <c r="BA188" s="38">
        <v>81000</v>
      </c>
      <c r="BB188" s="38"/>
      <c r="BC188" s="38"/>
      <c r="BD188" s="38"/>
      <c r="BE188" s="38"/>
      <c r="BF188" s="38"/>
      <c r="BG188" s="38"/>
      <c r="BH188" s="38"/>
      <c r="BI188" s="38"/>
      <c r="BJ188" s="107">
        <f t="shared" si="56"/>
        <v>134529.5</v>
      </c>
      <c r="BK188" s="107">
        <f t="shared" si="57"/>
        <v>126264.75</v>
      </c>
      <c r="BL188" s="108">
        <f t="shared" si="58"/>
        <v>31681.878996517866</v>
      </c>
      <c r="BM188" s="65">
        <f t="shared" si="59"/>
        <v>0.25091626124090743</v>
      </c>
      <c r="BN188" s="66">
        <f t="shared" si="66"/>
        <v>113050.42016806723</v>
      </c>
      <c r="BO188" s="66">
        <f t="shared" si="67"/>
        <v>21479.579831932773</v>
      </c>
      <c r="BP188" s="109">
        <f t="shared" ref="BP188:BP202" si="81">ROUNDUP(IF(BM188&lt;15%,BK188,BJ188),0)</f>
        <v>134530</v>
      </c>
      <c r="BQ188" s="76">
        <f t="shared" ref="BQ188:BQ202" si="82">BP188*E188</f>
        <v>134530</v>
      </c>
      <c r="BR188" s="110" t="s">
        <v>902</v>
      </c>
    </row>
    <row r="189" spans="1:70" ht="119" x14ac:dyDescent="0.2">
      <c r="A189" s="63">
        <v>185</v>
      </c>
      <c r="B189" s="126" t="s">
        <v>809</v>
      </c>
      <c r="C189" s="157" t="s">
        <v>1069</v>
      </c>
      <c r="D189" s="63" t="s">
        <v>7</v>
      </c>
      <c r="E189" s="63">
        <v>10</v>
      </c>
      <c r="F189" s="38"/>
      <c r="G189" s="38"/>
      <c r="H189" s="38"/>
      <c r="I189" s="38"/>
      <c r="J189" s="38"/>
      <c r="K189" s="38"/>
      <c r="L189" s="38"/>
      <c r="M189" s="38"/>
      <c r="N189" s="38"/>
      <c r="O189" s="38"/>
      <c r="P189" s="38"/>
      <c r="Q189" s="38"/>
      <c r="R189" s="38"/>
      <c r="S189" s="38"/>
      <c r="T189" s="38"/>
      <c r="U189" s="38"/>
      <c r="V189" s="38"/>
      <c r="W189" s="38"/>
      <c r="X189" s="38"/>
      <c r="Y189" s="38"/>
      <c r="Z189" s="38"/>
      <c r="AA189" s="38"/>
      <c r="AB189" s="38"/>
      <c r="AC189" s="38"/>
      <c r="AD189" s="38"/>
      <c r="AE189" s="38"/>
      <c r="AF189" s="38"/>
      <c r="AG189" s="38"/>
      <c r="AH189" s="38"/>
      <c r="AI189" s="38"/>
      <c r="AJ189" s="38"/>
      <c r="AK189" s="38"/>
      <c r="AL189" s="38"/>
      <c r="AM189" s="38"/>
      <c r="AN189" s="38"/>
      <c r="AO189" s="38"/>
      <c r="AP189" s="38"/>
      <c r="AQ189" s="38"/>
      <c r="AR189" s="38">
        <v>155000</v>
      </c>
      <c r="AS189" s="38"/>
      <c r="AT189" s="38"/>
      <c r="AU189" s="38"/>
      <c r="AV189" s="38"/>
      <c r="AW189" s="38"/>
      <c r="AX189" s="38"/>
      <c r="AY189" s="38">
        <v>134529.5</v>
      </c>
      <c r="AZ189" s="38">
        <v>134529.5</v>
      </c>
      <c r="BA189" s="38">
        <v>81000</v>
      </c>
      <c r="BB189" s="38"/>
      <c r="BC189" s="38"/>
      <c r="BD189" s="38"/>
      <c r="BE189" s="38"/>
      <c r="BF189" s="38"/>
      <c r="BG189" s="38"/>
      <c r="BH189" s="38"/>
      <c r="BI189" s="38"/>
      <c r="BJ189" s="107">
        <f t="shared" si="56"/>
        <v>134529.5</v>
      </c>
      <c r="BK189" s="107">
        <f t="shared" si="57"/>
        <v>126264.75</v>
      </c>
      <c r="BL189" s="108">
        <f t="shared" si="58"/>
        <v>31681.878996517866</v>
      </c>
      <c r="BM189" s="65">
        <f t="shared" si="59"/>
        <v>0.25091626124090743</v>
      </c>
      <c r="BN189" s="66">
        <f t="shared" si="66"/>
        <v>113050.42016806723</v>
      </c>
      <c r="BO189" s="66">
        <f t="shared" si="67"/>
        <v>21479.579831932773</v>
      </c>
      <c r="BP189" s="109">
        <f t="shared" si="81"/>
        <v>134530</v>
      </c>
      <c r="BQ189" s="76">
        <f t="shared" si="82"/>
        <v>1345300</v>
      </c>
      <c r="BR189" s="110" t="s">
        <v>902</v>
      </c>
    </row>
    <row r="190" spans="1:70" ht="119" x14ac:dyDescent="0.2">
      <c r="A190" s="63">
        <v>186</v>
      </c>
      <c r="B190" s="126" t="s">
        <v>810</v>
      </c>
      <c r="C190" s="157" t="s">
        <v>1069</v>
      </c>
      <c r="D190" s="63" t="s">
        <v>7</v>
      </c>
      <c r="E190" s="63">
        <v>14</v>
      </c>
      <c r="F190" s="38"/>
      <c r="G190" s="38"/>
      <c r="H190" s="38"/>
      <c r="I190" s="38"/>
      <c r="J190" s="38"/>
      <c r="K190" s="38"/>
      <c r="L190" s="38"/>
      <c r="M190" s="38"/>
      <c r="N190" s="38"/>
      <c r="O190" s="38"/>
      <c r="P190" s="38"/>
      <c r="Q190" s="38"/>
      <c r="R190" s="38"/>
      <c r="S190" s="38"/>
      <c r="T190" s="38"/>
      <c r="U190" s="38"/>
      <c r="V190" s="38"/>
      <c r="W190" s="38"/>
      <c r="X190" s="38"/>
      <c r="Y190" s="38"/>
      <c r="Z190" s="38"/>
      <c r="AA190" s="38"/>
      <c r="AB190" s="38"/>
      <c r="AC190" s="38"/>
      <c r="AD190" s="38"/>
      <c r="AE190" s="38"/>
      <c r="AF190" s="38"/>
      <c r="AG190" s="38"/>
      <c r="AH190" s="38"/>
      <c r="AI190" s="38"/>
      <c r="AJ190" s="38"/>
      <c r="AK190" s="38"/>
      <c r="AL190" s="38"/>
      <c r="AM190" s="38"/>
      <c r="AN190" s="38"/>
      <c r="AO190" s="38"/>
      <c r="AP190" s="38"/>
      <c r="AQ190" s="38"/>
      <c r="AR190" s="38">
        <v>155000</v>
      </c>
      <c r="AS190" s="38"/>
      <c r="AT190" s="38"/>
      <c r="AU190" s="38"/>
      <c r="AV190" s="38"/>
      <c r="AW190" s="38"/>
      <c r="AX190" s="38"/>
      <c r="AY190" s="38">
        <v>134529.5</v>
      </c>
      <c r="AZ190" s="38">
        <v>134529.5</v>
      </c>
      <c r="BA190" s="38">
        <v>81000</v>
      </c>
      <c r="BB190" s="38"/>
      <c r="BC190" s="38"/>
      <c r="BD190" s="38"/>
      <c r="BE190" s="38"/>
      <c r="BF190" s="38"/>
      <c r="BG190" s="38"/>
      <c r="BH190" s="38"/>
      <c r="BI190" s="38"/>
      <c r="BJ190" s="107">
        <f t="shared" si="56"/>
        <v>134529.5</v>
      </c>
      <c r="BK190" s="107">
        <f t="shared" si="57"/>
        <v>126264.75</v>
      </c>
      <c r="BL190" s="108">
        <f t="shared" si="58"/>
        <v>31681.878996517866</v>
      </c>
      <c r="BM190" s="65">
        <f t="shared" si="59"/>
        <v>0.25091626124090743</v>
      </c>
      <c r="BN190" s="66">
        <f t="shared" si="66"/>
        <v>113050.42016806723</v>
      </c>
      <c r="BO190" s="66">
        <f t="shared" si="67"/>
        <v>21479.579831932773</v>
      </c>
      <c r="BP190" s="109">
        <f t="shared" si="81"/>
        <v>134530</v>
      </c>
      <c r="BQ190" s="76">
        <f t="shared" si="82"/>
        <v>1883420</v>
      </c>
      <c r="BR190" s="110" t="s">
        <v>902</v>
      </c>
    </row>
    <row r="191" spans="1:70" ht="119" x14ac:dyDescent="0.2">
      <c r="A191" s="63">
        <v>187</v>
      </c>
      <c r="B191" s="126" t="s">
        <v>811</v>
      </c>
      <c r="C191" s="157" t="s">
        <v>1070</v>
      </c>
      <c r="D191" s="63" t="s">
        <v>7</v>
      </c>
      <c r="E191" s="63">
        <v>5</v>
      </c>
      <c r="F191" s="38"/>
      <c r="G191" s="38"/>
      <c r="H191" s="38"/>
      <c r="I191" s="38"/>
      <c r="J191" s="38"/>
      <c r="K191" s="38"/>
      <c r="L191" s="38"/>
      <c r="M191" s="38"/>
      <c r="N191" s="38"/>
      <c r="O191" s="38"/>
      <c r="P191" s="38"/>
      <c r="Q191" s="38"/>
      <c r="R191" s="38"/>
      <c r="S191" s="38"/>
      <c r="T191" s="38"/>
      <c r="U191" s="38"/>
      <c r="V191" s="38"/>
      <c r="W191" s="38"/>
      <c r="X191" s="38"/>
      <c r="Y191" s="38"/>
      <c r="Z191" s="38"/>
      <c r="AA191" s="38"/>
      <c r="AB191" s="38"/>
      <c r="AC191" s="38"/>
      <c r="AD191" s="38"/>
      <c r="AE191" s="38"/>
      <c r="AF191" s="38"/>
      <c r="AG191" s="38"/>
      <c r="AH191" s="38"/>
      <c r="AI191" s="38"/>
      <c r="AJ191" s="38"/>
      <c r="AK191" s="38"/>
      <c r="AL191" s="38"/>
      <c r="AM191" s="38"/>
      <c r="AN191" s="38"/>
      <c r="AO191" s="38"/>
      <c r="AP191" s="38"/>
      <c r="AQ191" s="38"/>
      <c r="AR191" s="38">
        <v>165000</v>
      </c>
      <c r="AS191" s="38"/>
      <c r="AT191" s="38"/>
      <c r="AU191" s="38"/>
      <c r="AV191" s="38"/>
      <c r="AW191" s="38"/>
      <c r="AX191" s="38"/>
      <c r="AY191" s="38">
        <v>134529.5</v>
      </c>
      <c r="AZ191" s="38">
        <v>134529.5</v>
      </c>
      <c r="BA191" s="38">
        <v>81000</v>
      </c>
      <c r="BB191" s="38"/>
      <c r="BC191" s="38"/>
      <c r="BD191" s="38"/>
      <c r="BE191" s="38"/>
      <c r="BF191" s="38"/>
      <c r="BG191" s="38"/>
      <c r="BH191" s="38"/>
      <c r="BI191" s="38"/>
      <c r="BJ191" s="107">
        <f t="shared" si="56"/>
        <v>134529.5</v>
      </c>
      <c r="BK191" s="107">
        <f t="shared" si="57"/>
        <v>128764.75</v>
      </c>
      <c r="BL191" s="108">
        <f t="shared" si="58"/>
        <v>34932.932743806858</v>
      </c>
      <c r="BM191" s="65">
        <f t="shared" si="59"/>
        <v>0.27129266933541096</v>
      </c>
      <c r="BN191" s="66">
        <f t="shared" si="66"/>
        <v>113050.42016806723</v>
      </c>
      <c r="BO191" s="66">
        <f t="shared" si="67"/>
        <v>21479.579831932773</v>
      </c>
      <c r="BP191" s="109">
        <f t="shared" si="81"/>
        <v>134530</v>
      </c>
      <c r="BQ191" s="76">
        <f t="shared" si="82"/>
        <v>672650</v>
      </c>
      <c r="BR191" s="110" t="s">
        <v>902</v>
      </c>
    </row>
    <row r="192" spans="1:70" ht="68" x14ac:dyDescent="0.2">
      <c r="A192" s="63">
        <v>188</v>
      </c>
      <c r="B192" s="126" t="s">
        <v>812</v>
      </c>
      <c r="C192" s="157" t="s">
        <v>1158</v>
      </c>
      <c r="D192" s="63" t="s">
        <v>414</v>
      </c>
      <c r="E192" s="63">
        <v>1</v>
      </c>
      <c r="F192" s="38"/>
      <c r="G192" s="38"/>
      <c r="H192" s="38"/>
      <c r="I192" s="38"/>
      <c r="J192" s="38"/>
      <c r="K192" s="38"/>
      <c r="L192" s="38"/>
      <c r="M192" s="38"/>
      <c r="N192" s="38"/>
      <c r="O192" s="38"/>
      <c r="P192" s="38"/>
      <c r="Q192" s="38"/>
      <c r="R192" s="38"/>
      <c r="S192" s="38"/>
      <c r="T192" s="38"/>
      <c r="U192" s="38"/>
      <c r="V192" s="38"/>
      <c r="W192" s="38"/>
      <c r="X192" s="38"/>
      <c r="Y192" s="38"/>
      <c r="Z192" s="38"/>
      <c r="AA192" s="38"/>
      <c r="AB192" s="38"/>
      <c r="AC192" s="38"/>
      <c r="AD192" s="38"/>
      <c r="AE192" s="38"/>
      <c r="AF192" s="38"/>
      <c r="AG192" s="38"/>
      <c r="AH192" s="38"/>
      <c r="AI192" s="38"/>
      <c r="AJ192" s="38"/>
      <c r="AK192" s="38"/>
      <c r="AL192" s="38"/>
      <c r="AM192" s="38"/>
      <c r="AN192" s="38"/>
      <c r="AO192" s="38"/>
      <c r="AP192" s="38"/>
      <c r="AQ192" s="38"/>
      <c r="AR192" s="38">
        <v>120000</v>
      </c>
      <c r="AS192" s="38"/>
      <c r="AT192" s="38"/>
      <c r="AU192" s="38"/>
      <c r="AV192" s="38"/>
      <c r="AW192" s="38"/>
      <c r="AX192" s="38"/>
      <c r="AY192" s="38">
        <v>169932</v>
      </c>
      <c r="AZ192" s="38">
        <v>169932</v>
      </c>
      <c r="BA192" s="38">
        <v>135000</v>
      </c>
      <c r="BB192" s="38"/>
      <c r="BC192" s="38"/>
      <c r="BD192" s="38"/>
      <c r="BE192" s="38"/>
      <c r="BF192" s="38"/>
      <c r="BG192" s="38"/>
      <c r="BH192" s="38"/>
      <c r="BI192" s="38"/>
      <c r="BJ192" s="107">
        <f t="shared" si="56"/>
        <v>152466</v>
      </c>
      <c r="BK192" s="107">
        <f t="shared" si="57"/>
        <v>148716</v>
      </c>
      <c r="BL192" s="108">
        <f t="shared" si="58"/>
        <v>25251.895136801118</v>
      </c>
      <c r="BM192" s="65">
        <f t="shared" si="59"/>
        <v>0.16979945087819145</v>
      </c>
      <c r="BN192" s="66">
        <f>BP192/1.19</f>
        <v>128122.68907563026</v>
      </c>
      <c r="BO192" s="66">
        <f t="shared" si="67"/>
        <v>24343.310924369751</v>
      </c>
      <c r="BP192" s="109">
        <f>ROUNDUP(IF(BM192&lt;15%,BK192,BJ192),0)</f>
        <v>152466</v>
      </c>
      <c r="BQ192" s="76">
        <f t="shared" si="82"/>
        <v>152466</v>
      </c>
      <c r="BR192" s="110" t="s">
        <v>902</v>
      </c>
    </row>
    <row r="193" spans="1:70" ht="68" x14ac:dyDescent="0.2">
      <c r="A193" s="63">
        <v>189</v>
      </c>
      <c r="B193" s="126" t="s">
        <v>813</v>
      </c>
      <c r="C193" s="157" t="s">
        <v>1158</v>
      </c>
      <c r="D193" s="63" t="s">
        <v>414</v>
      </c>
      <c r="E193" s="63">
        <v>3</v>
      </c>
      <c r="F193" s="38"/>
      <c r="G193" s="38"/>
      <c r="H193" s="38"/>
      <c r="I193" s="38"/>
      <c r="J193" s="38"/>
      <c r="K193" s="38"/>
      <c r="L193" s="38"/>
      <c r="M193" s="38"/>
      <c r="N193" s="38"/>
      <c r="O193" s="38"/>
      <c r="P193" s="38"/>
      <c r="Q193" s="38"/>
      <c r="R193" s="38"/>
      <c r="S193" s="38"/>
      <c r="T193" s="38"/>
      <c r="U193" s="38"/>
      <c r="V193" s="38"/>
      <c r="W193" s="38"/>
      <c r="X193" s="38"/>
      <c r="Y193" s="38"/>
      <c r="Z193" s="38"/>
      <c r="AA193" s="38"/>
      <c r="AB193" s="38"/>
      <c r="AC193" s="38"/>
      <c r="AD193" s="38"/>
      <c r="AE193" s="38"/>
      <c r="AF193" s="38"/>
      <c r="AG193" s="38"/>
      <c r="AH193" s="38"/>
      <c r="AI193" s="38"/>
      <c r="AJ193" s="38"/>
      <c r="AK193" s="38"/>
      <c r="AL193" s="38"/>
      <c r="AM193" s="38"/>
      <c r="AN193" s="38"/>
      <c r="AO193" s="38"/>
      <c r="AP193" s="38"/>
      <c r="AQ193" s="38"/>
      <c r="AR193" s="38">
        <v>120000</v>
      </c>
      <c r="AS193" s="38"/>
      <c r="AT193" s="38"/>
      <c r="AU193" s="38"/>
      <c r="AV193" s="38"/>
      <c r="AW193" s="38"/>
      <c r="AX193" s="38"/>
      <c r="AY193" s="38">
        <v>169932</v>
      </c>
      <c r="AZ193" s="38">
        <v>169932</v>
      </c>
      <c r="BA193" s="38">
        <v>135000</v>
      </c>
      <c r="BB193" s="38"/>
      <c r="BC193" s="38"/>
      <c r="BD193" s="38"/>
      <c r="BE193" s="38"/>
      <c r="BF193" s="38"/>
      <c r="BG193" s="38"/>
      <c r="BH193" s="38"/>
      <c r="BI193" s="38"/>
      <c r="BJ193" s="107">
        <f t="shared" si="56"/>
        <v>152466</v>
      </c>
      <c r="BK193" s="107">
        <f t="shared" si="57"/>
        <v>148716</v>
      </c>
      <c r="BL193" s="108">
        <f t="shared" si="58"/>
        <v>25251.895136801118</v>
      </c>
      <c r="BM193" s="65">
        <f t="shared" si="59"/>
        <v>0.16979945087819145</v>
      </c>
      <c r="BN193" s="66">
        <f>BP193/1.19</f>
        <v>128122.68907563026</v>
      </c>
      <c r="BO193" s="66">
        <f t="shared" si="67"/>
        <v>24343.310924369751</v>
      </c>
      <c r="BP193" s="109">
        <f>ROUNDUP(IF(BM193&lt;15%,BK193,BJ193),0)</f>
        <v>152466</v>
      </c>
      <c r="BQ193" s="76">
        <f t="shared" si="82"/>
        <v>457398</v>
      </c>
      <c r="BR193" s="110" t="s">
        <v>902</v>
      </c>
    </row>
    <row r="194" spans="1:70" ht="68" x14ac:dyDescent="0.2">
      <c r="A194" s="63">
        <v>190</v>
      </c>
      <c r="B194" s="126" t="s">
        <v>814</v>
      </c>
      <c r="C194" s="157" t="s">
        <v>1158</v>
      </c>
      <c r="D194" s="63" t="s">
        <v>414</v>
      </c>
      <c r="E194" s="63">
        <v>6</v>
      </c>
      <c r="F194" s="38"/>
      <c r="G194" s="38"/>
      <c r="H194" s="38"/>
      <c r="I194" s="38"/>
      <c r="J194" s="38"/>
      <c r="K194" s="38"/>
      <c r="L194" s="38"/>
      <c r="M194" s="38"/>
      <c r="N194" s="38"/>
      <c r="O194" s="38"/>
      <c r="P194" s="38"/>
      <c r="Q194" s="38"/>
      <c r="R194" s="38"/>
      <c r="S194" s="38"/>
      <c r="T194" s="38"/>
      <c r="U194" s="38"/>
      <c r="V194" s="38"/>
      <c r="W194" s="38"/>
      <c r="X194" s="38"/>
      <c r="Y194" s="38"/>
      <c r="Z194" s="38"/>
      <c r="AA194" s="38"/>
      <c r="AB194" s="38"/>
      <c r="AC194" s="38"/>
      <c r="AD194" s="38"/>
      <c r="AE194" s="38"/>
      <c r="AF194" s="38"/>
      <c r="AG194" s="38"/>
      <c r="AH194" s="38"/>
      <c r="AI194" s="38"/>
      <c r="AJ194" s="38"/>
      <c r="AK194" s="38"/>
      <c r="AL194" s="38"/>
      <c r="AM194" s="38"/>
      <c r="AN194" s="38"/>
      <c r="AO194" s="38"/>
      <c r="AP194" s="38"/>
      <c r="AQ194" s="38"/>
      <c r="AR194" s="38">
        <v>120000</v>
      </c>
      <c r="AS194" s="38"/>
      <c r="AT194" s="38"/>
      <c r="AU194" s="38"/>
      <c r="AV194" s="38"/>
      <c r="AW194" s="38"/>
      <c r="AX194" s="38"/>
      <c r="AY194" s="38">
        <v>169932</v>
      </c>
      <c r="AZ194" s="38">
        <v>169932</v>
      </c>
      <c r="BA194" s="38">
        <v>135000</v>
      </c>
      <c r="BB194" s="38"/>
      <c r="BC194" s="38"/>
      <c r="BD194" s="38"/>
      <c r="BE194" s="38"/>
      <c r="BF194" s="38"/>
      <c r="BG194" s="38"/>
      <c r="BH194" s="38"/>
      <c r="BI194" s="38"/>
      <c r="BJ194" s="107">
        <f t="shared" si="56"/>
        <v>152466</v>
      </c>
      <c r="BK194" s="107">
        <f t="shared" si="57"/>
        <v>148716</v>
      </c>
      <c r="BL194" s="108">
        <f t="shared" si="58"/>
        <v>25251.895136801118</v>
      </c>
      <c r="BM194" s="65">
        <f t="shared" si="59"/>
        <v>0.16979945087819145</v>
      </c>
      <c r="BN194" s="66">
        <f>BP194/1.19</f>
        <v>128122.68907563026</v>
      </c>
      <c r="BO194" s="66">
        <f t="shared" si="67"/>
        <v>24343.310924369751</v>
      </c>
      <c r="BP194" s="109">
        <f>ROUNDUP(IF(BM194&lt;15%,BK194,BJ194),0)</f>
        <v>152466</v>
      </c>
      <c r="BQ194" s="76">
        <f t="shared" si="82"/>
        <v>914796</v>
      </c>
      <c r="BR194" s="110" t="s">
        <v>902</v>
      </c>
    </row>
    <row r="195" spans="1:70" ht="51" x14ac:dyDescent="0.2">
      <c r="A195" s="63">
        <v>191</v>
      </c>
      <c r="B195" s="126" t="s">
        <v>815</v>
      </c>
      <c r="C195" s="157" t="s">
        <v>1159</v>
      </c>
      <c r="D195" s="63" t="s">
        <v>414</v>
      </c>
      <c r="E195" s="63">
        <v>1</v>
      </c>
      <c r="F195" s="38"/>
      <c r="G195" s="38"/>
      <c r="H195" s="38"/>
      <c r="I195" s="38"/>
      <c r="J195" s="38"/>
      <c r="K195" s="38"/>
      <c r="L195" s="38"/>
      <c r="M195" s="38"/>
      <c r="N195" s="38"/>
      <c r="O195" s="38"/>
      <c r="P195" s="38"/>
      <c r="Q195" s="38"/>
      <c r="R195" s="38"/>
      <c r="S195" s="38"/>
      <c r="T195" s="38"/>
      <c r="U195" s="38"/>
      <c r="V195" s="38"/>
      <c r="W195" s="38"/>
      <c r="X195" s="38"/>
      <c r="Y195" s="38"/>
      <c r="Z195" s="38"/>
      <c r="AA195" s="38"/>
      <c r="AB195" s="38"/>
      <c r="AC195" s="38"/>
      <c r="AD195" s="38"/>
      <c r="AE195" s="38"/>
      <c r="AF195" s="38"/>
      <c r="AG195" s="38"/>
      <c r="AH195" s="38"/>
      <c r="AI195" s="38"/>
      <c r="AJ195" s="38"/>
      <c r="AK195" s="38"/>
      <c r="AL195" s="38"/>
      <c r="AM195" s="38"/>
      <c r="AN195" s="38"/>
      <c r="AO195" s="38"/>
      <c r="AP195" s="38"/>
      <c r="AQ195" s="38"/>
      <c r="AR195" s="38">
        <v>130000</v>
      </c>
      <c r="AS195" s="38"/>
      <c r="AT195" s="38"/>
      <c r="AU195" s="38"/>
      <c r="AV195" s="38"/>
      <c r="AW195" s="38"/>
      <c r="AX195" s="38"/>
      <c r="AY195" s="38">
        <v>169932</v>
      </c>
      <c r="AZ195" s="38">
        <v>169932</v>
      </c>
      <c r="BA195" s="38"/>
      <c r="BB195" s="38"/>
      <c r="BC195" s="38"/>
      <c r="BD195" s="38"/>
      <c r="BE195" s="38"/>
      <c r="BF195" s="38"/>
      <c r="BG195" s="38"/>
      <c r="BH195" s="38"/>
      <c r="BI195" s="38"/>
      <c r="BJ195" s="107">
        <f t="shared" ref="BJ195" si="83">MEDIAN(G195,I195,K195,M195,O195,Q195,S195,U195,W195,Y195,AA195,AC195,AE195,AG195,AI195,AJ195,AK195,AL195,AM195,AN195,AO195,AP195,AQ195,AR195,AU195,AX195,AY195,AZ195,BA195,BB195,BC195,BF195,BI195)</f>
        <v>169932</v>
      </c>
      <c r="BK195" s="107">
        <f t="shared" ref="BK195" si="84">AVERAGE(G195,I195,K195,M195,O195,Q195,S195,U195,W195,Y195,AA195,AC195,AE195,AG195,AI195,AJ195,AK195,AL195,AM195,AN195,AO195,AP195,AQ195,AR195,AU195,AX195,AY195,AZ195,BA195,BB195,BC195,BF195,BI195)</f>
        <v>156621.33333333334</v>
      </c>
      <c r="BL195" s="108">
        <f t="shared" ref="BL195" si="85">STDEV(G195,I195,K195,M195,O195,Q195,S195,U195,W195,Y195,AA195,AC195,AE195,AG195,AI195,AJ195,AK195,AL195,AM195,AN195,AO195,AP195,AQ195,AR195,AU195,AX195,AY195,AZ195,BA195,BB195,BC195,BF195,BI195)</f>
        <v>23054.750949280191</v>
      </c>
      <c r="BM195" s="65">
        <f t="shared" si="59"/>
        <v>0.14720057899273103</v>
      </c>
      <c r="BN195" s="66">
        <f>BP195/1.19</f>
        <v>131615.12605042016</v>
      </c>
      <c r="BO195" s="66">
        <f t="shared" si="67"/>
        <v>25006.873949579833</v>
      </c>
      <c r="BP195" s="109">
        <f>ROUNDUP(IF(BM195&lt;15%,BK195,BJ195),0)</f>
        <v>156622</v>
      </c>
      <c r="BQ195" s="76">
        <f t="shared" si="82"/>
        <v>156622</v>
      </c>
      <c r="BR195" s="110" t="s">
        <v>903</v>
      </c>
    </row>
    <row r="196" spans="1:70" ht="47.25" customHeight="1" x14ac:dyDescent="0.2">
      <c r="A196" s="63">
        <v>192</v>
      </c>
      <c r="B196" s="126" t="s">
        <v>816</v>
      </c>
      <c r="C196" s="157" t="s">
        <v>817</v>
      </c>
      <c r="D196" s="63" t="s">
        <v>818</v>
      </c>
      <c r="E196" s="63">
        <v>20</v>
      </c>
      <c r="F196" s="38"/>
      <c r="G196" s="38"/>
      <c r="H196" s="38"/>
      <c r="I196" s="38"/>
      <c r="J196" s="38"/>
      <c r="K196" s="38"/>
      <c r="L196" s="38"/>
      <c r="M196" s="38"/>
      <c r="N196" s="38"/>
      <c r="O196" s="38"/>
      <c r="P196" s="38"/>
      <c r="Q196" s="38"/>
      <c r="R196" s="38"/>
      <c r="S196" s="38"/>
      <c r="T196" s="38"/>
      <c r="U196" s="38"/>
      <c r="V196" s="38"/>
      <c r="W196" s="38"/>
      <c r="X196" s="38"/>
      <c r="Y196" s="38"/>
      <c r="Z196" s="38"/>
      <c r="AA196" s="38"/>
      <c r="AB196" s="38"/>
      <c r="AC196" s="38"/>
      <c r="AD196" s="38"/>
      <c r="AE196" s="38"/>
      <c r="AF196" s="38"/>
      <c r="AG196" s="38"/>
      <c r="AH196" s="38"/>
      <c r="AI196" s="38"/>
      <c r="AJ196" s="38"/>
      <c r="AK196" s="38"/>
      <c r="AL196" s="38"/>
      <c r="AM196" s="38"/>
      <c r="AN196" s="38"/>
      <c r="AO196" s="38"/>
      <c r="AP196" s="38"/>
      <c r="AQ196" s="38"/>
      <c r="AR196" s="38"/>
      <c r="AS196" s="38"/>
      <c r="AT196" s="38"/>
      <c r="AU196" s="38"/>
      <c r="AV196" s="38"/>
      <c r="AW196" s="38"/>
      <c r="AX196" s="38"/>
      <c r="AY196" s="38">
        <v>134529.5</v>
      </c>
      <c r="AZ196" s="38">
        <v>134529.5</v>
      </c>
      <c r="BA196" s="38">
        <v>153000</v>
      </c>
      <c r="BB196" s="38"/>
      <c r="BC196" s="38"/>
      <c r="BD196" s="38"/>
      <c r="BE196" s="38"/>
      <c r="BF196" s="38"/>
      <c r="BG196" s="38"/>
      <c r="BH196" s="38"/>
      <c r="BI196" s="38"/>
      <c r="BJ196" s="107">
        <f t="shared" si="56"/>
        <v>134529.5</v>
      </c>
      <c r="BK196" s="107">
        <f t="shared" si="57"/>
        <v>140686.33333333334</v>
      </c>
      <c r="BL196" s="108">
        <f t="shared" si="58"/>
        <v>10663.948147066983</v>
      </c>
      <c r="BM196" s="65">
        <f t="shared" si="59"/>
        <v>7.5799460362652962E-2</v>
      </c>
      <c r="BN196" s="66">
        <f t="shared" si="66"/>
        <v>118224.36974789917</v>
      </c>
      <c r="BO196" s="66">
        <f t="shared" si="67"/>
        <v>22462.630252100844</v>
      </c>
      <c r="BP196" s="109">
        <f t="shared" si="81"/>
        <v>140687</v>
      </c>
      <c r="BQ196" s="76">
        <f t="shared" si="82"/>
        <v>2813740</v>
      </c>
      <c r="BR196" s="110" t="s">
        <v>903</v>
      </c>
    </row>
    <row r="197" spans="1:70" ht="47.25" customHeight="1" x14ac:dyDescent="0.2">
      <c r="A197" s="63">
        <v>193</v>
      </c>
      <c r="B197" s="63" t="s">
        <v>819</v>
      </c>
      <c r="C197" s="157" t="s">
        <v>820</v>
      </c>
      <c r="D197" s="63" t="s">
        <v>414</v>
      </c>
      <c r="E197" s="63">
        <v>20</v>
      </c>
      <c r="F197" s="38"/>
      <c r="G197" s="38"/>
      <c r="H197" s="38"/>
      <c r="I197" s="38"/>
      <c r="J197" s="38"/>
      <c r="K197" s="38"/>
      <c r="L197" s="38"/>
      <c r="M197" s="38"/>
      <c r="N197" s="38"/>
      <c r="O197" s="38"/>
      <c r="P197" s="38"/>
      <c r="Q197" s="38"/>
      <c r="R197" s="38"/>
      <c r="S197" s="38"/>
      <c r="T197" s="38"/>
      <c r="U197" s="38"/>
      <c r="V197" s="38"/>
      <c r="W197" s="38"/>
      <c r="X197" s="38"/>
      <c r="Y197" s="38"/>
      <c r="Z197" s="38"/>
      <c r="AA197" s="38"/>
      <c r="AB197" s="38"/>
      <c r="AC197" s="38"/>
      <c r="AD197" s="38"/>
      <c r="AE197" s="38"/>
      <c r="AF197" s="38"/>
      <c r="AG197" s="38"/>
      <c r="AH197" s="38"/>
      <c r="AI197" s="38"/>
      <c r="AJ197" s="38"/>
      <c r="AK197" s="38"/>
      <c r="AL197" s="38">
        <v>40000</v>
      </c>
      <c r="AM197" s="38"/>
      <c r="AN197" s="38"/>
      <c r="AO197" s="38"/>
      <c r="AP197" s="38"/>
      <c r="AQ197" s="38"/>
      <c r="AR197" s="38"/>
      <c r="AS197" s="38"/>
      <c r="AT197" s="38"/>
      <c r="AU197" s="38"/>
      <c r="AV197" s="38"/>
      <c r="AW197" s="38"/>
      <c r="AX197" s="38"/>
      <c r="AY197" s="38"/>
      <c r="AZ197" s="38"/>
      <c r="BA197" s="38">
        <v>35280</v>
      </c>
      <c r="BB197" s="38"/>
      <c r="BC197" s="38">
        <v>40000</v>
      </c>
      <c r="BD197" s="38"/>
      <c r="BE197" s="38"/>
      <c r="BF197" s="38"/>
      <c r="BG197" s="38"/>
      <c r="BH197" s="38"/>
      <c r="BI197" s="38"/>
      <c r="BJ197" s="107">
        <f t="shared" ref="BJ197:BJ202" si="86">MEDIAN(G197,I197,K197,M197,O197,Q197,S197,U197,W197,Y197,AA197,AC197,AE197,AG197,AI197,AJ197,AK197,AL197,AM197,AN197,AO197,AP197,AQ197,AR197,AU197,AX197,AY197,AZ197,BA197,BB197,BC197,BF197,BI197)</f>
        <v>40000</v>
      </c>
      <c r="BK197" s="107">
        <f t="shared" ref="BK197:BK202" si="87">AVERAGE(G197,I197,K197,M197,O197,Q197,S197,U197,W197,Y197,AA197,AC197,AE197,AG197,AI197,AJ197,AK197,AL197,AM197,AN197,AO197,AP197,AQ197,AR197,AU197,AX197,AY197,AZ197,BA197,BB197,BC197,BF197,BI197)</f>
        <v>38426.666666666664</v>
      </c>
      <c r="BL197" s="108">
        <f t="shared" ref="BL197:BL202" si="88">STDEV(G197,I197,K197,M197,O197,Q197,S197,U197,W197,Y197,AA197,AC197,AE197,AG197,AI197,AJ197,AK197,AL197,AM197,AN197,AO197,AP197,AQ197,AR197,AU197,AX197,AY197,AZ197,BA197,BB197,BC197,BF197,BI197)</f>
        <v>2725.0932705750333</v>
      </c>
      <c r="BM197" s="65">
        <f t="shared" ref="BM197:BM202" si="89">BL197/BK197</f>
        <v>7.0916722863680615E-2</v>
      </c>
      <c r="BN197" s="66">
        <f t="shared" si="66"/>
        <v>32291.596638655465</v>
      </c>
      <c r="BO197" s="66">
        <f t="shared" si="67"/>
        <v>6135.4033613445381</v>
      </c>
      <c r="BP197" s="109">
        <f t="shared" si="81"/>
        <v>38427</v>
      </c>
      <c r="BQ197" s="76">
        <f t="shared" si="82"/>
        <v>768540</v>
      </c>
      <c r="BR197" s="110" t="s">
        <v>903</v>
      </c>
    </row>
    <row r="198" spans="1:70" ht="47.25" customHeight="1" x14ac:dyDescent="0.2">
      <c r="A198" s="63">
        <v>194</v>
      </c>
      <c r="B198" s="63" t="s">
        <v>819</v>
      </c>
      <c r="C198" s="157" t="s">
        <v>821</v>
      </c>
      <c r="D198" s="63" t="s">
        <v>414</v>
      </c>
      <c r="E198" s="63">
        <v>20</v>
      </c>
      <c r="F198" s="38"/>
      <c r="G198" s="38"/>
      <c r="H198" s="38"/>
      <c r="I198" s="38"/>
      <c r="J198" s="38"/>
      <c r="K198" s="38"/>
      <c r="L198" s="38"/>
      <c r="M198" s="38"/>
      <c r="N198" s="38"/>
      <c r="O198" s="38"/>
      <c r="P198" s="38"/>
      <c r="Q198" s="38"/>
      <c r="R198" s="38"/>
      <c r="S198" s="38"/>
      <c r="T198" s="38"/>
      <c r="U198" s="38"/>
      <c r="V198" s="38"/>
      <c r="W198" s="38"/>
      <c r="X198" s="38"/>
      <c r="Y198" s="38"/>
      <c r="Z198" s="38"/>
      <c r="AA198" s="38"/>
      <c r="AB198" s="38"/>
      <c r="AC198" s="38"/>
      <c r="AD198" s="38"/>
      <c r="AE198" s="38"/>
      <c r="AF198" s="38"/>
      <c r="AG198" s="38"/>
      <c r="AH198" s="38"/>
      <c r="AI198" s="38"/>
      <c r="AJ198" s="38"/>
      <c r="AK198" s="38"/>
      <c r="AL198" s="38"/>
      <c r="AM198" s="38"/>
      <c r="AN198" s="38"/>
      <c r="AO198" s="38"/>
      <c r="AP198" s="38"/>
      <c r="AQ198" s="38"/>
      <c r="AR198" s="38"/>
      <c r="AS198" s="38"/>
      <c r="AT198" s="38"/>
      <c r="AU198" s="38"/>
      <c r="AV198" s="38"/>
      <c r="AW198" s="38"/>
      <c r="AX198" s="38"/>
      <c r="AY198" s="38"/>
      <c r="AZ198" s="38"/>
      <c r="BA198" s="38">
        <v>35280</v>
      </c>
      <c r="BB198" s="38"/>
      <c r="BC198" s="38">
        <v>35000</v>
      </c>
      <c r="BD198" s="38"/>
      <c r="BE198" s="38"/>
      <c r="BF198" s="38"/>
      <c r="BG198" s="38"/>
      <c r="BH198" s="38"/>
      <c r="BI198" s="38"/>
      <c r="BJ198" s="107">
        <f t="shared" si="86"/>
        <v>35140</v>
      </c>
      <c r="BK198" s="107">
        <f t="shared" si="87"/>
        <v>35140</v>
      </c>
      <c r="BL198" s="108">
        <f t="shared" si="88"/>
        <v>197.98989873223331</v>
      </c>
      <c r="BM198" s="65">
        <f t="shared" si="89"/>
        <v>5.634316981566116E-3</v>
      </c>
      <c r="BN198" s="66">
        <f t="shared" si="66"/>
        <v>29529.411764705885</v>
      </c>
      <c r="BO198" s="66">
        <f t="shared" si="67"/>
        <v>5610.588235294118</v>
      </c>
      <c r="BP198" s="109">
        <f t="shared" si="81"/>
        <v>35140</v>
      </c>
      <c r="BQ198" s="76">
        <f t="shared" si="82"/>
        <v>702800</v>
      </c>
      <c r="BR198" s="110" t="s">
        <v>903</v>
      </c>
    </row>
    <row r="199" spans="1:70" ht="47.25" customHeight="1" x14ac:dyDescent="0.2">
      <c r="A199" s="63">
        <v>195</v>
      </c>
      <c r="B199" s="63" t="s">
        <v>819</v>
      </c>
      <c r="C199" s="157" t="s">
        <v>822</v>
      </c>
      <c r="D199" s="63" t="s">
        <v>414</v>
      </c>
      <c r="E199" s="63">
        <v>20</v>
      </c>
      <c r="F199" s="38"/>
      <c r="G199" s="38"/>
      <c r="H199" s="38"/>
      <c r="I199" s="38"/>
      <c r="J199" s="38"/>
      <c r="K199" s="38"/>
      <c r="L199" s="38"/>
      <c r="M199" s="38"/>
      <c r="N199" s="38"/>
      <c r="O199" s="38"/>
      <c r="P199" s="38"/>
      <c r="Q199" s="38"/>
      <c r="R199" s="38"/>
      <c r="S199" s="38"/>
      <c r="T199" s="38"/>
      <c r="U199" s="38"/>
      <c r="V199" s="38"/>
      <c r="W199" s="38"/>
      <c r="X199" s="38"/>
      <c r="Y199" s="38"/>
      <c r="Z199" s="38"/>
      <c r="AA199" s="38"/>
      <c r="AB199" s="38"/>
      <c r="AC199" s="38"/>
      <c r="AD199" s="38"/>
      <c r="AE199" s="38"/>
      <c r="AF199" s="38"/>
      <c r="AG199" s="38"/>
      <c r="AH199" s="38"/>
      <c r="AI199" s="38"/>
      <c r="AJ199" s="38"/>
      <c r="AK199" s="38"/>
      <c r="AL199" s="38">
        <v>45000</v>
      </c>
      <c r="AM199" s="38"/>
      <c r="AN199" s="38"/>
      <c r="AO199" s="38"/>
      <c r="AP199" s="38"/>
      <c r="AQ199" s="38"/>
      <c r="AR199" s="38"/>
      <c r="AS199" s="38"/>
      <c r="AT199" s="38"/>
      <c r="AU199" s="38"/>
      <c r="AV199" s="38"/>
      <c r="AW199" s="38"/>
      <c r="AX199" s="38"/>
      <c r="AY199" s="38">
        <v>65450</v>
      </c>
      <c r="AZ199" s="38">
        <v>65450</v>
      </c>
      <c r="BA199" s="38">
        <v>39780</v>
      </c>
      <c r="BB199" s="38"/>
      <c r="BC199" s="38"/>
      <c r="BD199" s="38"/>
      <c r="BE199" s="38"/>
      <c r="BF199" s="38"/>
      <c r="BG199" s="38"/>
      <c r="BH199" s="38"/>
      <c r="BI199" s="38"/>
      <c r="BJ199" s="107">
        <f t="shared" si="86"/>
        <v>55225</v>
      </c>
      <c r="BK199" s="107">
        <f t="shared" si="87"/>
        <v>53920</v>
      </c>
      <c r="BL199" s="108">
        <f t="shared" si="88"/>
        <v>13483.17222812693</v>
      </c>
      <c r="BM199" s="65">
        <f t="shared" si="89"/>
        <v>0.25005883212401575</v>
      </c>
      <c r="BN199" s="66">
        <f t="shared" si="66"/>
        <v>46407.563025210089</v>
      </c>
      <c r="BO199" s="66">
        <f t="shared" si="67"/>
        <v>8817.4369747899163</v>
      </c>
      <c r="BP199" s="109">
        <f t="shared" si="81"/>
        <v>55225</v>
      </c>
      <c r="BQ199" s="76">
        <f t="shared" si="82"/>
        <v>1104500</v>
      </c>
      <c r="BR199" s="110" t="s">
        <v>902</v>
      </c>
    </row>
    <row r="200" spans="1:70" ht="47.25" customHeight="1" x14ac:dyDescent="0.2">
      <c r="A200" s="63">
        <v>196</v>
      </c>
      <c r="B200" s="63" t="s">
        <v>819</v>
      </c>
      <c r="C200" s="157" t="s">
        <v>823</v>
      </c>
      <c r="D200" s="63" t="s">
        <v>414</v>
      </c>
      <c r="E200" s="63">
        <v>20</v>
      </c>
      <c r="F200" s="38"/>
      <c r="G200" s="38"/>
      <c r="H200" s="38"/>
      <c r="I200" s="38"/>
      <c r="J200" s="38"/>
      <c r="K200" s="38"/>
      <c r="L200" s="38"/>
      <c r="M200" s="38"/>
      <c r="N200" s="38"/>
      <c r="O200" s="38"/>
      <c r="P200" s="38"/>
      <c r="Q200" s="38"/>
      <c r="R200" s="38"/>
      <c r="S200" s="38"/>
      <c r="T200" s="38"/>
      <c r="U200" s="38"/>
      <c r="V200" s="38"/>
      <c r="W200" s="38"/>
      <c r="X200" s="38"/>
      <c r="Y200" s="38"/>
      <c r="Z200" s="38"/>
      <c r="AA200" s="38"/>
      <c r="AB200" s="38"/>
      <c r="AC200" s="38"/>
      <c r="AD200" s="38"/>
      <c r="AE200" s="38"/>
      <c r="AF200" s="38"/>
      <c r="AG200" s="38"/>
      <c r="AH200" s="38"/>
      <c r="AI200" s="38"/>
      <c r="AJ200" s="38"/>
      <c r="AK200" s="38"/>
      <c r="AL200" s="38">
        <v>85000</v>
      </c>
      <c r="AM200" s="38"/>
      <c r="AN200" s="38"/>
      <c r="AO200" s="38"/>
      <c r="AP200" s="38"/>
      <c r="AQ200" s="38"/>
      <c r="AR200" s="38"/>
      <c r="AS200" s="38"/>
      <c r="AT200" s="38"/>
      <c r="AU200" s="38"/>
      <c r="AV200" s="38"/>
      <c r="AW200" s="38"/>
      <c r="AX200" s="38"/>
      <c r="AY200" s="38">
        <v>77350</v>
      </c>
      <c r="AZ200" s="38">
        <v>77350</v>
      </c>
      <c r="BA200" s="38">
        <v>43740</v>
      </c>
      <c r="BB200" s="38"/>
      <c r="BC200" s="38"/>
      <c r="BD200" s="38"/>
      <c r="BE200" s="38"/>
      <c r="BF200" s="38"/>
      <c r="BG200" s="38"/>
      <c r="BH200" s="38"/>
      <c r="BI200" s="38"/>
      <c r="BJ200" s="107">
        <f t="shared" si="86"/>
        <v>77350</v>
      </c>
      <c r="BK200" s="107">
        <f t="shared" si="87"/>
        <v>70860</v>
      </c>
      <c r="BL200" s="108">
        <f t="shared" si="88"/>
        <v>18436.143848429911</v>
      </c>
      <c r="BM200" s="65">
        <f t="shared" si="89"/>
        <v>0.26017702298094708</v>
      </c>
      <c r="BN200" s="66">
        <f t="shared" si="66"/>
        <v>65000</v>
      </c>
      <c r="BO200" s="66">
        <f t="shared" si="67"/>
        <v>12350</v>
      </c>
      <c r="BP200" s="109">
        <f t="shared" si="81"/>
        <v>77350</v>
      </c>
      <c r="BQ200" s="76">
        <f t="shared" si="82"/>
        <v>1547000</v>
      </c>
      <c r="BR200" s="110" t="s">
        <v>902</v>
      </c>
    </row>
    <row r="201" spans="1:70" ht="34" x14ac:dyDescent="0.2">
      <c r="A201" s="63">
        <v>197</v>
      </c>
      <c r="B201" s="63" t="s">
        <v>819</v>
      </c>
      <c r="C201" s="157" t="s">
        <v>824</v>
      </c>
      <c r="D201" s="63" t="s">
        <v>414</v>
      </c>
      <c r="E201" s="63">
        <v>20</v>
      </c>
      <c r="F201" s="38"/>
      <c r="G201" s="38"/>
      <c r="H201" s="38"/>
      <c r="I201" s="38"/>
      <c r="J201" s="38"/>
      <c r="K201" s="38"/>
      <c r="L201" s="38"/>
      <c r="M201" s="38"/>
      <c r="N201" s="38"/>
      <c r="O201" s="38"/>
      <c r="P201" s="38"/>
      <c r="Q201" s="38"/>
      <c r="R201" s="38"/>
      <c r="S201" s="38"/>
      <c r="T201" s="38"/>
      <c r="U201" s="38"/>
      <c r="V201" s="38"/>
      <c r="W201" s="38"/>
      <c r="X201" s="38"/>
      <c r="Y201" s="38"/>
      <c r="Z201" s="38"/>
      <c r="AA201" s="38"/>
      <c r="AB201" s="38"/>
      <c r="AC201" s="38"/>
      <c r="AD201" s="38"/>
      <c r="AE201" s="38"/>
      <c r="AF201" s="38"/>
      <c r="AG201" s="38"/>
      <c r="AH201" s="38"/>
      <c r="AI201" s="38"/>
      <c r="AJ201" s="38"/>
      <c r="AK201" s="38"/>
      <c r="AL201" s="38"/>
      <c r="AM201" s="38"/>
      <c r="AN201" s="38"/>
      <c r="AO201" s="38"/>
      <c r="AP201" s="38"/>
      <c r="AQ201" s="38"/>
      <c r="AR201" s="38"/>
      <c r="AS201" s="38"/>
      <c r="AT201" s="38"/>
      <c r="AU201" s="38"/>
      <c r="AV201" s="38"/>
      <c r="AW201" s="38"/>
      <c r="AX201" s="38"/>
      <c r="AY201" s="38"/>
      <c r="AZ201" s="38"/>
      <c r="BA201" s="38">
        <v>41400</v>
      </c>
      <c r="BB201" s="38"/>
      <c r="BC201" s="38">
        <v>50000</v>
      </c>
      <c r="BD201" s="38"/>
      <c r="BE201" s="38"/>
      <c r="BF201" s="38"/>
      <c r="BG201" s="38"/>
      <c r="BH201" s="38"/>
      <c r="BI201" s="38"/>
      <c r="BJ201" s="107">
        <f t="shared" si="86"/>
        <v>45700</v>
      </c>
      <c r="BK201" s="107">
        <f t="shared" si="87"/>
        <v>45700</v>
      </c>
      <c r="BL201" s="108">
        <f t="shared" si="88"/>
        <v>6081.1183182043087</v>
      </c>
      <c r="BM201" s="65">
        <f t="shared" si="89"/>
        <v>0.13306604635020369</v>
      </c>
      <c r="BN201" s="66">
        <f t="shared" si="66"/>
        <v>38403.361344537814</v>
      </c>
      <c r="BO201" s="66">
        <f t="shared" si="67"/>
        <v>7296.6386554621849</v>
      </c>
      <c r="BP201" s="109">
        <f t="shared" si="81"/>
        <v>45700</v>
      </c>
      <c r="BQ201" s="76">
        <f t="shared" si="82"/>
        <v>914000</v>
      </c>
      <c r="BR201" s="110" t="s">
        <v>903</v>
      </c>
    </row>
    <row r="202" spans="1:70" ht="283.25" customHeight="1" x14ac:dyDescent="0.2">
      <c r="A202" s="63">
        <v>198</v>
      </c>
      <c r="B202" s="63" t="s">
        <v>833</v>
      </c>
      <c r="C202" s="67" t="s">
        <v>1170</v>
      </c>
      <c r="D202" s="63" t="s">
        <v>7</v>
      </c>
      <c r="E202" s="63">
        <v>24</v>
      </c>
      <c r="F202" s="38"/>
      <c r="G202" s="38"/>
      <c r="H202" s="38"/>
      <c r="I202" s="38"/>
      <c r="J202" s="38"/>
      <c r="K202" s="38"/>
      <c r="L202" s="38"/>
      <c r="M202" s="38"/>
      <c r="N202" s="38"/>
      <c r="O202" s="38"/>
      <c r="P202" s="38"/>
      <c r="Q202" s="38"/>
      <c r="R202" s="38"/>
      <c r="S202" s="38"/>
      <c r="T202" s="38"/>
      <c r="U202" s="38"/>
      <c r="V202" s="38"/>
      <c r="W202" s="38"/>
      <c r="X202" s="38"/>
      <c r="Y202" s="38"/>
      <c r="Z202" s="38"/>
      <c r="AA202" s="38"/>
      <c r="AB202" s="38"/>
      <c r="AC202" s="38"/>
      <c r="AD202" s="38"/>
      <c r="AE202" s="38"/>
      <c r="AF202" s="38"/>
      <c r="AG202" s="38"/>
      <c r="AH202" s="38"/>
      <c r="AI202" s="38"/>
      <c r="AJ202" s="38"/>
      <c r="AK202" s="38"/>
      <c r="AL202" s="38"/>
      <c r="AM202" s="38"/>
      <c r="AN202" s="38"/>
      <c r="AO202" s="38"/>
      <c r="AP202" s="38"/>
      <c r="AQ202" s="38"/>
      <c r="AR202" s="38"/>
      <c r="AS202" s="38"/>
      <c r="AT202" s="38"/>
      <c r="AU202" s="38"/>
      <c r="AV202" s="38"/>
      <c r="AW202" s="38"/>
      <c r="AX202" s="38"/>
      <c r="AY202" s="38">
        <v>238000</v>
      </c>
      <c r="AZ202" s="38">
        <v>249900</v>
      </c>
      <c r="BA202" s="38">
        <v>261000</v>
      </c>
      <c r="BB202" s="38"/>
      <c r="BC202" s="38"/>
      <c r="BD202" s="38"/>
      <c r="BE202" s="38"/>
      <c r="BF202" s="38"/>
      <c r="BG202" s="38"/>
      <c r="BH202" s="38"/>
      <c r="BI202" s="38"/>
      <c r="BJ202" s="107">
        <f t="shared" si="86"/>
        <v>249900</v>
      </c>
      <c r="BK202" s="107">
        <f t="shared" si="87"/>
        <v>249633.33333333334</v>
      </c>
      <c r="BL202" s="108">
        <f t="shared" si="88"/>
        <v>11502.318606843288</v>
      </c>
      <c r="BM202" s="65">
        <f t="shared" si="89"/>
        <v>4.6076853812965501E-2</v>
      </c>
      <c r="BN202" s="66">
        <f>BP202/1.19</f>
        <v>209776.4705882353</v>
      </c>
      <c r="BO202" s="66">
        <f t="shared" si="67"/>
        <v>39857.529411764706</v>
      </c>
      <c r="BP202" s="109">
        <f t="shared" si="81"/>
        <v>249634</v>
      </c>
      <c r="BQ202" s="76">
        <f t="shared" si="82"/>
        <v>5991216</v>
      </c>
      <c r="BR202" s="110" t="s">
        <v>903</v>
      </c>
    </row>
    <row r="203" spans="1:70" x14ac:dyDescent="0.2">
      <c r="A203" s="199" t="s">
        <v>1047</v>
      </c>
      <c r="B203" s="200"/>
      <c r="C203" s="200"/>
      <c r="D203" s="201"/>
      <c r="E203" s="63"/>
      <c r="F203" s="20"/>
      <c r="G203" s="20"/>
      <c r="H203" s="20"/>
      <c r="I203" s="20"/>
      <c r="J203" s="20"/>
      <c r="K203" s="20"/>
      <c r="L203" s="20"/>
      <c r="M203" s="20"/>
      <c r="N203" s="20"/>
      <c r="O203" s="20"/>
      <c r="P203" s="20"/>
      <c r="Q203" s="20"/>
      <c r="R203" s="20"/>
      <c r="S203" s="20"/>
      <c r="T203" s="20"/>
      <c r="U203" s="20"/>
      <c r="V203" s="20"/>
      <c r="W203" s="20"/>
      <c r="X203" s="20"/>
      <c r="Y203" s="20"/>
      <c r="Z203" s="20"/>
      <c r="AA203" s="20"/>
      <c r="AB203" s="20"/>
      <c r="AC203" s="20"/>
      <c r="AD203" s="20"/>
      <c r="AE203" s="20"/>
      <c r="AF203" s="20"/>
      <c r="AG203" s="20"/>
      <c r="AH203" s="20"/>
      <c r="AI203" s="20"/>
      <c r="AJ203" s="20"/>
      <c r="AK203" s="20"/>
      <c r="AL203" s="90"/>
      <c r="AM203" s="90"/>
      <c r="AN203" s="90"/>
      <c r="AO203" s="90"/>
      <c r="AP203" s="90"/>
      <c r="AQ203" s="90"/>
      <c r="AR203" s="90"/>
      <c r="AS203" s="90"/>
      <c r="AT203" s="90"/>
      <c r="AU203" s="90"/>
      <c r="AV203" s="90"/>
      <c r="AW203" s="90"/>
      <c r="AX203" s="90"/>
      <c r="AY203" s="90"/>
      <c r="AZ203" s="90"/>
      <c r="BA203" s="90"/>
      <c r="BB203" s="90"/>
      <c r="BC203" s="90"/>
      <c r="BD203" s="90"/>
      <c r="BE203" s="90"/>
      <c r="BF203" s="90"/>
      <c r="BG203" s="90"/>
      <c r="BH203" s="90"/>
      <c r="BI203" s="90"/>
      <c r="BJ203" s="107"/>
      <c r="BK203" s="107"/>
      <c r="BL203" s="108"/>
      <c r="BM203" s="20"/>
      <c r="BN203" s="20"/>
      <c r="BO203" s="20"/>
      <c r="BP203" s="161">
        <f>SUM(BP5:BP202)</f>
        <v>15827647</v>
      </c>
      <c r="BQ203" s="97">
        <f>SUM(BQ5:BQ202)</f>
        <v>917882713</v>
      </c>
      <c r="BR203" s="20"/>
    </row>
    <row r="204" spans="1:70" x14ac:dyDescent="0.2">
      <c r="BJ204" s="56"/>
      <c r="BK204" s="56"/>
      <c r="BL204" s="57"/>
      <c r="BQ204" s="61"/>
    </row>
  </sheetData>
  <autoFilter ref="A4:BR205" xr:uid="{CB0F7703-3187-41DF-A707-40422DF834BD}"/>
  <mergeCells count="24">
    <mergeCell ref="AS3:AU3"/>
    <mergeCell ref="AV3:AX3"/>
    <mergeCell ref="BD3:BF3"/>
    <mergeCell ref="BG3:BI3"/>
    <mergeCell ref="BJ3:BR3"/>
    <mergeCell ref="A203:D203"/>
    <mergeCell ref="X3:Y3"/>
    <mergeCell ref="Z3:AA3"/>
    <mergeCell ref="AB3:AC3"/>
    <mergeCell ref="AD3:AE3"/>
    <mergeCell ref="J3:K3"/>
    <mergeCell ref="A3:E3"/>
    <mergeCell ref="AH3:AI3"/>
    <mergeCell ref="L3:M3"/>
    <mergeCell ref="N3:O3"/>
    <mergeCell ref="P3:Q3"/>
    <mergeCell ref="R3:S3"/>
    <mergeCell ref="T3:U3"/>
    <mergeCell ref="V3:W3"/>
    <mergeCell ref="A1:E1"/>
    <mergeCell ref="A2:E2"/>
    <mergeCell ref="F3:G3"/>
    <mergeCell ref="H3:I3"/>
    <mergeCell ref="AF3:AG3"/>
  </mergeCells>
  <dataValidations count="2">
    <dataValidation type="list" allowBlank="1" showErrorMessage="1" sqref="D172:D177 D168:D170" xr:uid="{07BC1979-78EF-4B21-BDCE-9FA96AB0101C}">
      <formula1>#REF!</formula1>
    </dataValidation>
    <dataValidation allowBlank="1" showErrorMessage="1" sqref="D171" xr:uid="{3D25B975-A9B9-4BC3-91D5-DECC87A585D7}"/>
  </dataValidations>
  <pageMargins left="0.7" right="0.7" top="0.75" bottom="0.75" header="0.3" footer="0.3"/>
  <pageSetup orientation="portrait" horizontalDpi="1200" verticalDpi="1200" r:id="rId1"/>
  <ignoredErrors>
    <ignoredError sqref="BN75" formula="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f3c61e99-895f-413c-92d7-8bb142adcc76">
      <Terms xmlns="http://schemas.microsoft.com/office/infopath/2007/PartnerControls"/>
    </lcf76f155ced4ddcb4097134ff3c332f>
    <TaxCatchAll xmlns="60eaac97-d65c-4aef-94f1-edc1f11955b8"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19507AFE02F42F45A3B760FBAEAB6372" ma:contentTypeVersion="15" ma:contentTypeDescription="Crear nuevo documento." ma:contentTypeScope="" ma:versionID="2ffa164068871826e058c6ba7aa65f8e">
  <xsd:schema xmlns:xsd="http://www.w3.org/2001/XMLSchema" xmlns:xs="http://www.w3.org/2001/XMLSchema" xmlns:p="http://schemas.microsoft.com/office/2006/metadata/properties" xmlns:ns2="60eaac97-d65c-4aef-94f1-edc1f11955b8" xmlns:ns3="f3c61e99-895f-413c-92d7-8bb142adcc76" targetNamespace="http://schemas.microsoft.com/office/2006/metadata/properties" ma:root="true" ma:fieldsID="6df9248c16cc4b9043c2e32d58c547ad" ns2:_="" ns3:_="">
    <xsd:import namespace="60eaac97-d65c-4aef-94f1-edc1f11955b8"/>
    <xsd:import namespace="f3c61e99-895f-413c-92d7-8bb142adcc76"/>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MediaServiceObjectDetectorVersions" minOccurs="0"/>
                <xsd:element ref="ns3:MediaServiceGenerationTime" minOccurs="0"/>
                <xsd:element ref="ns3:MediaServiceEventHashCode" minOccurs="0"/>
                <xsd:element ref="ns3:MediaLengthInSeconds" minOccurs="0"/>
                <xsd:element ref="ns3:MediaServiceDateTaken" minOccurs="0"/>
                <xsd:element ref="ns3:lcf76f155ced4ddcb4097134ff3c332f" minOccurs="0"/>
                <xsd:element ref="ns2:TaxCatchAll" minOccurs="0"/>
                <xsd:element ref="ns3:MediaServiceOCR"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0eaac97-d65c-4aef-94f1-edc1f11955b8"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0" nillable="true" ma:displayName="Taxonomy Catch All Column" ma:hidden="true" ma:list="{3731cca7-e0fc-4ab5-a13e-8f740764f419}" ma:internalName="TaxCatchAll" ma:showField="CatchAllData" ma:web="60eaac97-d65c-4aef-94f1-edc1f11955b8">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3c61e99-895f-413c-92d7-8bb142adcc76"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lcf76f155ced4ddcb4097134ff3c332f" ma:index="19"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Location" ma:index="22"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84BD8F-9747-41BE-8EDB-044BDA549D91}">
  <ds:schemaRefs>
    <ds:schemaRef ds:uri="http://schemas.microsoft.com/sharepoint/v3/contenttype/forms"/>
  </ds:schemaRefs>
</ds:datastoreItem>
</file>

<file path=customXml/itemProps2.xml><?xml version="1.0" encoding="utf-8"?>
<ds:datastoreItem xmlns:ds="http://schemas.openxmlformats.org/officeDocument/2006/customXml" ds:itemID="{7C7864CF-7487-4DBD-AEDC-E8E95BB83814}">
  <ds:schemaRefs>
    <ds:schemaRef ds:uri="http://schemas.microsoft.com/office/2006/metadata/properties"/>
    <ds:schemaRef ds:uri="http://schemas.microsoft.com/office/infopath/2007/PartnerControls"/>
    <ds:schemaRef ds:uri="f3c61e99-895f-413c-92d7-8bb142adcc76"/>
    <ds:schemaRef ds:uri="60eaac97-d65c-4aef-94f1-edc1f11955b8"/>
  </ds:schemaRefs>
</ds:datastoreItem>
</file>

<file path=customXml/itemProps3.xml><?xml version="1.0" encoding="utf-8"?>
<ds:datastoreItem xmlns:ds="http://schemas.openxmlformats.org/officeDocument/2006/customXml" ds:itemID="{C66F80B4-201E-47F2-98C4-06E29C86B5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0eaac97-d65c-4aef-94f1-edc1f11955b8"/>
    <ds:schemaRef ds:uri="f3c61e99-895f-413c-92d7-8bb142adcc7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5</vt:i4>
      </vt:variant>
    </vt:vector>
  </HeadingPairs>
  <TitlesOfParts>
    <vt:vector size="5" baseType="lpstr">
      <vt:lpstr>LOTE 1_Pedagógico</vt:lpstr>
      <vt:lpstr>LOTE 2_Agroforestal</vt:lpstr>
      <vt:lpstr>LOTE 3_Ferretería</vt:lpstr>
      <vt:lpstr>LOTE 4_Agropecuario</vt:lpstr>
      <vt:lpstr>LOTE 5_Med_Vete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Melissa</dc:creator>
  <cp:keywords/>
  <dc:description/>
  <cp:lastModifiedBy>Yenny Lorena Ballen Jimenez</cp:lastModifiedBy>
  <cp:revision/>
  <dcterms:created xsi:type="dcterms:W3CDTF">2025-04-09T19:31:16Z</dcterms:created>
  <dcterms:modified xsi:type="dcterms:W3CDTF">2026-07-31T22:10:17Z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0x01010019507AFE02F42F45A3B760FBAEAB6372</vt:lpwstr>
  </property>
  <property fmtid="{D5CDD505-2E9C-101B-9397-08002B2CF9AE}" pid="3" name="MediaServiceImageTags">
    <vt:lpwstr/>
  </property>
</Properties>
</file>