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https://etbcsj-my.sharepoint.com/personal/apodireadmper_cendoj_ramajudicial_gov_co/Documents/Samuel/5.BANCO PROYECTOS/2026/Obra Aguas lluvias/"/>
    </mc:Choice>
  </mc:AlternateContent>
  <xr:revisionPtr revIDLastSave="55" documentId="13_ncr:1_{1E4F0CF3-911F-4FC9-A0BA-DB04080669B6}" xr6:coauthVersionLast="47" xr6:coauthVersionMax="47" xr10:uidLastSave="{01DF8F9D-4A97-4CFB-B980-3868874CC716}"/>
  <bookViews>
    <workbookView xWindow="-120" yWindow="-120" windowWidth="20730" windowHeight="11040" tabRatio="906" activeTab="1" xr2:uid="{00000000-000D-0000-FFFF-FFFF00000000}"/>
  </bookViews>
  <sheets>
    <sheet name="PRESUPUESTO OFICIAL (Entidad)" sheetId="265" r:id="rId1"/>
    <sheet name="PROPUESTA ECONOMICA(Proponente)" sheetId="269" r:id="rId2"/>
    <sheet name="INDICAR CÓDIGO DEL ITEM DE PAGO" sheetId="268" r:id="rId3"/>
  </sheets>
  <definedNames>
    <definedName name="_________key2" hidden="1">#REF!</definedName>
    <definedName name="________key2" hidden="1">#REF!</definedName>
    <definedName name="________key3" hidden="1">#REF!</definedName>
    <definedName name="___key2" hidden="1">#REF!</definedName>
    <definedName name="___key3" hidden="1">#REF!</definedName>
    <definedName name="___key31" hidden="1">#REF!</definedName>
    <definedName name="__123Graph_A" hidden="1">#REF!</definedName>
    <definedName name="__123Graph_B" hidden="1">#REF!</definedName>
    <definedName name="__key2" hidden="1">#REF!</definedName>
    <definedName name="__key21" hidden="1">#REF!</definedName>
    <definedName name="__key3" hidden="1">#REF!</definedName>
    <definedName name="__key31" hidden="1">#REF!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Fill" localSheetId="2" hidden="1">#REF!</definedName>
    <definedName name="_Fill" hidden="1">#REF!</definedName>
    <definedName name="_xlnm._FilterDatabase" localSheetId="0" hidden="1">'PRESUPUESTO OFICIAL (Entidad)'!$I$11:$I$83</definedName>
    <definedName name="_xlnm._FilterDatabase" localSheetId="1" hidden="1">'PROPUESTA ECONOMICA(Proponente)'!#REF!</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rse_Out" hidden="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ort" localSheetId="2" hidden="1">#REF!</definedName>
    <definedName name="_Sort" hidden="1">#REF!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fv4" localSheetId="2" hidden="1">{"via1",#N/A,TRUE,"general";"via2",#N/A,TRUE,"general";"via3",#N/A,TRUE,"general"}</definedName>
    <definedName name="_vfv4" hidden="1">{"via1",#N/A,TRUE,"general";"via2",#N/A,TRUE,"general";"via3",#N/A,TRUE,"general"}</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CD" hidden="1">#REF!</definedName>
    <definedName name="ABCDE" hidden="1">#REF!</definedName>
    <definedName name="AccessDatabase" hidden="1">"C:\C-314\VOLUMENES\volfin4.mdb"</definedName>
    <definedName name="ADFGSDB" localSheetId="2" hidden="1">{"via1",#N/A,TRUE,"general";"via2",#N/A,TRUE,"general";"via3",#N/A,TRUE,"general"}</definedName>
    <definedName name="ADFGSDB" hidden="1">{"via1",#N/A,TRUE,"general";"via2",#N/A,TRUE,"general";"via3",#N/A,TRUE,"general"}</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vfcdx" localSheetId="2" hidden="1">{"via1",#N/A,TRUE,"general";"via2",#N/A,TRUE,"general";"via3",#N/A,TRUE,"general"}</definedName>
    <definedName name="bgvfcdx" hidden="1">{"via1",#N/A,TRUE,"general";"via2",#N/A,TRUE,"general";"via3",#N/A,TRUE,"general"}</definedName>
    <definedName name="BLPH1" hidden="1">#REF!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BWorkbookPriority" hidden="1">-1602700874</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dcdc" localSheetId="2" hidden="1">{"via1",#N/A,TRUE,"general";"via2",#N/A,TRUE,"general";"via3",#N/A,TRUE,"general"}</definedName>
    <definedName name="cdcdc" hidden="1">{"via1",#N/A,TRUE,"general";"via2",#N/A,TRUE,"general";"via3",#N/A,TRUE,"general"}</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jsa" hidden="1">#REF!</definedName>
    <definedName name="costo2" hidden="1">#REF!</definedName>
    <definedName name="CUNET" localSheetId="2" hidden="1">{"via1",#N/A,TRUE,"general";"via2",#N/A,TRUE,"general";"via3",#N/A,TRUE,"general"}</definedName>
    <definedName name="CUNET" hidden="1">{"via1",#N/A,TRUE,"general";"via2",#N/A,TRUE,"general";"via3",#N/A,TRUE,"general"}</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CSDCTV" localSheetId="2" hidden="1">{"via1",#N/A,TRUE,"general";"via2",#N/A,TRUE,"general";"via3",#N/A,TRUE,"general"}</definedName>
    <definedName name="DCSDCTV" hidden="1">{"via1",#N/A,TRUE,"general";"via2",#N/A,TRUE,"general";"via3",#N/A,TRUE,"general"}</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ry" localSheetId="2" hidden="1">{"via1",#N/A,TRUE,"general";"via2",#N/A,TRUE,"general";"via3",#N/A,TRUE,"general"}</definedName>
    <definedName name="dry" hidden="1">{"via1",#N/A,TRUE,"general";"via2",#N/A,TRUE,"general";"via3",#N/A,TRUE,"general"}</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3e33" localSheetId="2" hidden="1">{"via1",#N/A,TRUE,"general";"via2",#N/A,TRUE,"general";"via3",#N/A,TRUE,"general"}</definedName>
    <definedName name="e3e33" hidden="1">{"via1",#N/A,TRUE,"general";"via2",#N/A,TRUE,"general";"via3",#N/A,TRUE,"general"}</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qw" localSheetId="2" hidden="1">{"via1",#N/A,TRUE,"general";"via2",#N/A,TRUE,"general";"via3",#N/A,TRUE,"general"}</definedName>
    <definedName name="eqw" hidden="1">{"via1",#N/A,TRUE,"general";"via2",#N/A,TRUE,"general";"via3",#N/A,TRUE,"general"}</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TRUCTURA" hidden="1">{#N/A,#N/A,TRUE,"INGENIERIA";#N/A,#N/A,TRUE,"COMPRAS";#N/A,#N/A,TRUE,"DIRECCION";#N/A,#N/A,TRUE,"RESUMEN"}</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erfer" localSheetId="2" hidden="1">{"via1",#N/A,TRUE,"general";"via2",#N/A,TRUE,"general";"via3",#N/A,TRUE,"general"}</definedName>
    <definedName name="ferfer" hidden="1">{"via1",#N/A,TRUE,"general";"via2",#N/A,TRUE,"general";"via3",#N/A,TRUE,"general"}</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ll1" hidden="1">#REF!</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g" localSheetId="2" hidden="1">{"via1",#N/A,TRUE,"general";"via2",#N/A,TRUE,"general";"via3",#N/A,TRUE,"general"}</definedName>
    <definedName name="geg" hidden="1">{"via1",#N/A,TRUE,"general";"via2",#N/A,TRUE,"general";"via3",#N/A,TRUE,"general"}</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h9h" localSheetId="2" hidden="1">{"via1",#N/A,TRUE,"general";"via2",#N/A,TRUE,"general";"via3",#N/A,TRUE,"general"}</definedName>
    <definedName name="h9h" hidden="1">{"via1",#N/A,TRUE,"general";"via2",#N/A,TRUE,"general";"via3",#N/A,TRUE,"general"}</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fg" localSheetId="2" hidden="1">{"via1",#N/A,TRUE,"general";"via2",#N/A,TRUE,"general";"via3",#N/A,TRUE,"general"}</definedName>
    <definedName name="hsfg" hidden="1">{"via1",#N/A,TRUE,"general";"via2",#N/A,TRUE,"general";"via3",#N/A,TRUE,"general"}</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NGENIERIA1" hidden="1">#REF!</definedName>
    <definedName name="INGENIERIA11" hidden="1">#REF!</definedName>
    <definedName name="irng" hidden="1">#REF!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dmfm" hidden="1">#REF!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hkd" localSheetId="2" hidden="1">{"via1",#N/A,TRUE,"general";"via2",#N/A,TRUE,"general";"via3",#N/A,TRUE,"general"}</definedName>
    <definedName name="kjhkd"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rtrk" localSheetId="2" hidden="1">{"via1",#N/A,TRUE,"general";"via2",#N/A,TRUE,"general";"via3",#N/A,TRUE,"general"}</definedName>
    <definedName name="krtrk" hidden="1">{"via1",#N/A,TRUE,"general";"via2",#N/A,TRUE,"general";"via3",#N/A,TRUE,"general"}</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ame" hidden="1">#REF!</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plpl" localSheetId="2" hidden="1">{"via1",#N/A,TRUE,"general";"via2",#N/A,TRUE,"general";"via3",#N/A,TRUE,"general"}</definedName>
    <definedName name="lplpl" hidden="1">{"via1",#N/A,TRUE,"general";"via2",#N/A,TRUE,"general";"via3",#N/A,TRUE,"general"}</definedName>
    <definedName name="mafdsf" localSheetId="2" hidden="1">{"via1",#N/A,TRUE,"general";"via2",#N/A,TRUE,"general";"via3",#N/A,TRUE,"general"}</definedName>
    <definedName name="mafdsf" hidden="1">{"via1",#N/A,TRUE,"general";"via2",#N/A,TRUE,"general";"via3",#N/A,TRUE,"general"}</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sor" localSheetId="2" hidden="1">{"via1",#N/A,TRUE,"general";"via2",#N/A,TRUE,"general";"via3",#N/A,TRUE,"general"}</definedName>
    <definedName name="masor" hidden="1">{"via1",#N/A,TRUE,"general";"via2",#N/A,TRUE,"general";"via3",#N/A,TRUE,"general"}</definedName>
    <definedName name="mdd" localSheetId="2" hidden="1">{"via1",#N/A,TRUE,"general";"via2",#N/A,TRUE,"general";"via3",#N/A,TRUE,"general"}</definedName>
    <definedName name="mdd" hidden="1">{"via1",#N/A,TRUE,"general";"via2",#N/A,TRUE,"general";"via3",#N/A,TRUE,"general"}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IVejec" hidden="1">{#N/A,#N/A,FALSE,"Hoja1";#N/A,#N/A,FALSE,"Hoja2"}</definedName>
    <definedName name="MOE" hidden="1">{#N/A,#N/A,FALSE,"Hoja1";#N/A,#N/A,FALSE,"Hoja2"}</definedName>
    <definedName name="n" localSheetId="2" hidden="1">{"via1",#N/A,TRUE,"general";"via2",#N/A,TRUE,"general";"via3",#N/A,TRUE,"general"}</definedName>
    <definedName name="n"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o9o9" localSheetId="2" hidden="1">{"via1",#N/A,TRUE,"general";"via2",#N/A,TRUE,"general";"via3",#N/A,TRUE,"general"}</definedName>
    <definedName name="o9o9" hidden="1">{"via1",#N/A,TRUE,"general";"via2",#N/A,TRUE,"general";"via3",#N/A,TRUE,"general"}</definedName>
    <definedName name="obras" hidden="1">#REF!</definedName>
    <definedName name="obras11" hidden="1">#REF!</definedName>
    <definedName name="OCTUBRE" hidden="1">{#N/A,#N/A,FALSE,"orthoflow";#N/A,#N/A,FALSE,"Miscelaneos";#N/A,#N/A,FALSE,"Instrumentacio";#N/A,#N/A,FALSE,"Electrico";#N/A,#N/A,FALSE,"Valv. Seguridad"}</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RIGINAL" hidden="1">{#N/A,#N/A,FALSE,"orthoflow";#N/A,#N/A,FALSE,"Miscelaneos";#N/A,#N/A,FALSE,"Instrumentacio";#N/A,#N/A,FALSE,"Electrico";#N/A,#N/A,FALSE,"Valv. Seguridad"}</definedName>
    <definedName name="OROZCO" hidden="1">#REF!</definedName>
    <definedName name="p0p0" localSheetId="2" hidden="1">{"via1",#N/A,TRUE,"general";"via2",#N/A,TRUE,"general";"via3",#N/A,TRUE,"general"}</definedName>
    <definedName name="p0p0" hidden="1">{"via1",#N/A,TRUE,"general";"via2",#N/A,TRUE,"general";"via3",#N/A,TRUE,"general"}</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uig" localSheetId="2" hidden="1">{"via1",#N/A,TRUE,"general";"via2",#N/A,TRUE,"general";"via3",#N/A,TRUE,"general"}</definedName>
    <definedName name="pouig" hidden="1">{"via1",#N/A,TRUE,"general";"via2",#N/A,TRUE,"general";"via3",#N/A,TRUE,"general"}</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qroj" localSheetId="2" hidden="1">{"via1",#N/A,TRUE,"general";"via2",#N/A,TRUE,"general";"via3",#N/A,TRUE,"general"}</definedName>
    <definedName name="pqroj" hidden="1">{"via1",#N/A,TRUE,"general";"via2",#N/A,TRUE,"general";"via3",#N/A,TRUE,"general"}</definedName>
    <definedName name="PRIMER" localSheetId="2" hidden="1">{"via1",#N/A,TRUE,"general";"via2",#N/A,TRUE,"general";"via3",#N/A,TRUE,"general"}</definedName>
    <definedName name="PRIMER" hidden="1">{"via1",#N/A,TRUE,"general";"via2",#N/A,TRUE,"general";"via3",#N/A,TRUE,"general"}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qqqqw" localSheetId="2" hidden="1">{"via1",#N/A,TRUE,"general";"via2",#N/A,TRUE,"general";"via3",#N/A,TRUE,"general"}</definedName>
    <definedName name="qqqqqw" hidden="1">{"via1",#N/A,TRUE,"general";"via2",#N/A,TRUE,"general";"via3",#N/A,TRUE,"general"}</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JHE" localSheetId="2" hidden="1">{"via1",#N/A,TRUE,"general";"via2",#N/A,TRUE,"general";"via3",#N/A,TRUE,"general"}</definedName>
    <definedName name="REJHE" hidden="1">{"via1",#N/A,TRUE,"general";"via2",#N/A,TRUE,"general";"via3",#N/A,TRUE,"general"}</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rr" localSheetId="2" hidden="1">{"via1",#N/A,TRUE,"general";"via2",#N/A,TRUE,"general";"via3",#N/A,TRUE,"general"}</definedName>
    <definedName name="rrr"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bgfbgdr" localSheetId="2" hidden="1">{"via1",#N/A,TRUE,"general";"via2",#N/A,TRUE,"general";"via3",#N/A,TRUE,"general"}</definedName>
    <definedName name="sbgfbgdr" hidden="1">{"via1",#N/A,TRUE,"general";"via2",#N/A,TRUE,"general";"via3",#N/A,TRUE,"general"}</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olver_adj" localSheetId="2" hidden="1">'INDICAR CÓDIGO DEL ITEM DE PAGO'!#REF!</definedName>
    <definedName name="solver_adj" localSheetId="0" hidden="1">'PRESUPUESTO OFICIAL (Entidad)'!$K$240</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(Entidad)'!$K$248</definedName>
    <definedName name="solver_lhs1" localSheetId="1" hidden="1">'PROPUESTA ECONOMICA(Proponente)'!$K$249</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(Entidad)'!$K$248</definedName>
    <definedName name="solver_opt" localSheetId="1" hidden="1">'PROPUESTA ECONOMICA(Proponente)'!$K$249</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(Entidad)'!$K$249</definedName>
    <definedName name="solver_rhs1" localSheetId="1" hidden="1">'PROPUESTA ECONOMICA(Proponente)'!$K$250</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tj" localSheetId="2" hidden="1">{"via1",#N/A,TRUE,"general";"via2",#N/A,TRUE,"general";"via3",#N/A,TRUE,"general"}</definedName>
    <definedName name="thtj" hidden="1">{"via1",#N/A,TRUE,"general";"via2",#N/A,TRUE,"general";"via3",#N/A,TRUE,"general"}</definedName>
    <definedName name="TK_1" hidden="1">#REF!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jfgjh" localSheetId="2" hidden="1">{"via1",#N/A,TRUE,"general";"via2",#N/A,TRUE,"general";"via3",#N/A,TRUE,"general"}</definedName>
    <definedName name="trjfgjh" hidden="1">{"via1",#N/A,TRUE,"general";"via2",#N/A,TRUE,"general";"via3",#N/A,TRUE,"general"}</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I" localSheetId="2" hidden="1">{"via1",#N/A,TRUE,"general";"via2",#N/A,TRUE,"general";"via3",#N/A,TRUE,"general"}</definedName>
    <definedName name="UI"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nj" hidden="1">#REF!</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fbgnhyt" localSheetId="2" hidden="1">{"via1",#N/A,TRUE,"general";"via2",#N/A,TRUE,"general";"via3",#N/A,TRUE,"general"}</definedName>
    <definedName name="vfbgnhyt" hidden="1">{"via1",#N/A,TRUE,"general";"via2",#N/A,TRUE,"general";"via3",#N/A,TRUE,"general"}</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sdfj" localSheetId="2" hidden="1">{"via1",#N/A,TRUE,"general";"via2",#N/A,TRUE,"general";"via3",#N/A,TRUE,"general"}</definedName>
    <definedName name="vsdfj"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DD" hidden="1">{#N/A,#N/A,FALSE,"orthoflow";#N/A,#N/A,FALSE,"Miscelaneos";#N/A,#N/A,FALSE,"Instrumentacio";#N/A,#N/A,FALSE,"Electrico";#N/A,#N/A,FALSE,"Valv. Seguridad"}</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fg" localSheetId="2" hidden="1">{"via1",#N/A,TRUE,"general";"via2",#N/A,TRUE,"general";"via3",#N/A,TRUE,"general"}</definedName>
    <definedName name="xxfg" hidden="1">{"via1",#N/A,TRUE,"general";"via2",#N/A,TRUE,"general";"via3",#N/A,TRUE,"general"}</definedName>
    <definedName name="XXXX" hidden="1">#REF!</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29" localSheetId="2" hidden="1">{"via1",#N/A,TRUE,"general";"via2",#N/A,TRUE,"general";"via3",#N/A,TRUE,"general"}</definedName>
    <definedName name="xxxxxxxxxx29" hidden="1">{"via1",#N/A,TRUE,"general";"via2",#N/A,TRUE,"general";"via3",#N/A,TRUE,"general"}</definedName>
    <definedName name="XZS" hidden="1">#REF!</definedName>
    <definedName name="XZXZV" localSheetId="2" hidden="1">{"via1",#N/A,TRUE,"general";"via2",#N/A,TRUE,"general";"via3",#N/A,TRUE,"general"}</definedName>
    <definedName name="XZXZV"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ery" localSheetId="2" hidden="1">{"via1",#N/A,TRUE,"general";"via2",#N/A,TRUE,"general";"via3",#N/A,TRUE,"general"}</definedName>
    <definedName name="yery" hidden="1">{"via1",#N/A,TRUE,"general";"via2",#N/A,TRUE,"general";"via3",#N/A,TRUE,"general"}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38" i="269" l="1"/>
  <c r="K83" i="269"/>
  <c r="K165" i="269"/>
  <c r="K237" i="269"/>
  <c r="K83" i="265"/>
  <c r="K165" i="265"/>
  <c r="K237" i="265"/>
  <c r="K251" i="269"/>
  <c r="J242" i="269"/>
  <c r="J241" i="269"/>
  <c r="K231" i="269"/>
  <c r="K219" i="269"/>
  <c r="K209" i="269"/>
  <c r="K197" i="269"/>
  <c r="K185" i="269"/>
  <c r="K175" i="269"/>
  <c r="K235" i="269"/>
  <c r="K234" i="269"/>
  <c r="K233" i="269"/>
  <c r="K232" i="269"/>
  <c r="K230" i="269"/>
  <c r="K227" i="269"/>
  <c r="K228" i="269" s="1"/>
  <c r="K224" i="269"/>
  <c r="K223" i="269"/>
  <c r="K222" i="269"/>
  <c r="K221" i="269"/>
  <c r="K220" i="269"/>
  <c r="K218" i="269"/>
  <c r="K217" i="269"/>
  <c r="K216" i="269"/>
  <c r="K215" i="269"/>
  <c r="K214" i="269"/>
  <c r="K213" i="269"/>
  <c r="K212" i="269"/>
  <c r="K208" i="269"/>
  <c r="K207" i="269"/>
  <c r="K206" i="269"/>
  <c r="K205" i="269"/>
  <c r="K204" i="269"/>
  <c r="K203" i="269"/>
  <c r="K200" i="269"/>
  <c r="K201" i="269" s="1"/>
  <c r="K196" i="269"/>
  <c r="K195" i="269"/>
  <c r="K192" i="269"/>
  <c r="K191" i="269"/>
  <c r="K190" i="269"/>
  <c r="K189" i="269"/>
  <c r="K188" i="269"/>
  <c r="K184" i="269"/>
  <c r="K181" i="269"/>
  <c r="K180" i="269"/>
  <c r="K179" i="269"/>
  <c r="K178" i="269"/>
  <c r="K177" i="269"/>
  <c r="K176" i="269"/>
  <c r="K174" i="269"/>
  <c r="K173" i="269"/>
  <c r="K172" i="269"/>
  <c r="K171" i="269"/>
  <c r="K170" i="269"/>
  <c r="K169" i="269"/>
  <c r="K168" i="269"/>
  <c r="J235" i="265"/>
  <c r="J234" i="265"/>
  <c r="J233" i="265"/>
  <c r="J232" i="265"/>
  <c r="J231" i="265"/>
  <c r="J230" i="265"/>
  <c r="J227" i="265"/>
  <c r="J224" i="265"/>
  <c r="J223" i="265"/>
  <c r="J222" i="265"/>
  <c r="J221" i="265"/>
  <c r="J220" i="265"/>
  <c r="J219" i="265"/>
  <c r="J218" i="265"/>
  <c r="J217" i="265"/>
  <c r="J216" i="265"/>
  <c r="J215" i="265"/>
  <c r="J214" i="265"/>
  <c r="J213" i="265"/>
  <c r="J212" i="265"/>
  <c r="J209" i="265"/>
  <c r="J208" i="265"/>
  <c r="J207" i="265"/>
  <c r="J206" i="265"/>
  <c r="J205" i="265"/>
  <c r="J204" i="265"/>
  <c r="J203" i="265"/>
  <c r="J200" i="265"/>
  <c r="J197" i="265"/>
  <c r="J196" i="265"/>
  <c r="J195" i="265"/>
  <c r="J192" i="265"/>
  <c r="J191" i="265"/>
  <c r="J190" i="265"/>
  <c r="J189" i="265"/>
  <c r="J188" i="265"/>
  <c r="J185" i="265"/>
  <c r="J184" i="265"/>
  <c r="J181" i="265"/>
  <c r="J180" i="265"/>
  <c r="J179" i="265"/>
  <c r="J178" i="265"/>
  <c r="J177" i="265"/>
  <c r="J176" i="265"/>
  <c r="J175" i="265"/>
  <c r="J174" i="265"/>
  <c r="J173" i="265"/>
  <c r="J172" i="265"/>
  <c r="J171" i="265"/>
  <c r="J170" i="265"/>
  <c r="J169" i="265"/>
  <c r="J168" i="265"/>
  <c r="J163" i="265"/>
  <c r="J162" i="265"/>
  <c r="J161" i="265"/>
  <c r="J160" i="265"/>
  <c r="J159" i="265"/>
  <c r="J158" i="265"/>
  <c r="J157" i="265"/>
  <c r="J156" i="265"/>
  <c r="J153" i="265"/>
  <c r="J150" i="265"/>
  <c r="J149" i="265"/>
  <c r="J148" i="265"/>
  <c r="J147" i="265"/>
  <c r="J146" i="265"/>
  <c r="J145" i="265"/>
  <c r="J144" i="265"/>
  <c r="J143" i="265"/>
  <c r="J142" i="265"/>
  <c r="J141" i="265"/>
  <c r="J140" i="265"/>
  <c r="J139" i="265"/>
  <c r="J138" i="265"/>
  <c r="J137" i="265"/>
  <c r="J136" i="265"/>
  <c r="J135" i="265"/>
  <c r="J134" i="265"/>
  <c r="J131" i="265"/>
  <c r="J130" i="265"/>
  <c r="J129" i="265"/>
  <c r="J128" i="265"/>
  <c r="J127" i="265"/>
  <c r="J126" i="265"/>
  <c r="J125" i="265"/>
  <c r="J124" i="265"/>
  <c r="J121" i="265"/>
  <c r="J118" i="265"/>
  <c r="J117" i="265"/>
  <c r="J116" i="265"/>
  <c r="J113" i="265"/>
  <c r="J112" i="265"/>
  <c r="J111" i="265"/>
  <c r="J110" i="265"/>
  <c r="J109" i="265"/>
  <c r="J106" i="265"/>
  <c r="J105" i="265"/>
  <c r="J104" i="265"/>
  <c r="J103" i="265"/>
  <c r="J102" i="265"/>
  <c r="J99" i="265"/>
  <c r="J98" i="265"/>
  <c r="J97" i="265"/>
  <c r="J96" i="265"/>
  <c r="J95" i="265"/>
  <c r="J94" i="265"/>
  <c r="J93" i="265"/>
  <c r="J92" i="265"/>
  <c r="J91" i="265"/>
  <c r="J90" i="265"/>
  <c r="J89" i="265"/>
  <c r="J88" i="265"/>
  <c r="J87" i="265"/>
  <c r="J86" i="265"/>
  <c r="J81" i="265"/>
  <c r="J80" i="265"/>
  <c r="J79" i="265"/>
  <c r="J78" i="265"/>
  <c r="J77" i="265"/>
  <c r="J76" i="265"/>
  <c r="J73" i="265"/>
  <c r="J70" i="265"/>
  <c r="J67" i="265"/>
  <c r="J66" i="265"/>
  <c r="J65" i="265"/>
  <c r="J64" i="265"/>
  <c r="J63" i="265"/>
  <c r="J62" i="265"/>
  <c r="J61" i="265"/>
  <c r="J60" i="265"/>
  <c r="J59" i="265"/>
  <c r="J58" i="265"/>
  <c r="J57" i="265"/>
  <c r="J56" i="265"/>
  <c r="J53" i="265"/>
  <c r="J52" i="265"/>
  <c r="J51" i="265"/>
  <c r="J50" i="265"/>
  <c r="J49" i="265"/>
  <c r="J48" i="265"/>
  <c r="J47" i="265"/>
  <c r="J44" i="265"/>
  <c r="J43" i="265"/>
  <c r="J42" i="265"/>
  <c r="J39" i="265"/>
  <c r="J38" i="265"/>
  <c r="J37" i="265"/>
  <c r="J34" i="265"/>
  <c r="J31" i="265"/>
  <c r="J30" i="265"/>
  <c r="J27" i="265"/>
  <c r="J26" i="265"/>
  <c r="J25" i="265"/>
  <c r="J24" i="265"/>
  <c r="J23" i="265"/>
  <c r="J22" i="265"/>
  <c r="J21" i="265"/>
  <c r="J20" i="265"/>
  <c r="J19" i="265"/>
  <c r="J18" i="265"/>
  <c r="J17" i="265"/>
  <c r="J16" i="265"/>
  <c r="J15" i="265"/>
  <c r="K198" i="269" l="1"/>
  <c r="K186" i="269"/>
  <c r="K236" i="269"/>
  <c r="K182" i="269"/>
  <c r="K225" i="269"/>
  <c r="K193" i="269"/>
  <c r="K210" i="269"/>
  <c r="K238" i="265"/>
  <c r="K240" i="265" s="1"/>
  <c r="K241" i="265" s="1"/>
  <c r="K224" i="265"/>
  <c r="K223" i="265"/>
  <c r="K222" i="265"/>
  <c r="K235" i="265"/>
  <c r="K234" i="265"/>
  <c r="K233" i="265"/>
  <c r="K232" i="265"/>
  <c r="K231" i="265"/>
  <c r="K230" i="265"/>
  <c r="K163" i="269"/>
  <c r="K162" i="269"/>
  <c r="K161" i="269"/>
  <c r="K160" i="269"/>
  <c r="K159" i="269"/>
  <c r="K158" i="269"/>
  <c r="K157" i="269"/>
  <c r="K156" i="269"/>
  <c r="K153" i="269"/>
  <c r="K154" i="269" s="1"/>
  <c r="K150" i="269"/>
  <c r="K149" i="269"/>
  <c r="K148" i="269"/>
  <c r="K147" i="269"/>
  <c r="K146" i="269"/>
  <c r="K145" i="269"/>
  <c r="K144" i="269"/>
  <c r="K143" i="269"/>
  <c r="K142" i="269"/>
  <c r="K141" i="269"/>
  <c r="K140" i="269"/>
  <c r="K139" i="269"/>
  <c r="K138" i="269"/>
  <c r="K137" i="269"/>
  <c r="K136" i="269"/>
  <c r="K135" i="269"/>
  <c r="K134" i="269"/>
  <c r="K131" i="269"/>
  <c r="K130" i="269"/>
  <c r="K129" i="269"/>
  <c r="K128" i="269"/>
  <c r="K127" i="269"/>
  <c r="K126" i="269"/>
  <c r="K125" i="269"/>
  <c r="K124" i="269"/>
  <c r="K121" i="269"/>
  <c r="K122" i="269" s="1"/>
  <c r="K118" i="269"/>
  <c r="K117" i="269"/>
  <c r="K116" i="269"/>
  <c r="K113" i="269"/>
  <c r="K112" i="269"/>
  <c r="K111" i="269"/>
  <c r="K110" i="269"/>
  <c r="K109" i="269"/>
  <c r="K106" i="269"/>
  <c r="K105" i="269"/>
  <c r="K104" i="269"/>
  <c r="K103" i="269"/>
  <c r="K102" i="269"/>
  <c r="K99" i="269"/>
  <c r="K98" i="269"/>
  <c r="K97" i="269"/>
  <c r="K96" i="269"/>
  <c r="K95" i="269"/>
  <c r="K94" i="269"/>
  <c r="K93" i="269"/>
  <c r="K92" i="269"/>
  <c r="K91" i="269"/>
  <c r="K90" i="269"/>
  <c r="K89" i="269"/>
  <c r="K88" i="269"/>
  <c r="K87" i="269"/>
  <c r="K86" i="269"/>
  <c r="K81" i="269"/>
  <c r="K80" i="269"/>
  <c r="K79" i="269"/>
  <c r="K78" i="269"/>
  <c r="K77" i="269"/>
  <c r="K76" i="269"/>
  <c r="K73" i="269"/>
  <c r="K74" i="269" s="1"/>
  <c r="K70" i="269"/>
  <c r="K71" i="269" s="1"/>
  <c r="K67" i="269"/>
  <c r="K66" i="269"/>
  <c r="K65" i="269"/>
  <c r="K64" i="269"/>
  <c r="K63" i="269"/>
  <c r="K62" i="269"/>
  <c r="K61" i="269"/>
  <c r="K60" i="269"/>
  <c r="K59" i="269"/>
  <c r="K58" i="269"/>
  <c r="K57" i="269"/>
  <c r="K56" i="269"/>
  <c r="K53" i="269"/>
  <c r="K52" i="269"/>
  <c r="K51" i="269"/>
  <c r="K50" i="269"/>
  <c r="K49" i="269"/>
  <c r="K48" i="269"/>
  <c r="K47" i="269"/>
  <c r="K44" i="269"/>
  <c r="K43" i="269"/>
  <c r="K42" i="269"/>
  <c r="K39" i="269"/>
  <c r="K38" i="269"/>
  <c r="K37" i="269"/>
  <c r="K34" i="269"/>
  <c r="K35" i="269" s="1"/>
  <c r="K31" i="269"/>
  <c r="K30" i="269"/>
  <c r="K32" i="269" s="1"/>
  <c r="K27" i="269"/>
  <c r="K26" i="269"/>
  <c r="K25" i="269"/>
  <c r="K24" i="269"/>
  <c r="K23" i="269"/>
  <c r="K22" i="269"/>
  <c r="K21" i="269"/>
  <c r="K20" i="269"/>
  <c r="K19" i="269"/>
  <c r="K18" i="269"/>
  <c r="K17" i="269"/>
  <c r="K16" i="269"/>
  <c r="K15" i="269"/>
  <c r="K40" i="269" l="1"/>
  <c r="K242" i="265"/>
  <c r="K243" i="265" s="1"/>
  <c r="K119" i="269"/>
  <c r="K107" i="269"/>
  <c r="K236" i="265"/>
  <c r="K132" i="269"/>
  <c r="K151" i="269"/>
  <c r="K164" i="269"/>
  <c r="K100" i="269"/>
  <c r="K114" i="269"/>
  <c r="K82" i="269"/>
  <c r="K45" i="269"/>
  <c r="K68" i="269"/>
  <c r="K28" i="269"/>
  <c r="K54" i="269"/>
  <c r="J242" i="265"/>
  <c r="J241" i="265"/>
  <c r="K250" i="265"/>
  <c r="K217" i="265" l="1"/>
  <c r="K215" i="265"/>
  <c r="K205" i="265"/>
  <c r="K204" i="265"/>
  <c r="K178" i="265"/>
  <c r="K170" i="265"/>
  <c r="K174" i="265"/>
  <c r="K173" i="265"/>
  <c r="K180" i="265"/>
  <c r="K169" i="265"/>
  <c r="K227" i="265"/>
  <c r="K228" i="265" s="1"/>
  <c r="K221" i="265"/>
  <c r="K220" i="265"/>
  <c r="K219" i="265"/>
  <c r="K218" i="265"/>
  <c r="K216" i="265"/>
  <c r="K214" i="265"/>
  <c r="K213" i="265"/>
  <c r="K212" i="265"/>
  <c r="K209" i="265"/>
  <c r="K208" i="265"/>
  <c r="K207" i="265"/>
  <c r="K206" i="265"/>
  <c r="K203" i="265"/>
  <c r="K200" i="265"/>
  <c r="K201" i="265" s="1"/>
  <c r="K197" i="265"/>
  <c r="K196" i="265"/>
  <c r="K195" i="265"/>
  <c r="K192" i="265"/>
  <c r="K191" i="265"/>
  <c r="K190" i="265"/>
  <c r="K189" i="265"/>
  <c r="K188" i="265"/>
  <c r="K185" i="265"/>
  <c r="K184" i="265"/>
  <c r="K181" i="265"/>
  <c r="K179" i="265"/>
  <c r="K177" i="265"/>
  <c r="K176" i="265"/>
  <c r="K175" i="265"/>
  <c r="K172" i="265"/>
  <c r="K171" i="265"/>
  <c r="K168" i="265"/>
  <c r="K240" i="269" l="1"/>
  <c r="K241" i="269" s="1"/>
  <c r="K225" i="265"/>
  <c r="K198" i="265"/>
  <c r="K182" i="265"/>
  <c r="K193" i="265"/>
  <c r="K210" i="265"/>
  <c r="K186" i="265"/>
  <c r="K242" i="269" l="1"/>
  <c r="K243" i="269" s="1"/>
  <c r="K244" i="269"/>
  <c r="K161" i="265"/>
  <c r="K162" i="265"/>
  <c r="K142" i="265"/>
  <c r="K143" i="265"/>
  <c r="K144" i="265"/>
  <c r="K145" i="265"/>
  <c r="K146" i="265"/>
  <c r="K147" i="265"/>
  <c r="K148" i="265"/>
  <c r="K149" i="265"/>
  <c r="K150" i="265"/>
  <c r="K131" i="265"/>
  <c r="K113" i="265"/>
  <c r="K110" i="265"/>
  <c r="K111" i="265"/>
  <c r="K112" i="265"/>
  <c r="K99" i="265"/>
  <c r="K103" i="265"/>
  <c r="K104" i="265"/>
  <c r="K105" i="265"/>
  <c r="K163" i="265" l="1"/>
  <c r="K160" i="265"/>
  <c r="K159" i="265"/>
  <c r="K158" i="265"/>
  <c r="K157" i="265"/>
  <c r="K156" i="265"/>
  <c r="K153" i="265"/>
  <c r="K154" i="265" s="1"/>
  <c r="K141" i="265"/>
  <c r="K140" i="265"/>
  <c r="K139" i="265"/>
  <c r="K138" i="265"/>
  <c r="K137" i="265"/>
  <c r="K136" i="265"/>
  <c r="K135" i="265"/>
  <c r="K134" i="265"/>
  <c r="K130" i="265"/>
  <c r="K129" i="265"/>
  <c r="K128" i="265"/>
  <c r="K127" i="265"/>
  <c r="K126" i="265"/>
  <c r="K125" i="265"/>
  <c r="K124" i="265"/>
  <c r="K121" i="265"/>
  <c r="K118" i="265"/>
  <c r="K117" i="265"/>
  <c r="K116" i="265"/>
  <c r="K109" i="265"/>
  <c r="K114" i="265" s="1"/>
  <c r="K106" i="265"/>
  <c r="K102" i="265"/>
  <c r="K98" i="265"/>
  <c r="K97" i="265"/>
  <c r="K96" i="265"/>
  <c r="K95" i="265"/>
  <c r="K94" i="265"/>
  <c r="K93" i="265"/>
  <c r="K92" i="265"/>
  <c r="K91" i="265"/>
  <c r="K90" i="265"/>
  <c r="K89" i="265"/>
  <c r="K88" i="265"/>
  <c r="K87" i="265"/>
  <c r="K86" i="265"/>
  <c r="K57" i="265"/>
  <c r="K58" i="265"/>
  <c r="K59" i="265"/>
  <c r="K60" i="265"/>
  <c r="K61" i="265"/>
  <c r="K62" i="265"/>
  <c r="K63" i="265"/>
  <c r="K64" i="265"/>
  <c r="K65" i="265"/>
  <c r="K66" i="265"/>
  <c r="K67" i="265"/>
  <c r="K48" i="265"/>
  <c r="K49" i="265"/>
  <c r="K50" i="265"/>
  <c r="K51" i="265"/>
  <c r="K52" i="265"/>
  <c r="K53" i="265"/>
  <c r="K43" i="265"/>
  <c r="K44" i="265"/>
  <c r="K77" i="265"/>
  <c r="K78" i="265"/>
  <c r="K79" i="265"/>
  <c r="K80" i="265"/>
  <c r="K81" i="265"/>
  <c r="K76" i="265"/>
  <c r="K73" i="265"/>
  <c r="K74" i="265" s="1"/>
  <c r="K70" i="265"/>
  <c r="K71" i="265" s="1"/>
  <c r="K56" i="265"/>
  <c r="K47" i="265"/>
  <c r="K42" i="265"/>
  <c r="K38" i="265"/>
  <c r="K39" i="265"/>
  <c r="K37" i="265"/>
  <c r="K34" i="265"/>
  <c r="K35" i="265" s="1"/>
  <c r="K31" i="265"/>
  <c r="K30" i="265"/>
  <c r="K16" i="265"/>
  <c r="K17" i="265"/>
  <c r="K18" i="265"/>
  <c r="K19" i="265"/>
  <c r="K20" i="265"/>
  <c r="K21" i="265"/>
  <c r="K22" i="265"/>
  <c r="K23" i="265"/>
  <c r="K24" i="265"/>
  <c r="K25" i="265"/>
  <c r="K26" i="265"/>
  <c r="K27" i="265"/>
  <c r="K15" i="265"/>
  <c r="K132" i="265" l="1"/>
  <c r="K40" i="265"/>
  <c r="K100" i="265"/>
  <c r="K32" i="265"/>
  <c r="K45" i="265"/>
  <c r="K68" i="265"/>
  <c r="K107" i="265"/>
  <c r="K164" i="265"/>
  <c r="K28" i="265"/>
  <c r="K122" i="265"/>
  <c r="K151" i="265"/>
  <c r="K54" i="265"/>
  <c r="K82" i="265"/>
  <c r="K119" i="265"/>
  <c r="K244" i="265" l="1"/>
</calcChain>
</file>

<file path=xl/sharedStrings.xml><?xml version="1.0" encoding="utf-8"?>
<sst xmlns="http://schemas.openxmlformats.org/spreadsheetml/2006/main" count="2352" uniqueCount="496">
  <si>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</si>
  <si>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</si>
  <si>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</si>
  <si>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</si>
  <si>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</si>
  <si>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</si>
  <si>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</si>
  <si>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
  </si>
  <si>
    <t>DESCRIPCION</t>
  </si>
  <si>
    <t>UND.</t>
  </si>
  <si>
    <t>CANTIDAD</t>
  </si>
  <si>
    <t>VALOR UNITARIO</t>
  </si>
  <si>
    <t xml:space="preserve">VALOR TOTAL                                </t>
  </si>
  <si>
    <t>SISTEMA DE CAPTACIÓN Y APROVECHAMIENTO DE AGUAS LLUVIAS - PALACIO DE JUSTICIA DE APIA</t>
  </si>
  <si>
    <t>PRELIMINARES</t>
  </si>
  <si>
    <t>1.1</t>
  </si>
  <si>
    <t>AP-01-01</t>
  </si>
  <si>
    <t>NSR-10 Título A</t>
  </si>
  <si>
    <t>Informe Diagnóstico - Sede APIA</t>
  </si>
  <si>
    <t>Localización y replanteo</t>
  </si>
  <si>
    <t>M2</t>
  </si>
  <si>
    <t>1.2</t>
  </si>
  <si>
    <t>AP-01-02</t>
  </si>
  <si>
    <t>Resolución 0472 de 2017 - MinAmbiente (RCD)</t>
  </si>
  <si>
    <t>Demolición losa sobre terreno</t>
  </si>
  <si>
    <t>1.3</t>
  </si>
  <si>
    <t>AP-01-03</t>
  </si>
  <si>
    <t>Demolición muro en soga, incluye revoque y/o enchape</t>
  </si>
  <si>
    <t>1.4</t>
  </si>
  <si>
    <t>AP-01-04</t>
  </si>
  <si>
    <t xml:space="preserve">Cargue manual material sobrante </t>
  </si>
  <si>
    <t>M3</t>
  </si>
  <si>
    <t>1.5</t>
  </si>
  <si>
    <t>AP-01-05</t>
  </si>
  <si>
    <t>Demolición enchape y/o revoque</t>
  </si>
  <si>
    <t>1.6</t>
  </si>
  <si>
    <t>AP-01-06</t>
  </si>
  <si>
    <t>Res. 1409/2012 MinTrabajo - Trabajo en alturas</t>
  </si>
  <si>
    <t>Alquiler andamio certificado tubular certificado, incluye manipulación y teleras</t>
  </si>
  <si>
    <t>Día</t>
  </si>
  <si>
    <t>1.7</t>
  </si>
  <si>
    <t>AP-01-07</t>
  </si>
  <si>
    <t>NSR-10 Título D</t>
  </si>
  <si>
    <t>Regata de muros</t>
  </si>
  <si>
    <t>M</t>
  </si>
  <si>
    <t>1.8</t>
  </si>
  <si>
    <t>AP-01-08</t>
  </si>
  <si>
    <t>Res. 1409/2012 MinTrabajo - SST</t>
  </si>
  <si>
    <t>Cerramiento con cinta de señalización, incluye señalizador tubular, dos cintas</t>
  </si>
  <si>
    <t>1.9</t>
  </si>
  <si>
    <t>AP-01-09</t>
  </si>
  <si>
    <t>Desmonte de Tubería Alcantarillado de 4" a 8" Existente</t>
  </si>
  <si>
    <t>1.10</t>
  </si>
  <si>
    <t>AP-01-10</t>
  </si>
  <si>
    <t xml:space="preserve">Aseo de obra de construcción </t>
  </si>
  <si>
    <t>1.11</t>
  </si>
  <si>
    <t>AP-01-11</t>
  </si>
  <si>
    <t>Desmonte de ventana metálicas o de madera</t>
  </si>
  <si>
    <t>1.12</t>
  </si>
  <si>
    <t>AP-01-12</t>
  </si>
  <si>
    <t>Desmonte de Válvulas, Acoples o Griferías</t>
  </si>
  <si>
    <t>Und</t>
  </si>
  <si>
    <t>1.13</t>
  </si>
  <si>
    <t>AP-01-13</t>
  </si>
  <si>
    <t xml:space="preserve">Cargue manual, Transporte y Disposición de material sobrante </t>
  </si>
  <si>
    <t>Subtotal</t>
  </si>
  <si>
    <t>CONCRETOS</t>
  </si>
  <si>
    <t>2.1</t>
  </si>
  <si>
    <t>AP-02-01</t>
  </si>
  <si>
    <t>NTC 5806 / NSR-10 Título C</t>
  </si>
  <si>
    <t>Memorias Estructurales y Planos Estructurales - APIA</t>
  </si>
  <si>
    <t>Kg</t>
  </si>
  <si>
    <t>2.2</t>
  </si>
  <si>
    <t>AP-02-02</t>
  </si>
  <si>
    <t>NSR-10 Título C - NTC 3318</t>
  </si>
  <si>
    <t>Placa maciza en concreto de 21.0 MPa (3000 PSI) e = 0,25 m, no incluye refuerzo</t>
  </si>
  <si>
    <t>MORTEROS</t>
  </si>
  <si>
    <t>3.1</t>
  </si>
  <si>
    <t>AP-03-01</t>
  </si>
  <si>
    <t>Memorias Hidráulicas y Planos Hidráulicos - APIA</t>
  </si>
  <si>
    <t>Resane con malla para incrustar redes a muros</t>
  </si>
  <si>
    <t>PISOS Y ENCHAPES</t>
  </si>
  <si>
    <t>4.1</t>
  </si>
  <si>
    <t>AP-04-01</t>
  </si>
  <si>
    <t>NTC 4321</t>
  </si>
  <si>
    <t>Piso Cemento ± 46 x 46 cm gris o similar al existente, tráfico medio, incluye fijador de cerámica</t>
  </si>
  <si>
    <t>4.2</t>
  </si>
  <si>
    <t>AP-04-02</t>
  </si>
  <si>
    <t>NTC 919</t>
  </si>
  <si>
    <t>Guarda escoba cerámico Cemento gris o similar al existente ± h = 0,10 m</t>
  </si>
  <si>
    <t>4.3</t>
  </si>
  <si>
    <t>AP-04-03</t>
  </si>
  <si>
    <t>Pared en Piedra Laja dimensiones variables, incluye fijador y emboquillado</t>
  </si>
  <si>
    <t xml:space="preserve">PINTURA Y ACABADOS </t>
  </si>
  <si>
    <t>5.1</t>
  </si>
  <si>
    <t>AP-05-01</t>
  </si>
  <si>
    <t>Pintura y resane vinilo tipo I</t>
  </si>
  <si>
    <t>5.2</t>
  </si>
  <si>
    <t>AP-05-02</t>
  </si>
  <si>
    <t>NTC 1335</t>
  </si>
  <si>
    <t>Graniplast</t>
  </si>
  <si>
    <t>5.3</t>
  </si>
  <si>
    <t>AP-05-03</t>
  </si>
  <si>
    <t>NTC 4373</t>
  </si>
  <si>
    <t>Muro en placa de fibrocemento e = 8 mm o similar 2 caras, incluye pintura</t>
  </si>
  <si>
    <t>ALMACENAMIENTO Y PLANTA DE TRATAMIENTO DE AGUAS LLUVIAS</t>
  </si>
  <si>
    <t>6.1</t>
  </si>
  <si>
    <t>AP-06-01</t>
  </si>
  <si>
    <t>RAS Res. 0330/2017 - Título E</t>
  </si>
  <si>
    <t>Planta de Tratamiento Pre ensamblada 7.3 GPM, incluye Bomba centrífuga, Tanque Polyglass con lecho Arena Sílice, Tanque Polyglass con lecho de Carbón Activado, Bomba dosificadora, Tanque Plástico Hipoclorito, Kit medidor de Cloro y PH, Manometros, Tablero de Control, Sondas de NIvel, Tubería PVC de uniones y Válvulas</t>
  </si>
  <si>
    <t>UND</t>
  </si>
  <si>
    <t>6.2</t>
  </si>
  <si>
    <t>AP-06-02</t>
  </si>
  <si>
    <t>RAS Res. 0330/2017 - NTC 332</t>
  </si>
  <si>
    <t xml:space="preserve">Válvulas automáticas para sistema de filtración </t>
  </si>
  <si>
    <t>6.3</t>
  </si>
  <si>
    <t>AP-06-03</t>
  </si>
  <si>
    <t>RAS Res. 0330/2017</t>
  </si>
  <si>
    <t>Caja de cribado en acero inoxidable 304, con tapa, abatible y de conexión de 4"</t>
  </si>
  <si>
    <t>6.4</t>
  </si>
  <si>
    <t>AP-06-04</t>
  </si>
  <si>
    <t>NTC 1500 / RAS Res. 0330/2017</t>
  </si>
  <si>
    <t xml:space="preserve">Tanque PRFV de 7.3 m3 (6.5 m3 utiles) con manhole superior y manhole lateral </t>
  </si>
  <si>
    <t>6.5</t>
  </si>
  <si>
    <t>AP-06-05</t>
  </si>
  <si>
    <t>Tanque PRFV de 3.7 m3 (3.5 m3 utiles) con manhole superior</t>
  </si>
  <si>
    <t>6.6</t>
  </si>
  <si>
    <t>AP-06-06</t>
  </si>
  <si>
    <t>NSR-10 Título C - ACI 318</t>
  </si>
  <si>
    <t>Automatización para llenado del tanque de agua tratada con agua de la red, Incluye Válvula con actuador de 1" y Anclaje a tablero de Control</t>
  </si>
  <si>
    <t>6.7</t>
  </si>
  <si>
    <t>AP-06-07</t>
  </si>
  <si>
    <t>RAS Res. 0330/2017 - NTC 1500</t>
  </si>
  <si>
    <t>Sistema de bombeo y presurización con stand by, Incluye 2 Bombas Multietapa 1.5 HP, Variador de Velocidad, Tanque Pulmon, Flotador Electrico y Manometro</t>
  </si>
  <si>
    <t>REDES HIDRAULICAS, AGUAS LLUVIAS Y  APARATOS SANITARIOS</t>
  </si>
  <si>
    <t>7.1</t>
  </si>
  <si>
    <t>AP-07-01</t>
  </si>
  <si>
    <t>Tubería PVC agua lluvia de 4", incluye accesorios</t>
  </si>
  <si>
    <t>7.2</t>
  </si>
  <si>
    <t>AP-07-02</t>
  </si>
  <si>
    <t>Bajante PVC agua lluvia de 4", incluye accesorios</t>
  </si>
  <si>
    <t>7.3</t>
  </si>
  <si>
    <t>AP-07-03</t>
  </si>
  <si>
    <t>Tubería PVC aguas lluvias de 6", incluye accesorios</t>
  </si>
  <si>
    <t>7.4</t>
  </si>
  <si>
    <t>AP-07-04</t>
  </si>
  <si>
    <t>NTC 1500 - NTC 382</t>
  </si>
  <si>
    <t>Punto hidráulico PVC de 1/2"  L prom = 3 m en mampostería de ladrillo o similar</t>
  </si>
  <si>
    <t>Un</t>
  </si>
  <si>
    <t>7.5</t>
  </si>
  <si>
    <t>AP-07-05</t>
  </si>
  <si>
    <t>NTC 382 - NTC 1500</t>
  </si>
  <si>
    <t>Tubería PVC presión de 3/4" RDE 21</t>
  </si>
  <si>
    <t>7.6</t>
  </si>
  <si>
    <t>AP-07-06</t>
  </si>
  <si>
    <t>Tubería PVC presión de 1" RDE 21</t>
  </si>
  <si>
    <t>7.7</t>
  </si>
  <si>
    <t>AP-07-07</t>
  </si>
  <si>
    <t>NTC 332</t>
  </si>
  <si>
    <t xml:space="preserve">Válvula de Bola de 3/4" </t>
  </si>
  <si>
    <t>7.8</t>
  </si>
  <si>
    <t>AP-07-08</t>
  </si>
  <si>
    <t xml:space="preserve">Válvula de Bola de 1/2" </t>
  </si>
  <si>
    <t>7.9</t>
  </si>
  <si>
    <t>AP-07-09</t>
  </si>
  <si>
    <t>NTC 1644</t>
  </si>
  <si>
    <t>Grifería Orinal Push Tradicional</t>
  </si>
  <si>
    <t>7.10</t>
  </si>
  <si>
    <t>AP-07-10</t>
  </si>
  <si>
    <t>NTC 1500</t>
  </si>
  <si>
    <t xml:space="preserve">Cuelga o Abrazadera a Techo para tuberias en Cinta Bandit </t>
  </si>
  <si>
    <t>7.11</t>
  </si>
  <si>
    <t>AP-07-11</t>
  </si>
  <si>
    <t xml:space="preserve">Válvula de Bola de 1" </t>
  </si>
  <si>
    <t>7.12</t>
  </si>
  <si>
    <t>AP-07-12</t>
  </si>
  <si>
    <t xml:space="preserve">Válvula de Bola de 2" </t>
  </si>
  <si>
    <t>CARPINTERIA</t>
  </si>
  <si>
    <t>8.1</t>
  </si>
  <si>
    <t>AP-08-01</t>
  </si>
  <si>
    <t>NSR-10 Título F</t>
  </si>
  <si>
    <t xml:space="preserve">Puerta  en Acero Galv, con Acabado en Pintura Electrostatica y Corte Laser Tipo Colonial </t>
  </si>
  <si>
    <t>CUARTO DE RESIDUOS</t>
  </si>
  <si>
    <t>9.1</t>
  </si>
  <si>
    <t>AP-09-01</t>
  </si>
  <si>
    <t>Enchape en cerámica de 30 X 60 cm Blanco piso pared, incluye fijador de cerámica</t>
  </si>
  <si>
    <t>INSTALACIONES ELECTRICAS</t>
  </si>
  <si>
    <t>10.1</t>
  </si>
  <si>
    <t>AP-10-01</t>
  </si>
  <si>
    <t>RETIE Res. 90708/2013 - NTC 2050</t>
  </si>
  <si>
    <t>Memorias Eléctricas y Planos Eléctricos - APIA</t>
  </si>
  <si>
    <t>Acometida 2 x Nº 8 (F) + 1 x Nº 8 (N) + 1 x Nº 8 (T), sin ducto. Cables de bajo contenido de halógenos y baja emisión de humo</t>
  </si>
  <si>
    <t>10.2</t>
  </si>
  <si>
    <t>AP-10-02</t>
  </si>
  <si>
    <t>Tubería conduit EMT 1", soporte en riel Unistrut. No incluye curvas ni accesorios de conexión</t>
  </si>
  <si>
    <t>10.3</t>
  </si>
  <si>
    <t>AP-10-03</t>
  </si>
  <si>
    <t>Tablero 2 ø trifilar, 4H 12 circuitos, con puerta tipo TQ CP 12 SQ</t>
  </si>
  <si>
    <t>10.4</t>
  </si>
  <si>
    <t>AP-10-04</t>
  </si>
  <si>
    <t>Breaker  bipolar  enchufable  de  2  x  20  A.  Incluye formado de cable, peinada en el tablero y marcación de circuitos</t>
  </si>
  <si>
    <t>10.5</t>
  </si>
  <si>
    <t>AP-10-05</t>
  </si>
  <si>
    <t>RETILAP Res. 18 1331/2009</t>
  </si>
  <si>
    <t>Lámpara de emergencia, 2 Led 2 W, multivoltaje autonomía 90 minutos</t>
  </si>
  <si>
    <t>10.6</t>
  </si>
  <si>
    <t>AP-10-06</t>
  </si>
  <si>
    <t>Breaker monopolar  enchufable de 1 x 20 A. Incluye formado de cable, peinada en el tablero y marcación de circuitos</t>
  </si>
  <si>
    <t xml:space="preserve">SUBTOTAL PALACIO DE JUSTICIA DE APIA </t>
  </si>
  <si>
    <t>SISTEMA DE CAPTACIÓN Y APROVECHAMIENTO DE AGUAS LLUVIAS - PALACIO DE JUSTICIA DE GUATICA</t>
  </si>
  <si>
    <t>GU-01-01</t>
  </si>
  <si>
    <t>Informe Diagnóstico - Sede GUATICA</t>
  </si>
  <si>
    <t>GU-01-02</t>
  </si>
  <si>
    <t>GU-01-03</t>
  </si>
  <si>
    <t>GU-01-04</t>
  </si>
  <si>
    <t>GU-01-05</t>
  </si>
  <si>
    <t>GU-01-06</t>
  </si>
  <si>
    <t>GU-01-07</t>
  </si>
  <si>
    <t>GU-01-08</t>
  </si>
  <si>
    <t>Desmonte de Tubería Alcantarillado de entre 2" a 4" Existente</t>
  </si>
  <si>
    <t>GU-01-09</t>
  </si>
  <si>
    <t xml:space="preserve">Desmonte de Canal de Aguas Lluvias Tipo Amazonas </t>
  </si>
  <si>
    <t>GU-01-10</t>
  </si>
  <si>
    <t>GU-01-11</t>
  </si>
  <si>
    <t>Desmonte de puerta o ventana metálicas o de madera</t>
  </si>
  <si>
    <t>GU-01-12</t>
  </si>
  <si>
    <t>GU-01-13</t>
  </si>
  <si>
    <t>Desmonte aparatos sanitarios, con recuperación de ellos</t>
  </si>
  <si>
    <t>1.14</t>
  </si>
  <si>
    <t>GU-01-14</t>
  </si>
  <si>
    <t>GU-02-01</t>
  </si>
  <si>
    <t>Memorias Estructurales y Planos Estructurales - GUATICA</t>
  </si>
  <si>
    <t>GU-02-02</t>
  </si>
  <si>
    <t>Placa maciza en concreto de 20.7 MPa (3000 PSI) e = 0,15 m, no incluye refuerzo</t>
  </si>
  <si>
    <t>2.3</t>
  </si>
  <si>
    <t>GU-02-03</t>
  </si>
  <si>
    <t>Placa de contrapiso en concreto de 20,7 MPa e = 0,10 m</t>
  </si>
  <si>
    <t>2.4</t>
  </si>
  <si>
    <t>GU-02-04</t>
  </si>
  <si>
    <t>Viga de amarre en concreto de 20,7 MPa (3000 PSI) de 0,15 x 0,20 m, incluye refuerzo</t>
  </si>
  <si>
    <t>2.5</t>
  </si>
  <si>
    <t>GU-02-05</t>
  </si>
  <si>
    <t>Anclaje epóxico para 1/2" profundidad 0,25 m</t>
  </si>
  <si>
    <t xml:space="preserve">MAMPOSTERIA Y CONCRETO </t>
  </si>
  <si>
    <t>GU-03-01</t>
  </si>
  <si>
    <t>Levantamiento Arquitectónico - GUATICA</t>
  </si>
  <si>
    <t>Revoque muro incluye dilataciones y filos</t>
  </si>
  <si>
    <t>3.2</t>
  </si>
  <si>
    <t>GU-03-02</t>
  </si>
  <si>
    <t>Memorias Hidráulicas y Planos Hidráulicos - GUATICA</t>
  </si>
  <si>
    <t>Resane con malla para incrustar redes a muros y piso</t>
  </si>
  <si>
    <t>3.3</t>
  </si>
  <si>
    <t>GU-03-03</t>
  </si>
  <si>
    <t>Filos y dilataciones</t>
  </si>
  <si>
    <t>3.4</t>
  </si>
  <si>
    <t>GU-03-04</t>
  </si>
  <si>
    <t>NSR-10 Título D - NTC 4076</t>
  </si>
  <si>
    <t>Muro estructural en bloque de cemento de 0,12 x 0,19 x 0,39 m, Si incluye refuerzo</t>
  </si>
  <si>
    <t>3.5</t>
  </si>
  <si>
    <t>GU-03-05</t>
  </si>
  <si>
    <t>NTC 4517 / NSR-10 Título F</t>
  </si>
  <si>
    <t>Cubierta en Teja de Tipo Colonial UPVC 2mm Sobre Estructural Metalica Anclada a Rampa Existente Ancho = 35cm</t>
  </si>
  <si>
    <t>GU-04-01</t>
  </si>
  <si>
    <t>Piso Pared Ceramica ± 30 x 60 cm Blanco o similar al existente, tráfico medio, incluye fijador de cerámica</t>
  </si>
  <si>
    <t>GU-04-02</t>
  </si>
  <si>
    <t>GU-04-03</t>
  </si>
  <si>
    <t>Caja de inspección de 0,60 x 0,60 x 0,60 m en concreto de 17,2 MPa, tapa reforzada en concreto de 20,7 MPa</t>
  </si>
  <si>
    <t>GU-05-01</t>
  </si>
  <si>
    <t>GU-06-01</t>
  </si>
  <si>
    <t>Planta de Tratamiento Pre ensamblada 6500 lts/día, incluye Bomba centrífuga, Tanque Polyglass con lecho Arena Sílice, Tanque Polyglass con lecho de Carbón Activado, Bomba dosificadora, Tanque Plástico Hipoclorito, Kit medidor de Cloro y PH, Manometros, Tablero de Control, Sondas de NIvel, Tubería PVC de uniones y Válvulas</t>
  </si>
  <si>
    <t>GU-06-02</t>
  </si>
  <si>
    <t>GU-06-03</t>
  </si>
  <si>
    <t>GU-06-04</t>
  </si>
  <si>
    <t>Ficha Técnica - Tanque Botella Rotoplast</t>
  </si>
  <si>
    <t xml:space="preserve">Tanque Botella 2.000 Litros Con Tapa tipo manhole superior </t>
  </si>
  <si>
    <t>GU-06-05</t>
  </si>
  <si>
    <t xml:space="preserve">Tanque Botella 1.100 Litros Con Tapa tipo manhole superior </t>
  </si>
  <si>
    <t>GU-06-06</t>
  </si>
  <si>
    <t xml:space="preserve">Tanque Botella 600 Litros Con Tapa tipo manhole superior </t>
  </si>
  <si>
    <t>GU-06-07</t>
  </si>
  <si>
    <t>Automatización para llenado del tanque de agua tratada con agua de la red, Incluye Válvula con actuador de 3/4" y Anclaje a tablero de Control</t>
  </si>
  <si>
    <t>6.8</t>
  </si>
  <si>
    <t>GU-06-08</t>
  </si>
  <si>
    <t>Sistema de bombeo y presurización con stand by, Incluye 2 Bombas Multietapa 0.25 HP, Variador de Velocidad, Tanque Pulmon, Flotador Electrico y Manometro</t>
  </si>
  <si>
    <t>GU-07-01</t>
  </si>
  <si>
    <t>GU-07-02</t>
  </si>
  <si>
    <t>Tubería PVC agua lluvia de 2", incluye accesorios</t>
  </si>
  <si>
    <t>GU-07-03</t>
  </si>
  <si>
    <t>Tubería PVC Cuadrada Rainmax 64x61mm, incluye accesorios</t>
  </si>
  <si>
    <t>GU-07-04</t>
  </si>
  <si>
    <t>Canal PVC tipo Amazonas o similar, incluye accesorios</t>
  </si>
  <si>
    <t>GU-07-05</t>
  </si>
  <si>
    <t>GU-07-06</t>
  </si>
  <si>
    <t>GU-07-07</t>
  </si>
  <si>
    <t>GU-07-08</t>
  </si>
  <si>
    <t>GU-07-09</t>
  </si>
  <si>
    <t>GU-07-10</t>
  </si>
  <si>
    <t>GU-07-11</t>
  </si>
  <si>
    <t>Lavamanos tipo Avanti de colgar con grifería y pedestal</t>
  </si>
  <si>
    <t>GU-07-12</t>
  </si>
  <si>
    <t>NTC 920-1 / NTC 1644</t>
  </si>
  <si>
    <t>Sanitario Montecarlo Advance Redondo</t>
  </si>
  <si>
    <t>7.13</t>
  </si>
  <si>
    <t>GU-07-13</t>
  </si>
  <si>
    <t>NTC 1736</t>
  </si>
  <si>
    <t>Espejo de 4 mm biselado ± 0,80 x 1,00 m</t>
  </si>
  <si>
    <t>7.14</t>
  </si>
  <si>
    <t>GU-07-14</t>
  </si>
  <si>
    <t>Dispensador de Toallas de Papel Z Plástico</t>
  </si>
  <si>
    <t>7.15</t>
  </si>
  <si>
    <t>GU-07-15</t>
  </si>
  <si>
    <t>Dispensador De Papel Higiénico Plástico Blanco Diametro De 26 Cm</t>
  </si>
  <si>
    <t>7.16</t>
  </si>
  <si>
    <t>GU-07-16</t>
  </si>
  <si>
    <t xml:space="preserve">Dispensador De Jabón Líquido Plástico Blanco 350 Ml </t>
  </si>
  <si>
    <t>7.17</t>
  </si>
  <si>
    <t>GU-07-17</t>
  </si>
  <si>
    <t>GU-08-01</t>
  </si>
  <si>
    <t>Reinstalación puerta y marco en madera, incluye resane y pintura</t>
  </si>
  <si>
    <t>GU-09-01</t>
  </si>
  <si>
    <t>Memorias Eléctricas y Planos Eléctricos - GUATICA</t>
  </si>
  <si>
    <t>9.2</t>
  </si>
  <si>
    <t>GU-09-02</t>
  </si>
  <si>
    <t>9.3</t>
  </si>
  <si>
    <t>GU-09-03</t>
  </si>
  <si>
    <t>9.4</t>
  </si>
  <si>
    <t>GU-09-04</t>
  </si>
  <si>
    <t>9.5</t>
  </si>
  <si>
    <t>GU-09-05</t>
  </si>
  <si>
    <t>Luminaria de sobreponer tipo tortuga, CF 23 W, ILTEC o similar. Incluye 0.7 m de cable encauchetado y clavija</t>
  </si>
  <si>
    <t>9.6</t>
  </si>
  <si>
    <t>GU-09-06</t>
  </si>
  <si>
    <t>9.7</t>
  </si>
  <si>
    <t>GU-09-07</t>
  </si>
  <si>
    <t>9.8</t>
  </si>
  <si>
    <t>GU-09-08</t>
  </si>
  <si>
    <t>Salida interruptor sencillo, tubería EMT ø 3/4"</t>
  </si>
  <si>
    <t>SUBTOTAL PALACIO DE JUSTICIA DE GUATICA</t>
  </si>
  <si>
    <t>SISTEMA DE CAPTACIÓN Y APROVECHAMIENTO DE AGUAS LLUVIAS - PALACIO DE JUSTICIA DE QUINCHIA</t>
  </si>
  <si>
    <t>QU-01-01</t>
  </si>
  <si>
    <t>Informe Diagnóstico - Sede QUINCHIA</t>
  </si>
  <si>
    <t>QU-01-02</t>
  </si>
  <si>
    <t>QU-01-03</t>
  </si>
  <si>
    <t>QU-01-04</t>
  </si>
  <si>
    <t>QU-01-05</t>
  </si>
  <si>
    <t>QU-01-06</t>
  </si>
  <si>
    <t>QU-01-07</t>
  </si>
  <si>
    <t>QU-01-08</t>
  </si>
  <si>
    <t>QU-01-09</t>
  </si>
  <si>
    <t>QU-01-10</t>
  </si>
  <si>
    <t>QU-01-11</t>
  </si>
  <si>
    <t>QU-01-12</t>
  </si>
  <si>
    <t>QU-01-13</t>
  </si>
  <si>
    <t>QU-01-14</t>
  </si>
  <si>
    <t>QU-02-01</t>
  </si>
  <si>
    <t>Memorias Estructurales y Planos Estructurales - QUINCHIA</t>
  </si>
  <si>
    <t>QU-02-02</t>
  </si>
  <si>
    <t>QU-03-01</t>
  </si>
  <si>
    <t>Levantamiento Arquitectónico - QUINCHIA</t>
  </si>
  <si>
    <t>QU-03-02</t>
  </si>
  <si>
    <t>Memorias Hidráulicas y Planos Hidráulicos - QUINCHIA</t>
  </si>
  <si>
    <t>QU-03-03</t>
  </si>
  <si>
    <t>QU-03-04</t>
  </si>
  <si>
    <t>QU-03-05</t>
  </si>
  <si>
    <t>Muro en placa de fibrocemento e = 8 mm o similar 1 cara, incluye pintura</t>
  </si>
  <si>
    <t>QU-04-01</t>
  </si>
  <si>
    <t>QU-04-02</t>
  </si>
  <si>
    <t>QU-04-03</t>
  </si>
  <si>
    <t>QU-05-01</t>
  </si>
  <si>
    <t>QU-06-01</t>
  </si>
  <si>
    <t>QU-06-02</t>
  </si>
  <si>
    <t>QU-06-03</t>
  </si>
  <si>
    <t>QU-06-04</t>
  </si>
  <si>
    <t>QU-06-05</t>
  </si>
  <si>
    <t>QU-06-06</t>
  </si>
  <si>
    <t>QU-06-07</t>
  </si>
  <si>
    <t>QU-07-01</t>
  </si>
  <si>
    <t>QU-07-02</t>
  </si>
  <si>
    <t>QU-07-03</t>
  </si>
  <si>
    <t>Punto hidráulico PVC de 1"  L prom = 3 m en mampostería de ladrillo o similar</t>
  </si>
  <si>
    <t>QU-07-04</t>
  </si>
  <si>
    <t>QU-07-05</t>
  </si>
  <si>
    <t>QU-07-06</t>
  </si>
  <si>
    <t>QU-07-07</t>
  </si>
  <si>
    <t>QU-07-08</t>
  </si>
  <si>
    <t>QU-07-09</t>
  </si>
  <si>
    <t>QU-07-10</t>
  </si>
  <si>
    <t>Orinal tipo Institucional seco gobi incluye sistema tds 2 Blanco</t>
  </si>
  <si>
    <t>QU-08-01</t>
  </si>
  <si>
    <t>SUBTOTAL PALACIO DE JUSTICIA DE QUINCHIA</t>
  </si>
  <si>
    <t>SUBTOTAL OBRAS</t>
  </si>
  <si>
    <t>COSTO DIRECTO OBRA</t>
  </si>
  <si>
    <t>ADMINISTRACION</t>
  </si>
  <si>
    <t>UTILIDAD</t>
  </si>
  <si>
    <t>IVA SOBRE UTILIDAD</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</si>
  <si>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</si>
  <si>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</si>
  <si>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</si>
  <si>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</si>
  <si>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</si>
  <si>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</si>
  <si>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</si>
  <si>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</si>
  <si>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</si>
  <si>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</si>
  <si>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</si>
  <si>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</si>
  <si>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</si>
  <si>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</si>
  <si>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</si>
  <si>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</si>
  <si>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</si>
  <si>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</si>
  <si>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</si>
  <si>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</si>
  <si>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</si>
  <si>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</si>
  <si>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</si>
  <si>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</si>
  <si>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</si>
  <si>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</si>
  <si>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</si>
  <si>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</si>
  <si>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</si>
  <si>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</si>
  <si>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</si>
  <si>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</si>
  <si>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</si>
  <si>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</si>
  <si>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</si>
  <si>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</si>
  <si>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</si>
  <si>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</si>
  <si>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</si>
  <si>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</si>
  <si>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</si>
  <si>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</si>
  <si>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</si>
  <si>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</si>
  <si>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</si>
  <si>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</si>
  <si>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</si>
  <si>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</si>
  <si>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</si>
  <si>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</si>
  <si>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</si>
  <si>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</si>
  <si>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</si>
  <si>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</si>
  <si>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</si>
  <si>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</si>
  <si>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</si>
  <si>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</si>
  <si>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</si>
  <si>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</si>
  <si>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</si>
  <si>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</si>
  <si>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</si>
  <si>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</si>
  <si>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</si>
  <si>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</si>
  <si>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</si>
  <si>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</si>
  <si>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</si>
  <si>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</si>
  <si>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</si>
  <si>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</si>
  <si>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Tubería PVC presión de 1 1/2" RDE 21</t>
  </si>
  <si>
    <t>QU-07-11</t>
  </si>
  <si>
    <t>QU-07-12</t>
  </si>
  <si>
    <t>QU-07-13</t>
  </si>
  <si>
    <t>QU-09-01</t>
  </si>
  <si>
    <t>Memorias Eléctricas y Planos Eléctricos - QUINCHIA</t>
  </si>
  <si>
    <t>m</t>
  </si>
  <si>
    <t>QU-09-02</t>
  </si>
  <si>
    <t>Tubería conduit EMT 1", soporte en riel Unistrut. Incluye curvas y accesorios de conexión</t>
  </si>
  <si>
    <t>QU-09-03</t>
  </si>
  <si>
    <t>QU-09-04</t>
  </si>
  <si>
    <t>un</t>
  </si>
  <si>
    <t>QU-09-05</t>
  </si>
  <si>
    <t>QU-09-06</t>
  </si>
  <si>
    <t>Malla electrosoldada M-188  Φ 6.00 mm c/0.15 m en ambos sentidos (incluye alambre negro, colocación y traslapo)</t>
  </si>
  <si>
    <t>Placa maciza en concreto de 21.0 Mpa (3000 PSI) e = 0,15 m, no incluye refuerzo</t>
  </si>
  <si>
    <t>Caja de inspección de 0,60 x 0,60 x 0,60 m en concreto de 17,2 Mpa, tapa reforzada en concreto de 20,7 Mpa</t>
  </si>
  <si>
    <t>Planta de Tratamiento Pre ensamblada 6500 lts/dia, incluye Bomba centrífuga, Tanque Polyglass con lecho Arena Sílice, Tanque Polyglass con lecho de Carbón Activado, Bomba dosificadora, Tanque Plastico Hipoclorito, Kit medidor de Cloro y PH, Manometros, Tablero de Control, Sondas de NIvel, Tuberia PVC de uniones y Valvulas</t>
  </si>
  <si>
    <t>Automatización para llenado del tanque de agua tratada con agua de la red, Incluye Valvula con actuador de 3/4" y Anclaje a tablero de Control</t>
  </si>
  <si>
    <t>Sistema de bombeo y presurización con stand by, Incluye 2
Bombas Multietapa 0.5HP, Variador de Velocidad, Tanque Pulmon, Flotador Electrico y Manometro</t>
  </si>
  <si>
    <t xml:space="preserve">Valvula de Bola de 1" </t>
  </si>
  <si>
    <t xml:space="preserve">Valvula de Bola de 1 1/2" </t>
  </si>
  <si>
    <t xml:space="preserve">Valvula de Bola de 2" </t>
  </si>
  <si>
    <t xml:space="preserve">Cuelga o Abracedera a Techo para tuberias en Cinta Bandit </t>
  </si>
  <si>
    <t>ITEM DE PAGO</t>
  </si>
  <si>
    <t xml:space="preserve">ESPECIFICACIONES </t>
  </si>
  <si>
    <t>GENERAL</t>
  </si>
  <si>
    <t>PARTICULAR</t>
  </si>
  <si>
    <t>Malla electrosoldada M-335  Φ 8.00 mm c/0.15 m en ambos sentidos (incluye alambre negro, colocación y traslapo)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</si>
</sst>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4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8"/>
      <name val="Arial"/>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8" tint="0.39997558519241921"/>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cellStyleXfs>
  <cellXfs count="368">
    <xf numFmtId="0" fontId="0" fillId="0" borderId="0" xfId="0"/>
    <xf numFmtId="0" fontId="42" fillId="0" borderId="20" xfId="126" applyFont="1" applyBorder="1" applyAlignment="1">
      <alignment horizontal="center" vertical="center" wrapText="1"/>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0" fontId="39" fillId="0" borderId="18" xfId="73" applyFont="1" applyBorder="1" applyAlignment="1">
      <alignment horizontal="left" vertical="center" wrapText="1"/>
    </xf>
    <xf numFmtId="0" fontId="39" fillId="0" borderId="18" xfId="73" applyFont="1" applyBorder="1" applyAlignment="1">
      <alignment horizontal="center" vertical="center" wrapText="1"/>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0" fontId="39" fillId="0" borderId="14" xfId="73" applyFont="1" applyBorder="1" applyAlignment="1">
      <alignment horizontal="left" vertical="center" wrapText="1"/>
    </xf>
    <xf numFmtId="0" fontId="39" fillId="0" borderId="21" xfId="128" applyFont="1" applyBorder="1" applyAlignment="1">
      <alignment horizontal="left" vertical="center" wrapText="1"/>
    </xf>
    <xf numFmtId="0" fontId="39" fillId="0" borderId="0" xfId="128" applyFont="1" applyAlignment="1">
      <alignment horizontal="center"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6"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40" fillId="0" borderId="0" xfId="0" applyFont="1" applyAlignment="1">
      <alignment horizontal="left" wrapText="1"/>
    </xf>
    <xf numFmtId="0" fontId="39" fillId="0" borderId="0" xfId="89" applyFont="1" applyAlignment="1">
      <alignment wrapText="1"/>
    </xf>
    <xf numFmtId="0" fontId="41" fillId="0" borderId="0" xfId="0" applyFont="1" applyAlignment="1">
      <alignment horizontal="left" wrapText="1"/>
    </xf>
    <xf numFmtId="0" fontId="39" fillId="0" borderId="36" xfId="89" applyFont="1" applyBorder="1" applyAlignment="1">
      <alignment wrapText="1"/>
    </xf>
    <xf numFmtId="0" fontId="39" fillId="0" borderId="37" xfId="89" applyFont="1" applyBorder="1" applyAlignment="1">
      <alignment wrapText="1"/>
    </xf>
    <xf numFmtId="0" fontId="39" fillId="0" borderId="87" xfId="89" applyFont="1" applyBorder="1" applyAlignment="1">
      <alignment wrapText="1"/>
    </xf>
    <xf numFmtId="0" fontId="39" fillId="25" borderId="87" xfId="89" applyFont="1" applyFill="1" applyBorder="1" applyAlignment="1">
      <alignment wrapText="1"/>
    </xf>
    <xf numFmtId="0" fontId="39" fillId="25" borderId="37" xfId="89" applyFont="1" applyFill="1" applyBorder="1" applyAlignment="1">
      <alignment wrapText="1"/>
    </xf>
    <xf numFmtId="0" fontId="39" fillId="25" borderId="0" xfId="89" applyFont="1" applyFill="1" applyAlignment="1">
      <alignment wrapText="1"/>
    </xf>
    <xf numFmtId="0" fontId="42" fillId="24" borderId="41" xfId="73" applyFont="1" applyFill="1" applyBorder="1" applyAlignment="1">
      <alignment vertical="center" wrapText="1"/>
    </xf>
    <xf numFmtId="0" fontId="42" fillId="24" borderId="42" xfId="73" applyFont="1" applyFill="1" applyBorder="1" applyAlignment="1">
      <alignment vertical="center" wrapText="1"/>
    </xf>
    <xf numFmtId="0" fontId="42" fillId="28" borderId="41" xfId="73" applyFont="1" applyFill="1" applyBorder="1" applyAlignment="1">
      <alignment vertical="center" wrapText="1"/>
    </xf>
    <xf numFmtId="0" fontId="42" fillId="28" borderId="42" xfId="73" applyFont="1" applyFill="1" applyBorder="1" applyAlignment="1">
      <alignment vertical="center" wrapText="1"/>
    </xf>
    <xf numFmtId="0" fontId="39" fillId="0" borderId="18" xfId="74" applyFont="1" applyBorder="1" applyAlignment="1">
      <alignment horizontal="center" vertical="center" wrapText="1"/>
    </xf>
    <xf numFmtId="0" fontId="39" fillId="0" borderId="14" xfId="74" applyFont="1" applyBorder="1" applyAlignment="1">
      <alignment horizontal="center" vertical="center" wrapText="1"/>
    </xf>
    <xf numFmtId="176" fontId="42" fillId="0" borderId="38" xfId="39" applyNumberFormat="1" applyFont="1" applyBorder="1" applyAlignment="1">
      <alignment horizontal="right" vertical="center" wrapText="1"/>
    </xf>
    <xf numFmtId="0" fontId="39" fillId="0" borderId="14" xfId="89" applyFont="1" applyBorder="1" applyAlignment="1">
      <alignment wrapText="1"/>
    </xf>
    <xf numFmtId="0" fontId="39" fillId="0" borderId="14" xfId="89" applyFont="1" applyBorder="1" applyAlignment="1">
      <alignment horizontal="center" wrapText="1"/>
    </xf>
    <xf numFmtId="0" fontId="39" fillId="0" borderId="0" xfId="73" applyFont="1" applyAlignment="1">
      <alignment horizontal="center" vertical="center" wrapText="1"/>
    </xf>
    <xf numFmtId="176" fontId="42" fillId="0" borderId="48" xfId="39" applyNumberFormat="1" applyFont="1" applyBorder="1" applyAlignment="1">
      <alignment horizontal="right" vertical="center" wrapText="1"/>
    </xf>
    <xf numFmtId="2" fontId="39" fillId="0" borderId="14" xfId="73" applyNumberFormat="1" applyFont="1" applyBorder="1" applyAlignment="1">
      <alignment horizontal="center" vertical="center" wrapText="1"/>
    </xf>
    <xf numFmtId="0" fontId="39" fillId="0" borderId="14" xfId="73" applyFont="1" applyBorder="1" applyAlignment="1">
      <alignment horizontal="center" vertical="center" wrapText="1"/>
    </xf>
    <xf numFmtId="0" fontId="39" fillId="0" borderId="36" xfId="90" applyFont="1" applyBorder="1" applyAlignment="1">
      <alignment wrapText="1"/>
    </xf>
    <xf numFmtId="187" fontId="42" fillId="24" borderId="42" xfId="73" applyNumberFormat="1" applyFont="1" applyFill="1" applyBorder="1" applyAlignment="1">
      <alignment vertical="center" wrapText="1"/>
    </xf>
    <xf numFmtId="0" fontId="39" fillId="0" borderId="37" xfId="90" applyFont="1" applyBorder="1" applyAlignment="1">
      <alignment wrapText="1"/>
    </xf>
    <xf numFmtId="0" fontId="39" fillId="0" borderId="0" xfId="90" applyFont="1" applyAlignment="1">
      <alignment wrapText="1"/>
    </xf>
    <xf numFmtId="49" fontId="42" fillId="0" borderId="0" xfId="131" applyNumberFormat="1" applyFont="1" applyAlignment="1">
      <alignment horizontal="right" vertical="center" wrapText="1"/>
    </xf>
    <xf numFmtId="186" fontId="42" fillId="0" borderId="0" xfId="131" applyNumberFormat="1" applyFont="1" applyAlignment="1">
      <alignment vertical="center" wrapText="1"/>
    </xf>
    <xf numFmtId="0" fontId="39" fillId="0" borderId="0" xfId="128" applyFont="1" applyAlignment="1">
      <alignment wrapText="1"/>
    </xf>
    <xf numFmtId="0" fontId="39" fillId="0" borderId="0" xfId="128" applyFont="1" applyAlignment="1">
      <alignment horizontal="center" wrapText="1"/>
    </xf>
    <xf numFmtId="181" fontId="39" fillId="0" borderId="35" xfId="129" applyNumberFormat="1" applyFont="1" applyBorder="1" applyAlignment="1">
      <alignment vertical="center" wrapText="1"/>
    </xf>
    <xf numFmtId="180" fontId="39" fillId="0" borderId="22" xfId="129" applyNumberFormat="1" applyFont="1" applyBorder="1" applyAlignment="1">
      <alignment horizontal="center" vertical="center" wrapText="1"/>
    </xf>
    <xf numFmtId="0" fontId="42" fillId="0" borderId="22" xfId="128" applyFont="1" applyBorder="1" applyAlignment="1">
      <alignment vertical="center" wrapText="1"/>
    </xf>
    <xf numFmtId="0" fontId="42" fillId="0" borderId="23" xfId="128" applyFont="1" applyBorder="1" applyAlignment="1">
      <alignment horizontal="right" vertical="center" wrapText="1"/>
    </xf>
    <xf numFmtId="181" fontId="39" fillId="0" borderId="30" xfId="129" applyNumberFormat="1" applyFont="1" applyBorder="1" applyAlignment="1">
      <alignment vertical="center" wrapText="1"/>
    </xf>
    <xf numFmtId="0" fontId="39" fillId="0" borderId="0" xfId="126" applyFont="1" applyAlignment="1">
      <alignment horizontal="center" vertical="center" wrapText="1"/>
    </xf>
    <xf numFmtId="9" fontId="39" fillId="0" borderId="22" xfId="129" applyNumberFormat="1" applyFont="1" applyBorder="1" applyAlignment="1">
      <alignment horizontal="center" vertical="center" wrapText="1"/>
    </xf>
    <xf numFmtId="181" fontId="39" fillId="0" borderId="22" xfId="129" applyNumberFormat="1" applyFont="1" applyBorder="1" applyAlignment="1">
      <alignment vertical="center" wrapText="1"/>
    </xf>
    <xf numFmtId="0" fontId="42" fillId="0" borderId="27" xfId="128" applyFont="1" applyBorder="1" applyAlignment="1">
      <alignment horizontal="left" vertical="center" wrapText="1"/>
    </xf>
    <xf numFmtId="9" fontId="39" fillId="0" borderId="31" xfId="129" applyNumberFormat="1" applyFont="1" applyBorder="1" applyAlignment="1">
      <alignment horizontal="center" vertical="center" wrapText="1"/>
    </xf>
    <xf numFmtId="181" fontId="42" fillId="0" borderId="31" xfId="129" applyNumberFormat="1" applyFont="1" applyBorder="1" applyAlignment="1">
      <alignment vertical="center" wrapText="1"/>
    </xf>
    <xf numFmtId="0" fontId="39" fillId="0" borderId="28" xfId="128" applyFont="1" applyBorder="1" applyAlignment="1">
      <alignment vertical="center" wrapText="1"/>
    </xf>
    <xf numFmtId="2" fontId="39" fillId="0" borderId="0" xfId="128" applyNumberFormat="1" applyFont="1" applyAlignment="1">
      <alignment wrapText="1"/>
    </xf>
    <xf numFmtId="181" fontId="39" fillId="0" borderId="0" xfId="129" applyNumberFormat="1" applyFont="1" applyBorder="1" applyAlignment="1">
      <alignment wrapText="1"/>
    </xf>
    <xf numFmtId="39" fontId="42" fillId="0" borderId="0" xfId="129" applyNumberFormat="1" applyFont="1" applyBorder="1" applyAlignment="1">
      <alignment vertical="center" wrapText="1"/>
    </xf>
    <xf numFmtId="0" fontId="42" fillId="0" borderId="34" xfId="79" applyFont="1" applyBorder="1" applyAlignment="1">
      <alignment vertical="center" wrapText="1"/>
    </xf>
    <xf numFmtId="182" fontId="39" fillId="0" borderId="37" xfId="90" applyNumberFormat="1" applyFont="1" applyBorder="1" applyAlignment="1">
      <alignment wrapText="1"/>
    </xf>
    <xf numFmtId="186" fontId="42" fillId="26" borderId="45" xfId="60" applyNumberFormat="1" applyFont="1" applyFill="1" applyBorder="1" applyAlignment="1">
      <alignment horizontal="center" vertical="center" wrapText="1"/>
    </xf>
    <xf numFmtId="184" fontId="39" fillId="0" borderId="37" xfId="90" applyNumberFormat="1" applyFont="1" applyBorder="1" applyAlignment="1">
      <alignment wrapText="1"/>
    </xf>
    <xf numFmtId="186" fontId="42" fillId="26" borderId="18" xfId="60" applyNumberFormat="1" applyFont="1" applyFill="1" applyBorder="1" applyAlignment="1">
      <alignment horizontal="center" vertical="center" wrapText="1"/>
    </xf>
    <xf numFmtId="9" fontId="39" fillId="27" borderId="30" xfId="95" applyFont="1" applyFill="1" applyBorder="1" applyAlignment="1">
      <alignment horizontal="center" vertical="center" wrapText="1"/>
    </xf>
    <xf numFmtId="0" fontId="39" fillId="0" borderId="80" xfId="90" applyFont="1" applyBorder="1" applyAlignment="1">
      <alignment wrapText="1"/>
    </xf>
    <xf numFmtId="0" fontId="39" fillId="0" borderId="81" xfId="89" applyFont="1" applyBorder="1" applyAlignment="1">
      <alignment wrapText="1"/>
    </xf>
    <xf numFmtId="0" fontId="39" fillId="0" borderId="81" xfId="89" applyFont="1" applyBorder="1" applyAlignment="1">
      <alignment horizontal="center" wrapText="1"/>
    </xf>
    <xf numFmtId="185" fontId="39" fillId="0" borderId="81" xfId="34" applyNumberFormat="1" applyFont="1" applyBorder="1" applyAlignment="1">
      <alignment wrapText="1"/>
    </xf>
    <xf numFmtId="0" fontId="39" fillId="0" borderId="82" xfId="89" applyFont="1" applyBorder="1" applyAlignment="1">
      <alignment wrapText="1"/>
    </xf>
    <xf numFmtId="0" fontId="39" fillId="0" borderId="0" xfId="89" applyFont="1" applyAlignment="1">
      <alignment horizontal="center" wrapText="1"/>
    </xf>
    <xf numFmtId="187" fontId="42" fillId="29" borderId="42" xfId="73" applyNumberFormat="1" applyFont="1" applyFill="1" applyBorder="1" applyAlignment="1">
      <alignment vertical="center" wrapText="1"/>
    </xf>
    <xf numFmtId="9" fontId="39" fillId="0" borderId="23" xfId="128" applyNumberFormat="1" applyFont="1" applyBorder="1" applyAlignment="1">
      <alignment horizontal="right" vertical="center" wrapText="1"/>
    </xf>
    <xf numFmtId="49" fontId="42" fillId="24" borderId="39" xfId="73" applyNumberFormat="1" applyFont="1" applyFill="1" applyBorder="1" applyAlignment="1">
      <alignment vertical="center" wrapText="1"/>
    </xf>
    <xf numFmtId="49" fontId="42" fillId="28" borderId="39" xfId="73" applyNumberFormat="1" applyFont="1" applyFill="1" applyBorder="1" applyAlignment="1">
      <alignment vertical="center" wrapText="1"/>
    </xf>
    <xf numFmtId="49" fontId="39" fillId="0" borderId="50" xfId="73" applyNumberFormat="1" applyFont="1" applyBorder="1" applyAlignment="1">
      <alignment horizontal="center" vertical="center" wrapText="1"/>
    </xf>
    <xf numFmtId="49" fontId="39" fillId="0" borderId="13" xfId="73" applyNumberFormat="1" applyFont="1" applyBorder="1" applyAlignment="1">
      <alignment horizontal="left" vertical="center" wrapText="1"/>
    </xf>
    <xf numFmtId="49" fontId="39" fillId="0" borderId="49" xfId="73" applyNumberFormat="1" applyFont="1" applyBorder="1" applyAlignment="1">
      <alignment horizontal="left" vertical="center" wrapText="1"/>
    </xf>
    <xf numFmtId="49" fontId="39" fillId="0" borderId="33" xfId="73" applyNumberFormat="1" applyFont="1" applyBorder="1" applyAlignment="1">
      <alignment horizontal="center" vertical="center" wrapText="1"/>
    </xf>
    <xf numFmtId="186" fontId="42" fillId="26" borderId="35" xfId="60" applyNumberFormat="1" applyFont="1" applyFill="1" applyBorder="1" applyAlignment="1">
      <alignment horizontal="center" vertical="center" wrapText="1"/>
    </xf>
    <xf numFmtId="49" fontId="42" fillId="24" borderId="41" xfId="73" applyNumberFormat="1" applyFont="1" applyFill="1" applyBorder="1" applyAlignment="1">
      <alignment vertical="center" wrapText="1"/>
    </xf>
    <xf numFmtId="49" fontId="42" fillId="28" borderId="41" xfId="73" applyNumberFormat="1" applyFont="1" applyFill="1" applyBorder="1" applyAlignment="1">
      <alignment vertical="center" wrapText="1"/>
    </xf>
    <xf numFmtId="49" fontId="39" fillId="0" borderId="18" xfId="74" applyNumberFormat="1" applyFont="1" applyBorder="1" applyAlignment="1">
      <alignment horizontal="center" vertical="center" wrapText="1"/>
    </xf>
    <xf numFmtId="49" fontId="39" fillId="0" borderId="14" xfId="74" applyNumberFormat="1" applyFont="1" applyBorder="1" applyAlignment="1">
      <alignment horizontal="center" vertical="center" wrapText="1"/>
    </xf>
    <xf numFmtId="49" fontId="39" fillId="0" borderId="14" xfId="89" applyNumberFormat="1" applyFont="1" applyBorder="1" applyAlignment="1">
      <alignment wrapText="1"/>
    </xf>
    <xf numFmtId="49" fontId="39" fillId="0" borderId="18" xfId="73" applyNumberFormat="1" applyFont="1" applyBorder="1" applyAlignment="1">
      <alignment horizontal="center" vertical="center" wrapText="1"/>
    </xf>
    <xf numFmtId="49" fontId="39" fillId="0" borderId="0" xfId="73" applyNumberFormat="1" applyFont="1" applyAlignment="1">
      <alignment horizontal="center" vertical="center" wrapText="1"/>
    </xf>
    <xf numFmtId="49" fontId="39" fillId="0" borderId="14" xfId="73" applyNumberFormat="1" applyFont="1" applyBorder="1" applyAlignment="1">
      <alignment horizontal="center" vertical="center" wrapText="1"/>
    </xf>
    <xf numFmtId="0" fontId="0" fillId="0" borderId="0" xfId="0" applyAlignment="1">
      <alignment wrapText="1"/>
    </xf>
    <xf numFmtId="0" fontId="39" fillId="25" borderId="36" xfId="89" applyFont="1" applyFill="1" applyBorder="1" applyAlignment="1">
      <alignment wrapText="1"/>
    </xf>
    <xf numFmtId="49" fontId="42" fillId="24" borderId="39" xfId="73" applyNumberFormat="1" applyFont="1" applyFill="1" applyBorder="1" applyAlignment="1">
      <alignment horizontal="center" vertical="center" wrapText="1"/>
    </xf>
    <xf numFmtId="49" fontId="42" fillId="28" borderId="39" xfId="73" applyNumberFormat="1" applyFont="1" applyFill="1" applyBorder="1" applyAlignment="1">
      <alignment horizontal="center" vertical="center" wrapText="1"/>
    </xf>
    <xf numFmtId="49" fontId="39" fillId="0" borderId="13" xfId="73" applyNumberFormat="1" applyFont="1" applyBorder="1" applyAlignment="1">
      <alignment horizontal="center" vertical="center" wrapText="1"/>
    </xf>
    <xf numFmtId="49" fontId="39" fillId="0" borderId="49" xfId="73" applyNumberFormat="1" applyFont="1" applyBorder="1" applyAlignment="1">
      <alignment horizontal="center" vertical="center" wrapText="1"/>
    </xf>
    <xf numFmtId="49" fontId="42" fillId="0" borderId="0" xfId="131" applyNumberFormat="1" applyFont="1" applyAlignment="1">
      <alignment horizontal="center" vertical="center" wrapText="1"/>
    </xf>
    <xf numFmtId="0" fontId="41" fillId="0" borderId="0" xfId="0" applyFont="1" applyAlignment="1">
      <alignment horizontal="center" vertical="center" wrapText="1"/>
    </xf>
    <xf numFmtId="0" fontId="39" fillId="0" borderId="81" xfId="89" applyFont="1" applyBorder="1" applyAlignment="1">
      <alignment horizontal="center" vertical="center" wrapText="1"/>
    </xf>
    <xf numFmtId="0" fontId="39" fillId="0" borderId="0" xfId="89" applyFont="1" applyAlignment="1">
      <alignment horizontal="center" vertical="center" wrapText="1"/>
    </xf>
    <xf numFmtId="0" fontId="42" fillId="24" borderId="51" xfId="73" applyFont="1" applyFill="1" applyBorder="1" applyAlignment="1">
      <alignment vertical="center" wrapText="1"/>
    </xf>
    <xf numFmtId="49" fontId="42" fillId="24" borderId="39" xfId="73" applyNumberFormat="1" applyFont="1" applyFill="1" applyBorder="1" applyAlignment="1">
      <alignment vertical="center"/>
    </xf>
    <xf numFmtId="49" fontId="42" fillId="24" borderId="41" xfId="73" applyNumberFormat="1" applyFont="1" applyFill="1" applyBorder="1" applyAlignment="1">
      <alignment vertical="center"/>
    </xf>
    <xf numFmtId="0" fontId="42" fillId="24" borderId="41" xfId="73" applyFont="1" applyFill="1" applyBorder="1" applyAlignment="1">
      <alignment vertical="center"/>
    </xf>
    <xf numFmtId="0" fontId="42" fillId="24" borderId="51" xfId="73" applyFont="1" applyFill="1" applyBorder="1" applyAlignment="1">
      <alignment vertical="center"/>
    </xf>
    <xf numFmtId="9" fontId="39" fillId="27" borderId="30" xfId="95" applyFont="1" applyFill="1" applyBorder="1" applyAlignment="1">
      <alignment horizontal="center" vertical="center"/>
    </xf>
    <xf numFmtId="0" fontId="40" fillId="0" borderId="0" xfId="0" applyFont="1" applyAlignment="1">
      <alignment horizontal="left" wrapText="1"/>
    </xf>
    <xf numFmtId="0" fontId="42" fillId="0" borderId="58" xfId="130" applyFont="1" applyBorder="1" applyAlignment="1">
      <alignment horizontal="center" wrapText="1"/>
    </xf>
    <xf numFmtId="0" fontId="42" fillId="0" borderId="57" xfId="130" applyFont="1" applyBorder="1" applyAlignment="1">
      <alignment horizontal="center" wrapText="1"/>
    </xf>
    <xf numFmtId="0" fontId="42" fillId="0" borderId="56" xfId="130" applyFont="1" applyBorder="1" applyAlignment="1">
      <alignment horizontal="center" wrapText="1"/>
    </xf>
    <xf numFmtId="0" fontId="39" fillId="0" borderId="86" xfId="89" applyFont="1" applyBorder="1" applyAlignment="1">
      <alignment horizontal="center" wrapText="1"/>
    </xf>
    <xf numFmtId="0" fontId="39" fillId="0" borderId="79" xfId="89" applyFont="1" applyBorder="1" applyAlignment="1">
      <alignment horizontal="center" wrapText="1"/>
    </xf>
    <xf numFmtId="0" fontId="39" fillId="0" borderId="88" xfId="89" applyFont="1" applyBorder="1" applyAlignment="1">
      <alignment horizontal="center" wrapText="1"/>
    </xf>
    <xf numFmtId="3" fontId="42" fillId="26" borderId="18" xfId="130" applyNumberFormat="1" applyFont="1" applyFill="1" applyBorder="1" applyAlignment="1">
      <alignment horizontal="center" vertical="center" wrapText="1"/>
    </xf>
    <xf numFmtId="0" fontId="39" fillId="0" borderId="16" xfId="79" applyFont="1" applyBorder="1" applyAlignment="1">
      <alignment horizontal="center" vertical="center" wrapText="1"/>
    </xf>
    <xf numFmtId="0" fontId="39" fillId="0" borderId="26" xfId="79" applyFont="1" applyBorder="1" applyAlignment="1">
      <alignment horizontal="center" vertical="center" wrapText="1"/>
    </xf>
    <xf numFmtId="0" fontId="42" fillId="0" borderId="11" xfId="130" applyFont="1" applyBorder="1" applyAlignment="1">
      <alignment horizontal="center" wrapText="1"/>
    </xf>
    <xf numFmtId="0" fontId="42" fillId="0" borderId="0" xfId="130" applyFont="1" applyAlignment="1">
      <alignment horizontal="center" wrapText="1"/>
    </xf>
    <xf numFmtId="0" fontId="42" fillId="0" borderId="12" xfId="130" applyFont="1" applyBorder="1" applyAlignment="1">
      <alignment horizontal="center" wrapText="1"/>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2" xfId="89" applyFont="1" applyFill="1" applyBorder="1" applyAlignment="1">
      <alignment horizontal="center" wrapText="1"/>
    </xf>
    <xf numFmtId="0" fontId="39" fillId="26" borderId="23" xfId="89" applyFont="1" applyFill="1" applyBorder="1" applyAlignment="1">
      <alignment horizontal="center" wrapText="1"/>
    </xf>
    <xf numFmtId="0" fontId="42" fillId="24" borderId="13" xfId="73" applyFont="1" applyFill="1" applyBorder="1" applyAlignment="1">
      <alignment horizontal="left" vertical="center" wrapText="1"/>
    </xf>
    <xf numFmtId="0" fontId="42" fillId="24" borderId="14" xfId="73" applyFont="1" applyFill="1" applyBorder="1" applyAlignment="1">
      <alignment horizontal="left" vertical="center" wrapText="1"/>
    </xf>
    <xf numFmtId="0" fontId="42" fillId="24" borderId="15" xfId="73" applyFont="1" applyFill="1" applyBorder="1" applyAlignment="1">
      <alignment horizontal="left" vertical="center" wrapText="1"/>
    </xf>
    <xf numFmtId="49" fontId="42" fillId="25" borderId="32" xfId="73" applyNumberFormat="1" applyFont="1" applyFill="1" applyBorder="1" applyAlignment="1">
      <alignment horizontal="center" vertical="center" wrapText="1"/>
    </xf>
    <xf numFmtId="49" fontId="42" fillId="25" borderId="46" xfId="73" applyNumberFormat="1" applyFont="1" applyFill="1" applyBorder="1" applyAlignment="1">
      <alignment horizontal="center" vertical="center" wrapText="1"/>
    </xf>
    <xf numFmtId="0" fontId="42" fillId="25" borderId="29" xfId="135" applyFont="1" applyFill="1" applyBorder="1" applyAlignment="1">
      <alignment horizontal="center" vertical="center" wrapText="1"/>
    </xf>
    <xf numFmtId="0" fontId="42" fillId="25" borderId="20" xfId="135" applyFont="1" applyFill="1" applyBorder="1" applyAlignment="1">
      <alignment horizontal="center" vertical="center" wrapText="1"/>
    </xf>
    <xf numFmtId="0" fontId="42" fillId="0" borderId="29" xfId="126" applyFont="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49" fontId="42" fillId="24" borderId="39" xfId="73" applyNumberFormat="1" applyFont="1" applyFill="1" applyBorder="1" applyAlignment="1">
      <alignment horizontal="right" vertical="center" wrapText="1"/>
    </xf>
    <xf numFmtId="49" fontId="42" fillId="24" borderId="41" xfId="73" applyNumberFormat="1" applyFont="1" applyFill="1" applyBorder="1" applyAlignment="1">
      <alignment horizontal="right" vertical="center" wrapText="1"/>
    </xf>
    <xf numFmtId="0" fontId="42" fillId="24" borderId="41" xfId="73" applyFont="1" applyFill="1" applyBorder="1" applyAlignment="1">
      <alignment horizontal="right" vertical="center" wrapText="1"/>
    </xf>
    <xf numFmtId="0" fontId="42" fillId="24" borderId="51" xfId="73" applyFont="1" applyFill="1" applyBorder="1" applyAlignment="1">
      <alignment horizontal="right" vertical="center" wrapText="1"/>
    </xf>
    <xf numFmtId="0" fontId="42" fillId="29" borderId="39" xfId="73" applyFont="1" applyFill="1" applyBorder="1" applyAlignment="1">
      <alignment horizontal="right" vertical="center" wrapText="1"/>
    </xf>
    <xf numFmtId="0" fontId="42" fillId="29" borderId="41" xfId="73" applyFont="1" applyFill="1" applyBorder="1" applyAlignment="1">
      <alignment horizontal="right" vertical="center" wrapText="1"/>
    </xf>
    <xf numFmtId="0" fontId="42" fillId="29" borderId="51" xfId="73" applyFont="1" applyFill="1" applyBorder="1" applyAlignment="1">
      <alignment horizontal="right" vertic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3" fontId="42" fillId="26" borderId="25" xfId="130" applyNumberFormat="1" applyFont="1" applyFill="1" applyBorder="1" applyAlignment="1">
      <alignment horizontal="center" vertical="center" wrapText="1"/>
    </xf>
    <xf numFmtId="0" fontId="42" fillId="26" borderId="18" xfId="130" applyFont="1" applyFill="1" applyBorder="1" applyAlignment="1">
      <alignment horizontal="center" vertical="center" wrapText="1"/>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55" xfId="89" applyFont="1" applyFill="1" applyBorder="1" applyAlignment="1">
      <alignment horizontal="center" wrapText="1"/>
    </xf>
    <xf numFmtId="0" fontId="42" fillId="0" borderId="85" xfId="130" applyFont="1" applyBorder="1" applyAlignment="1">
      <alignment horizontal="center" wrapText="1"/>
    </xf>
    <xf numFmtId="0" fontId="42" fillId="0" borderId="83" xfId="130" applyFont="1" applyBorder="1" applyAlignment="1">
      <alignment horizontal="center" wrapText="1"/>
    </xf>
    <xf numFmtId="0" fontId="42" fillId="0" borderId="84" xfId="130" applyFont="1" applyBorder="1" applyAlignment="1">
      <alignment horizontal="center" wrapText="1"/>
    </xf>
    <xf numFmtId="0" fontId="39" fillId="0" borderId="54" xfId="130" applyFont="1" applyBorder="1" applyAlignment="1">
      <alignment horizontal="center" wrapText="1"/>
    </xf>
    <xf numFmtId="0" fontId="39" fillId="0" borderId="70" xfId="130" applyFont="1" applyBorder="1" applyAlignment="1">
      <alignment horizontal="center" wrapText="1"/>
    </xf>
    <xf numFmtId="0" fontId="39" fillId="26" borderId="32" xfId="130" applyFont="1" applyFill="1" applyBorder="1" applyAlignment="1">
      <alignment vertical="center" wrapText="1"/>
    </xf>
    <xf numFmtId="0" fontId="39" fillId="26" borderId="29" xfId="130" applyFont="1" applyFill="1" applyBorder="1" applyAlignment="1">
      <alignment vertical="center" wrapText="1"/>
    </xf>
    <xf numFmtId="3" fontId="42" fillId="26" borderId="29" xfId="130" applyNumberFormat="1" applyFont="1" applyFill="1" applyBorder="1" applyAlignment="1">
      <alignment horizontal="center" vertical="center" wrapText="1"/>
    </xf>
    <xf numFmtId="0" fontId="40" fillId="0" borderId="0" xfId="0" applyFont="1" applyAlignment="1">
      <alignment horizontal="left"/>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0" fontId="39" fillId="0" borderId="21" xfId="0" applyFont="1" applyBorder="1"/>
    <xf numFmtId="0" fontId="39" fillId="0" borderId="22" xfId="0" applyFont="1" applyBorder="1"/>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0" fontId="39" fillId="0" borderId="27" xfId="0" applyFont="1" applyBorder="1"/>
    <xf numFmtId="0" fontId="39" fillId="0" borderId="31" xfId="0" applyFont="1" applyBorder="1"/>
    <xf numFmtId="0" fontId="39" fillId="0" borderId="60" xfId="0" applyFont="1" applyBorder="1" applyAlignment="1">
      <alignment horizontal="center"/>
    </xf>
    <xf numFmtId="0" fontId="39" fillId="0" borderId="28" xfId="0" applyFont="1" applyBorder="1" applyAlignment="1">
      <alignment horizontal="center"/>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28" xfId="0" applyFont="1" applyBorder="1"/>
    <xf numFmtId="0" fontId="39" fillId="0" borderId="23" xfId="0" applyFont="1" applyBorder="1"/>
    <xf numFmtId="0" fontId="42" fillId="24" borderId="34" xfId="0" applyFont="1" applyFill="1" applyBorder="1" applyAlignment="1">
      <alignment horizontal="center"/>
    </xf>
    <xf numFmtId="0" fontId="42" fillId="24" borderId="16" xfId="0" applyFont="1" applyFill="1" applyBorder="1" applyAlignment="1">
      <alignment horizontal="center"/>
    </xf>
    <xf numFmtId="0" fontId="42" fillId="24" borderId="17" xfId="0" applyFont="1" applyFill="1" applyBorder="1" applyAlignment="1">
      <alignment horizontal="center"/>
    </xf>
    <xf numFmtId="0" fontId="42" fillId="24" borderId="44" xfId="0" applyFont="1" applyFill="1" applyBorder="1" applyAlignment="1">
      <alignment horizontal="center"/>
    </xf>
    <xf numFmtId="173" fontId="39" fillId="0" borderId="19" xfId="34" applyFont="1" applyBorder="1" applyAlignment="1">
      <alignment horizontal="center"/>
    </xf>
    <xf numFmtId="173" fontId="39" fillId="0" borderId="23" xfId="34" applyFont="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39" fillId="24" borderId="27" xfId="0" applyFont="1" applyFill="1" applyBorder="1" applyAlignment="1">
      <alignment horizontal="center" vertical="center"/>
    </xf>
    <xf numFmtId="0" fontId="39" fillId="24" borderId="31" xfId="0" applyFont="1" applyFill="1" applyBorder="1" applyAlignment="1">
      <alignment horizontal="center" vertical="center"/>
    </xf>
    <xf numFmtId="0" fontId="39" fillId="24" borderId="68" xfId="0" applyFont="1" applyFill="1" applyBorder="1" applyAlignment="1">
      <alignment horizontal="center" vertical="center"/>
    </xf>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6" fillId="24" borderId="34" xfId="0" applyFont="1" applyFill="1" applyBorder="1" applyAlignment="1">
      <alignment horizontal="center" vertical="center" wrapText="1"/>
    </xf>
    <xf numFmtId="0" fontId="46" fillId="24" borderId="16" xfId="0" applyFont="1" applyFill="1" applyBorder="1" applyAlignment="1">
      <alignment horizontal="center" vertical="center" wrapText="1"/>
    </xf>
    <xf numFmtId="0" fontId="46" fillId="24" borderId="26" xfId="0" applyFont="1" applyFill="1" applyBorder="1" applyAlignment="1">
      <alignment horizontal="center" vertical="center" wrapText="1"/>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6" fillId="24" borderId="34" xfId="0" applyFont="1" applyFill="1" applyBorder="1" applyAlignment="1">
      <alignment horizontal="center" vertical="center"/>
    </xf>
    <xf numFmtId="0" fontId="46"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19" xfId="0" applyFont="1" applyBorder="1"/>
    <xf numFmtId="0" fontId="39" fillId="27" borderId="18" xfId="0" applyFont="1" applyFill="1" applyBorder="1" applyAlignment="1">
      <alignment horizontal="center" wrapText="1"/>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5" fillId="0" borderId="78" xfId="254" applyFont="1" applyBorder="1" applyAlignment="1" applyProtection="1">
      <alignment horizontal="center"/>
    </xf>
    <xf numFmtId="0" fontId="45"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7">
    <wetp:webextensionref xmlns:r="http://schemas.openxmlformats.org/officeDocument/2006/relationships" r:id="rId1"/>
  </wetp:taskpane>
</wetp:taskpanes>
</file>

<file path=xl/webextensions/webextension1.xml><?xml version="1.0" encoding="utf-8"?>
<we:webextension xmlns:we="http://schemas.microsoft.com/office/webextensions/webextension/2010/11" id="{45D85F09-4669-4BE3-B9B6-17DD3E53BD73}">
  <we:reference id="WA200009404" version="1.0.0.8" store="Omex" storeType="OMEX"/>
  <we:alternateReferences>
    <we:reference id="WA200009404" version="1.0.0.8" store="WA200009404" storeType="OMEX"/>
  </we:alternateReferences>
  <we:properties>
    <we:property name="claude.fileId" value="&quot;7f47a210-ce3b-451d-af57-9cd50c420b4c&quot;"/>
  </we:properties>
  <we:bindings/>
  <we:snapshot xmlns:r="http://schemas.openxmlformats.org/officeDocument/2006/relationships"/>
  <we:extLst>
    <a:ext xmlns:a="http://schemas.openxmlformats.org/drawingml/2006/main" uri="{D87F86FE-615C-45B5-9D79-34F1136793EB}">
      <we:containsCustomFunctions/>
    </a:ext>
  </we:extLst>
</we:webextension>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253"/>
  <sheetViews>
    <sheetView showGridLines="0" view="pageBreakPreview" topLeftCell="H235" zoomScaleNormal="55" zoomScaleSheetLayoutView="100" zoomScalePageLayoutView="70" workbookViewId="0">
      <selection activeCell="K238" sqref="K238"/>
    </sheetView>
  </sheetViews>
  <sheetFormatPr baseColWidth="10" defaultColWidth="11.42578125" defaultRowHeight="14.25"/>
  <cols>
    <col min="1" max="2" width="4.42578125" style="104" customWidth="1"/>
    <col min="3" max="3" width="10.7109375" style="186" customWidth="1"/>
    <col min="4" max="4" width="11.7109375" style="104" customWidth="1"/>
    <col min="5" max="5" width="17.7109375" style="159" customWidth="1"/>
    <col min="6" max="6" width="20.7109375" style="104" customWidth="1"/>
    <col min="7" max="7" width="70.7109375" style="104" customWidth="1"/>
    <col min="8" max="8" width="8.7109375" style="104" customWidth="1"/>
    <col min="9" max="9" width="15.7109375" style="104" customWidth="1"/>
    <col min="10" max="10" width="23.7109375" style="104" customWidth="1"/>
    <col min="11" max="11" width="25.7109375" style="104" customWidth="1"/>
    <col min="12" max="13" width="4.42578125" style="104" customWidth="1"/>
    <col min="14" max="14" width="16.42578125" style="104" bestFit="1" customWidth="1"/>
    <col min="15" max="16384" width="11.42578125" style="104"/>
  </cols>
  <sheetData>
    <row r="1" spans="2:12">
      <c r="B1" s="193" t="s">
        <v>0</v>
      </c>
      <c r="C1" s="193"/>
      <c r="D1" s="193"/>
      <c r="E1" s="193"/>
      <c r="F1" s="193"/>
      <c r="G1" s="193"/>
    </row>
    <row r="2" spans="2:12">
      <c r="B2" s="193" t="s">
        <v>1</v>
      </c>
      <c r="C2" s="193"/>
      <c r="D2" s="193"/>
      <c r="E2" s="193"/>
    </row>
    <row r="3" spans="2:12" ht="15" thickBot="1">
      <c r="B3" s="103"/>
      <c r="C3" s="184"/>
      <c r="D3" s="103"/>
      <c r="E3" s="105"/>
    </row>
    <row r="4" spans="2:12" ht="15.75" thickTop="1" thickBot="1">
      <c r="B4" s="197"/>
      <c r="C4" s="198"/>
      <c r="D4" s="198"/>
      <c r="E4" s="198"/>
      <c r="F4" s="198"/>
      <c r="G4" s="198"/>
      <c r="H4" s="198"/>
      <c r="I4" s="198"/>
      <c r="J4" s="198"/>
      <c r="K4" s="198"/>
      <c r="L4" s="199"/>
    </row>
    <row r="5" spans="2:12" ht="15" thickTop="1">
      <c r="B5" s="106"/>
      <c r="C5" s="253" t="s">
        <v>2</v>
      </c>
      <c r="D5" s="254"/>
      <c r="E5" s="254"/>
      <c r="F5" s="254"/>
      <c r="G5" s="254"/>
      <c r="H5" s="254"/>
      <c r="I5" s="254"/>
      <c r="J5" s="254"/>
      <c r="K5" s="255"/>
      <c r="L5" s="107"/>
    </row>
    <row r="6" spans="2:12">
      <c r="B6" s="108"/>
      <c r="C6" s="256" t="s">
        <v>3</v>
      </c>
      <c r="D6" s="256"/>
      <c r="E6" s="256"/>
      <c r="F6" s="256"/>
      <c r="G6" s="256"/>
      <c r="H6" s="256"/>
      <c r="I6" s="256"/>
      <c r="J6" s="256"/>
      <c r="K6" s="257"/>
      <c r="L6" s="107"/>
    </row>
    <row r="7" spans="2:12" s="111" customFormat="1">
      <c r="B7" s="109"/>
      <c r="C7" s="248" t="s">
        <v>4</v>
      </c>
      <c r="D7" s="249"/>
      <c r="E7" s="249"/>
      <c r="F7" s="249"/>
      <c r="G7" s="249"/>
      <c r="H7" s="249"/>
      <c r="I7" s="249"/>
      <c r="J7" s="249"/>
      <c r="K7" s="250"/>
      <c r="L7" s="110"/>
    </row>
    <row r="8" spans="2:12">
      <c r="B8" s="108"/>
      <c r="C8" s="248"/>
      <c r="D8" s="249"/>
      <c r="E8" s="249"/>
      <c r="F8" s="249"/>
      <c r="G8" s="249"/>
      <c r="H8" s="249"/>
      <c r="I8" s="249"/>
      <c r="J8" s="249"/>
      <c r="K8" s="250"/>
      <c r="L8" s="107"/>
    </row>
    <row r="9" spans="2:12">
      <c r="B9" s="108"/>
      <c r="C9" s="251" t="s">
        <v>5</v>
      </c>
      <c r="D9" s="208"/>
      <c r="E9" s="208"/>
      <c r="F9" s="208"/>
      <c r="G9" s="208"/>
      <c r="H9" s="208"/>
      <c r="I9" s="208"/>
      <c r="J9" s="208"/>
      <c r="K9" s="252"/>
      <c r="L9" s="107"/>
    </row>
    <row r="10" spans="2:12" ht="15" thickBot="1">
      <c r="B10" s="106"/>
      <c r="C10" s="210"/>
      <c r="D10" s="211"/>
      <c r="E10" s="211"/>
      <c r="F10" s="211"/>
      <c r="G10" s="211"/>
      <c r="H10" s="211"/>
      <c r="I10" s="211"/>
      <c r="J10" s="211"/>
      <c r="K10" s="212"/>
      <c r="L10" s="107"/>
    </row>
    <row r="11" spans="2:12">
      <c r="B11" s="106"/>
      <c r="C11" s="213" t="s">
        <v>6</v>
      </c>
      <c r="D11" s="215" t="s">
        <v>491</v>
      </c>
      <c r="E11" s="217" t="s">
        <v>492</v>
      </c>
      <c r="F11" s="217"/>
      <c r="G11" s="218" t="s">
        <v>8</v>
      </c>
      <c r="H11" s="220" t="s">
        <v>9</v>
      </c>
      <c r="I11" s="220" t="s">
        <v>10</v>
      </c>
      <c r="J11" s="222" t="s">
        <v>11</v>
      </c>
      <c r="K11" s="224" t="s">
        <v>12</v>
      </c>
      <c r="L11" s="107"/>
    </row>
    <row r="12" spans="2:12" ht="15" thickBot="1">
      <c r="B12" s="106"/>
      <c r="C12" s="214"/>
      <c r="D12" s="216"/>
      <c r="E12" s="1" t="s">
        <v>493</v>
      </c>
      <c r="F12" s="1" t="s">
        <v>494</v>
      </c>
      <c r="G12" s="219"/>
      <c r="H12" s="221"/>
      <c r="I12" s="221"/>
      <c r="J12" s="223"/>
      <c r="K12" s="225"/>
      <c r="L12" s="107"/>
    </row>
    <row r="13" spans="2:12" ht="29.25" thickBot="1">
      <c r="B13" s="106"/>
      <c r="C13" s="179" t="s">
        <v>7</v>
      </c>
      <c r="D13" s="169" t="s">
        <v>7</v>
      </c>
      <c r="E13" s="112"/>
      <c r="F13" s="112"/>
      <c r="G13" s="112" t="s">
        <v>13</v>
      </c>
      <c r="H13" s="112"/>
      <c r="I13" s="112"/>
      <c r="J13" s="112"/>
      <c r="K13" s="113"/>
      <c r="L13" s="107"/>
    </row>
    <row r="14" spans="2:12" ht="15" thickBot="1">
      <c r="B14" s="106"/>
      <c r="C14" s="180">
        <v>1</v>
      </c>
      <c r="D14" s="170" t="s">
        <v>7</v>
      </c>
      <c r="E14" s="114"/>
      <c r="F14" s="114"/>
      <c r="G14" s="114" t="s">
        <v>14</v>
      </c>
      <c r="H14" s="114"/>
      <c r="I14" s="114"/>
      <c r="J14" s="114"/>
      <c r="K14" s="115"/>
      <c r="L14" s="107"/>
    </row>
    <row r="15" spans="2:12" ht="42.75">
      <c r="B15" s="106"/>
      <c r="C15" s="164" t="s">
        <v>15</v>
      </c>
      <c r="D15" s="171" t="s">
        <v>16</v>
      </c>
      <c r="E15" s="116" t="s">
        <v>17</v>
      </c>
      <c r="F15" s="116" t="s">
        <v>18</v>
      </c>
      <c r="G15" s="2" t="s">
        <v>19</v>
      </c>
      <c r="H15" s="116" t="s">
        <v>20</v>
      </c>
      <c r="I15" s="3">
        <v>39.590000000000003</v>
      </c>
      <c r="J15" s="4">
        <f>1367*1.0525*1.35</f>
        <v>1942.336125</v>
      </c>
      <c r="K15" s="5">
        <f>J15*I15</f>
        <v>76897.087188750011</v>
      </c>
      <c r="L15" s="107"/>
    </row>
    <row r="16" spans="2:12" ht="57">
      <c r="B16" s="106"/>
      <c r="C16" s="164" t="s">
        <v>21</v>
      </c>
      <c r="D16" s="171" t="s">
        <v>22</v>
      </c>
      <c r="E16" s="116" t="s">
        <v>23</v>
      </c>
      <c r="F16" s="116" t="s">
        <v>18</v>
      </c>
      <c r="G16" s="2" t="s">
        <v>24</v>
      </c>
      <c r="H16" s="116" t="s">
        <v>20</v>
      </c>
      <c r="I16" s="3">
        <v>11.669999999999998</v>
      </c>
      <c r="J16" s="4">
        <f>13491*1.0525*1.35</f>
        <v>19169.024625000002</v>
      </c>
      <c r="K16" s="5">
        <f t="shared" ref="K16:K27" si="0">J16*I16</f>
        <v>223702.51737374999</v>
      </c>
      <c r="L16" s="107"/>
    </row>
    <row r="17" spans="2:12" ht="57">
      <c r="B17" s="106"/>
      <c r="C17" s="164" t="s">
        <v>25</v>
      </c>
      <c r="D17" s="171" t="s">
        <v>26</v>
      </c>
      <c r="E17" s="116" t="s">
        <v>23</v>
      </c>
      <c r="F17" s="116" t="s">
        <v>18</v>
      </c>
      <c r="G17" s="2" t="s">
        <v>27</v>
      </c>
      <c r="H17" s="116" t="s">
        <v>20</v>
      </c>
      <c r="I17" s="3">
        <v>30.703800000000005</v>
      </c>
      <c r="J17" s="4">
        <f>14031*1.0525*1.35</f>
        <v>19936.297125000001</v>
      </c>
      <c r="K17" s="5">
        <f t="shared" si="0"/>
        <v>612120.07966657507</v>
      </c>
      <c r="L17" s="107"/>
    </row>
    <row r="18" spans="2:12" ht="57">
      <c r="B18" s="106"/>
      <c r="C18" s="164" t="s">
        <v>28</v>
      </c>
      <c r="D18" s="171" t="s">
        <v>29</v>
      </c>
      <c r="E18" s="116" t="s">
        <v>23</v>
      </c>
      <c r="F18" s="116" t="s">
        <v>18</v>
      </c>
      <c r="G18" s="2" t="s">
        <v>30</v>
      </c>
      <c r="H18" s="116" t="s">
        <v>31</v>
      </c>
      <c r="I18" s="3">
        <v>12.71214</v>
      </c>
      <c r="J18" s="4">
        <f>29590*1.0525*1.35</f>
        <v>42043.691250000003</v>
      </c>
      <c r="K18" s="5">
        <f t="shared" si="0"/>
        <v>534465.28928677505</v>
      </c>
      <c r="L18" s="107"/>
    </row>
    <row r="19" spans="2:12" ht="57">
      <c r="B19" s="106"/>
      <c r="C19" s="164" t="s">
        <v>32</v>
      </c>
      <c r="D19" s="171" t="s">
        <v>33</v>
      </c>
      <c r="E19" s="116" t="s">
        <v>23</v>
      </c>
      <c r="F19" s="116" t="s">
        <v>18</v>
      </c>
      <c r="G19" s="2" t="s">
        <v>34</v>
      </c>
      <c r="H19" s="116" t="s">
        <v>20</v>
      </c>
      <c r="I19" s="3">
        <v>11.669999999999998</v>
      </c>
      <c r="J19" s="4">
        <f>7015*1.0525*1.35</f>
        <v>9967.4381250000006</v>
      </c>
      <c r="K19" s="5">
        <f t="shared" si="0"/>
        <v>116320.00291874999</v>
      </c>
      <c r="L19" s="107"/>
    </row>
    <row r="20" spans="2:12" ht="71.25">
      <c r="B20" s="106"/>
      <c r="C20" s="164" t="s">
        <v>35</v>
      </c>
      <c r="D20" s="171" t="s">
        <v>36</v>
      </c>
      <c r="E20" s="116" t="s">
        <v>37</v>
      </c>
      <c r="F20" s="116" t="s">
        <v>18</v>
      </c>
      <c r="G20" s="2" t="s">
        <v>38</v>
      </c>
      <c r="H20" s="116" t="s">
        <v>39</v>
      </c>
      <c r="I20" s="3">
        <v>30</v>
      </c>
      <c r="J20" s="4">
        <f>3904*1.0525*1.35</f>
        <v>5547.0960000000005</v>
      </c>
      <c r="K20" s="5">
        <f t="shared" si="0"/>
        <v>166412.88</v>
      </c>
      <c r="L20" s="107"/>
    </row>
    <row r="21" spans="2:12" ht="42.75">
      <c r="B21" s="106"/>
      <c r="C21" s="164" t="s">
        <v>40</v>
      </c>
      <c r="D21" s="171" t="s">
        <v>41</v>
      </c>
      <c r="E21" s="116" t="s">
        <v>42</v>
      </c>
      <c r="F21" s="116" t="s">
        <v>18</v>
      </c>
      <c r="G21" s="2" t="s">
        <v>43</v>
      </c>
      <c r="H21" s="116" t="s">
        <v>44</v>
      </c>
      <c r="I21" s="3">
        <v>56</v>
      </c>
      <c r="J21" s="4">
        <f>8378*1.0525*1.35</f>
        <v>11904.090749999999</v>
      </c>
      <c r="K21" s="5">
        <f t="shared" si="0"/>
        <v>666629.08199999994</v>
      </c>
      <c r="L21" s="107"/>
    </row>
    <row r="22" spans="2:12" ht="57">
      <c r="B22" s="106"/>
      <c r="C22" s="164" t="s">
        <v>45</v>
      </c>
      <c r="D22" s="171" t="s">
        <v>46</v>
      </c>
      <c r="E22" s="116" t="s">
        <v>47</v>
      </c>
      <c r="F22" s="116" t="s">
        <v>18</v>
      </c>
      <c r="G22" s="2" t="s">
        <v>48</v>
      </c>
      <c r="H22" s="116" t="s">
        <v>44</v>
      </c>
      <c r="I22" s="3">
        <v>100</v>
      </c>
      <c r="J22" s="4">
        <f>1933*1.0525*1.35</f>
        <v>2746.5513750000005</v>
      </c>
      <c r="K22" s="5">
        <f t="shared" si="0"/>
        <v>274655.13750000007</v>
      </c>
      <c r="L22" s="107"/>
    </row>
    <row r="23" spans="2:12" ht="57">
      <c r="B23" s="106"/>
      <c r="C23" s="164" t="s">
        <v>49</v>
      </c>
      <c r="D23" s="171" t="s">
        <v>50</v>
      </c>
      <c r="E23" s="116" t="s">
        <v>23</v>
      </c>
      <c r="F23" s="116" t="s">
        <v>18</v>
      </c>
      <c r="G23" s="2" t="s">
        <v>51</v>
      </c>
      <c r="H23" s="116" t="s">
        <v>44</v>
      </c>
      <c r="I23" s="3">
        <v>10</v>
      </c>
      <c r="J23" s="4">
        <f>5357*1.0525*1.35</f>
        <v>7611.6273750000009</v>
      </c>
      <c r="K23" s="5">
        <f t="shared" si="0"/>
        <v>76116.273750000008</v>
      </c>
      <c r="L23" s="107"/>
    </row>
    <row r="24" spans="2:12" ht="57">
      <c r="B24" s="106"/>
      <c r="C24" s="164" t="s">
        <v>52</v>
      </c>
      <c r="D24" s="171" t="s">
        <v>53</v>
      </c>
      <c r="E24" s="116" t="s">
        <v>23</v>
      </c>
      <c r="F24" s="116" t="s">
        <v>18</v>
      </c>
      <c r="G24" s="2" t="s">
        <v>54</v>
      </c>
      <c r="H24" s="116" t="s">
        <v>20</v>
      </c>
      <c r="I24" s="3">
        <v>96.28</v>
      </c>
      <c r="J24" s="4">
        <f>4623*1.0525*1.35</f>
        <v>6568.7051249999995</v>
      </c>
      <c r="K24" s="5">
        <f t="shared" si="0"/>
        <v>632434.92943499994</v>
      </c>
      <c r="L24" s="107"/>
    </row>
    <row r="25" spans="2:12" ht="57">
      <c r="B25" s="106"/>
      <c r="C25" s="164" t="s">
        <v>55</v>
      </c>
      <c r="D25" s="171" t="s">
        <v>56</v>
      </c>
      <c r="E25" s="116" t="s">
        <v>23</v>
      </c>
      <c r="F25" s="116" t="s">
        <v>18</v>
      </c>
      <c r="G25" s="2" t="s">
        <v>57</v>
      </c>
      <c r="H25" s="116" t="s">
        <v>20</v>
      </c>
      <c r="I25" s="3">
        <v>6.1400000000000006</v>
      </c>
      <c r="J25" s="4">
        <f>9714*1.0525*1.35</f>
        <v>13802.379750000002</v>
      </c>
      <c r="K25" s="5">
        <f t="shared" si="0"/>
        <v>84746.611665000019</v>
      </c>
      <c r="L25" s="107"/>
    </row>
    <row r="26" spans="2:12" ht="57">
      <c r="B26" s="106"/>
      <c r="C26" s="164" t="s">
        <v>58</v>
      </c>
      <c r="D26" s="171" t="s">
        <v>59</v>
      </c>
      <c r="E26" s="116" t="s">
        <v>23</v>
      </c>
      <c r="F26" s="116" t="s">
        <v>18</v>
      </c>
      <c r="G26" s="2" t="s">
        <v>60</v>
      </c>
      <c r="H26" s="116" t="s">
        <v>61</v>
      </c>
      <c r="I26" s="3">
        <v>20</v>
      </c>
      <c r="J26" s="4">
        <f>19427*1.0525*1.35</f>
        <v>27603.338625</v>
      </c>
      <c r="K26" s="5">
        <f t="shared" si="0"/>
        <v>552066.77249999996</v>
      </c>
      <c r="L26" s="107"/>
    </row>
    <row r="27" spans="2:12" ht="57">
      <c r="B27" s="106"/>
      <c r="C27" s="164" t="s">
        <v>62</v>
      </c>
      <c r="D27" s="171" t="s">
        <v>63</v>
      </c>
      <c r="E27" s="116" t="s">
        <v>23</v>
      </c>
      <c r="F27" s="116" t="s">
        <v>18</v>
      </c>
      <c r="G27" s="2" t="s">
        <v>64</v>
      </c>
      <c r="H27" s="116" t="s">
        <v>31</v>
      </c>
      <c r="I27" s="3">
        <v>14</v>
      </c>
      <c r="J27" s="4">
        <f>99652*1.0525*1.35</f>
        <v>141593.0355</v>
      </c>
      <c r="K27" s="5">
        <f t="shared" si="0"/>
        <v>1982302.497</v>
      </c>
      <c r="L27" s="107"/>
    </row>
    <row r="28" spans="2:12" ht="15" thickBot="1">
      <c r="B28" s="106"/>
      <c r="C28" s="181" t="s">
        <v>65</v>
      </c>
      <c r="D28" s="172" t="s">
        <v>7</v>
      </c>
      <c r="E28" s="117"/>
      <c r="F28" s="117"/>
      <c r="G28" s="6"/>
      <c r="H28" s="117"/>
      <c r="I28" s="3"/>
      <c r="J28" s="7"/>
      <c r="K28" s="118">
        <f>SUM(K15:K27)</f>
        <v>5998869.1602846002</v>
      </c>
      <c r="L28" s="107"/>
    </row>
    <row r="29" spans="2:12" ht="15" thickBot="1">
      <c r="B29" s="106"/>
      <c r="C29" s="180">
        <v>2</v>
      </c>
      <c r="D29" s="170" t="s">
        <v>7</v>
      </c>
      <c r="E29" s="114"/>
      <c r="F29" s="114"/>
      <c r="G29" s="114" t="s">
        <v>66</v>
      </c>
      <c r="H29" s="114"/>
      <c r="I29" s="114"/>
      <c r="J29" s="114"/>
      <c r="K29" s="115"/>
      <c r="L29" s="107"/>
    </row>
    <row r="30" spans="2:12" ht="71.25">
      <c r="B30" s="106"/>
      <c r="C30" s="164" t="s">
        <v>67</v>
      </c>
      <c r="D30" s="171" t="s">
        <v>68</v>
      </c>
      <c r="E30" s="116" t="s">
        <v>69</v>
      </c>
      <c r="F30" s="116" t="s">
        <v>70</v>
      </c>
      <c r="G30" s="2" t="s">
        <v>495</v>
      </c>
      <c r="H30" s="116" t="s">
        <v>71</v>
      </c>
      <c r="I30" s="3">
        <v>124.16879999999999</v>
      </c>
      <c r="J30" s="4">
        <f>18933*1.0525*1.35</f>
        <v>26901.426374999999</v>
      </c>
      <c r="K30" s="5">
        <f t="shared" ref="K30:K31" si="1">J30*I30</f>
        <v>3340317.8312720996</v>
      </c>
      <c r="L30" s="107"/>
    </row>
    <row r="31" spans="2:12" ht="71.25">
      <c r="B31" s="106"/>
      <c r="C31" s="164" t="s">
        <v>72</v>
      </c>
      <c r="D31" s="171" t="s">
        <v>73</v>
      </c>
      <c r="E31" s="116" t="s">
        <v>74</v>
      </c>
      <c r="F31" s="116" t="s">
        <v>70</v>
      </c>
      <c r="G31" s="2" t="s">
        <v>75</v>
      </c>
      <c r="H31" s="116" t="s">
        <v>20</v>
      </c>
      <c r="I31" s="3">
        <v>11.669999999999998</v>
      </c>
      <c r="J31" s="4">
        <f>249767*1.0525*1.35</f>
        <v>354887.68612500007</v>
      </c>
      <c r="K31" s="5">
        <f t="shared" si="1"/>
        <v>4141539.2970787501</v>
      </c>
      <c r="L31" s="107"/>
    </row>
    <row r="32" spans="2:12" ht="15" thickBot="1">
      <c r="B32" s="106"/>
      <c r="C32" s="181" t="s">
        <v>65</v>
      </c>
      <c r="D32" s="173" t="s">
        <v>7</v>
      </c>
      <c r="E32" s="120"/>
      <c r="F32" s="119"/>
      <c r="G32" s="119"/>
      <c r="H32" s="119"/>
      <c r="I32" s="3"/>
      <c r="J32" s="119"/>
      <c r="K32" s="118">
        <f>SUM(K30:K31)</f>
        <v>7481857.1283508502</v>
      </c>
      <c r="L32" s="107"/>
    </row>
    <row r="33" spans="2:12" ht="15" thickBot="1">
      <c r="B33" s="106"/>
      <c r="C33" s="180">
        <v>3</v>
      </c>
      <c r="D33" s="170" t="s">
        <v>7</v>
      </c>
      <c r="E33" s="114"/>
      <c r="F33" s="114"/>
      <c r="G33" s="114" t="s">
        <v>76</v>
      </c>
      <c r="H33" s="114"/>
      <c r="I33" s="114"/>
      <c r="J33" s="114"/>
      <c r="K33" s="115"/>
      <c r="L33" s="107"/>
    </row>
    <row r="34" spans="2:12" ht="57">
      <c r="B34" s="106"/>
      <c r="C34" s="164" t="s">
        <v>77</v>
      </c>
      <c r="D34" s="174" t="s">
        <v>78</v>
      </c>
      <c r="E34" s="9" t="s">
        <v>42</v>
      </c>
      <c r="F34" s="9" t="s">
        <v>79</v>
      </c>
      <c r="G34" s="8" t="s">
        <v>80</v>
      </c>
      <c r="H34" s="9" t="s">
        <v>44</v>
      </c>
      <c r="I34" s="3">
        <v>56</v>
      </c>
      <c r="J34" s="4">
        <f>21358*1.0525*1.35</f>
        <v>30347.04825</v>
      </c>
      <c r="K34" s="5">
        <f t="shared" ref="K34" si="2">J34*I34</f>
        <v>1699434.702</v>
      </c>
      <c r="L34" s="107"/>
    </row>
    <row r="35" spans="2:12" ht="15" thickBot="1">
      <c r="B35" s="106"/>
      <c r="C35" s="182" t="s">
        <v>65</v>
      </c>
      <c r="D35" s="175" t="s">
        <v>7</v>
      </c>
      <c r="E35" s="121"/>
      <c r="F35" s="121"/>
      <c r="G35" s="10"/>
      <c r="H35" s="121"/>
      <c r="I35" s="3"/>
      <c r="J35" s="11"/>
      <c r="K35" s="122">
        <f>SUM(K34)</f>
        <v>1699434.702</v>
      </c>
      <c r="L35" s="107"/>
    </row>
    <row r="36" spans="2:12" ht="15" thickBot="1">
      <c r="B36" s="106"/>
      <c r="C36" s="180">
        <v>4</v>
      </c>
      <c r="D36" s="170" t="s">
        <v>7</v>
      </c>
      <c r="E36" s="114"/>
      <c r="F36" s="114"/>
      <c r="G36" s="114" t="s">
        <v>81</v>
      </c>
      <c r="H36" s="114"/>
      <c r="I36" s="114"/>
      <c r="J36" s="114"/>
      <c r="K36" s="115"/>
      <c r="L36" s="107"/>
    </row>
    <row r="37" spans="2:12" ht="71.25">
      <c r="B37" s="106"/>
      <c r="C37" s="164" t="s">
        <v>82</v>
      </c>
      <c r="D37" s="174" t="s">
        <v>83</v>
      </c>
      <c r="E37" s="9" t="s">
        <v>84</v>
      </c>
      <c r="F37" s="9" t="s">
        <v>70</v>
      </c>
      <c r="G37" s="8" t="s">
        <v>85</v>
      </c>
      <c r="H37" s="9" t="s">
        <v>20</v>
      </c>
      <c r="I37" s="3">
        <v>11.669999999999998</v>
      </c>
      <c r="J37" s="4">
        <f>114941*1.0525*1.35</f>
        <v>163316.79337500001</v>
      </c>
      <c r="K37" s="5">
        <f t="shared" ref="K37:K39" si="3">J37*I37</f>
        <v>1905906.9786862498</v>
      </c>
      <c r="L37" s="107"/>
    </row>
    <row r="38" spans="2:12" ht="71.25">
      <c r="B38" s="106"/>
      <c r="C38" s="164" t="s">
        <v>86</v>
      </c>
      <c r="D38" s="174" t="s">
        <v>87</v>
      </c>
      <c r="E38" s="9" t="s">
        <v>88</v>
      </c>
      <c r="F38" s="9" t="s">
        <v>70</v>
      </c>
      <c r="G38" s="8" t="s">
        <v>89</v>
      </c>
      <c r="H38" s="9" t="s">
        <v>44</v>
      </c>
      <c r="I38" s="3">
        <v>20</v>
      </c>
      <c r="J38" s="4">
        <f>26978*1.0525*1.35</f>
        <v>38332.365750000004</v>
      </c>
      <c r="K38" s="5">
        <f t="shared" si="3"/>
        <v>766647.31500000006</v>
      </c>
      <c r="L38" s="107"/>
    </row>
    <row r="39" spans="2:12" ht="71.25">
      <c r="B39" s="106"/>
      <c r="C39" s="167" t="s">
        <v>90</v>
      </c>
      <c r="D39" s="174" t="s">
        <v>91</v>
      </c>
      <c r="E39" s="9" t="s">
        <v>42</v>
      </c>
      <c r="F39" s="9" t="s">
        <v>70</v>
      </c>
      <c r="G39" s="8" t="s">
        <v>92</v>
      </c>
      <c r="H39" s="9" t="s">
        <v>20</v>
      </c>
      <c r="I39" s="3">
        <v>12</v>
      </c>
      <c r="J39" s="4">
        <f>139328*1.0525*1.35</f>
        <v>197967.67200000002</v>
      </c>
      <c r="K39" s="5">
        <f t="shared" si="3"/>
        <v>2375612.0640000002</v>
      </c>
      <c r="L39" s="107"/>
    </row>
    <row r="40" spans="2:12" ht="15" thickBot="1">
      <c r="B40" s="106"/>
      <c r="C40" s="181" t="s">
        <v>65</v>
      </c>
      <c r="D40" s="176" t="s">
        <v>7</v>
      </c>
      <c r="E40" s="123"/>
      <c r="F40" s="123"/>
      <c r="G40" s="12"/>
      <c r="H40" s="124"/>
      <c r="I40" s="3"/>
      <c r="J40" s="7"/>
      <c r="K40" s="118">
        <f>SUM(K37:K39)</f>
        <v>5048166.3576862495</v>
      </c>
      <c r="L40" s="107"/>
    </row>
    <row r="41" spans="2:12" ht="15" thickBot="1">
      <c r="B41" s="106"/>
      <c r="C41" s="180">
        <v>5</v>
      </c>
      <c r="D41" s="170" t="s">
        <v>7</v>
      </c>
      <c r="E41" s="114"/>
      <c r="F41" s="114"/>
      <c r="G41" s="114" t="s">
        <v>93</v>
      </c>
      <c r="H41" s="114"/>
      <c r="I41" s="114"/>
      <c r="J41" s="114"/>
      <c r="K41" s="115"/>
      <c r="L41" s="107"/>
    </row>
    <row r="42" spans="2:12" ht="71.25">
      <c r="B42" s="106"/>
      <c r="C42" s="164" t="s">
        <v>94</v>
      </c>
      <c r="D42" s="174" t="s">
        <v>95</v>
      </c>
      <c r="E42" s="9" t="s">
        <v>42</v>
      </c>
      <c r="F42" s="9" t="s">
        <v>70</v>
      </c>
      <c r="G42" s="8" t="s">
        <v>96</v>
      </c>
      <c r="H42" s="9" t="s">
        <v>20</v>
      </c>
      <c r="I42" s="3">
        <v>173.08519999999999</v>
      </c>
      <c r="J42" s="4">
        <f>21583*1.0525*1.35</f>
        <v>30666.745125000001</v>
      </c>
      <c r="K42" s="5">
        <f t="shared" ref="K42:K44" si="4">J42*I42</f>
        <v>5307959.7133096494</v>
      </c>
      <c r="L42" s="107"/>
    </row>
    <row r="43" spans="2:12" ht="71.25">
      <c r="B43" s="106"/>
      <c r="C43" s="164" t="s">
        <v>97</v>
      </c>
      <c r="D43" s="174" t="s">
        <v>98</v>
      </c>
      <c r="E43" s="9" t="s">
        <v>99</v>
      </c>
      <c r="F43" s="9" t="s">
        <v>70</v>
      </c>
      <c r="G43" s="8" t="s">
        <v>100</v>
      </c>
      <c r="H43" s="9" t="s">
        <v>20</v>
      </c>
      <c r="I43" s="3">
        <v>28</v>
      </c>
      <c r="J43" s="4">
        <f>38908*1.0525*1.35</f>
        <v>55283.404500000004</v>
      </c>
      <c r="K43" s="5">
        <f t="shared" si="4"/>
        <v>1547935.3260000001</v>
      </c>
      <c r="L43" s="107"/>
    </row>
    <row r="44" spans="2:12" ht="71.25">
      <c r="B44" s="106"/>
      <c r="C44" s="164" t="s">
        <v>101</v>
      </c>
      <c r="D44" s="174" t="s">
        <v>102</v>
      </c>
      <c r="E44" s="9" t="s">
        <v>103</v>
      </c>
      <c r="F44" s="9" t="s">
        <v>70</v>
      </c>
      <c r="G44" s="8" t="s">
        <v>104</v>
      </c>
      <c r="H44" s="9" t="s">
        <v>20</v>
      </c>
      <c r="I44" s="3">
        <v>18.827000000000002</v>
      </c>
      <c r="J44" s="4">
        <f>139322*1.0525*1.35</f>
        <v>197959.14675000001</v>
      </c>
      <c r="K44" s="5">
        <f t="shared" si="4"/>
        <v>3726976.8558622506</v>
      </c>
      <c r="L44" s="107"/>
    </row>
    <row r="45" spans="2:12" ht="15" thickBot="1">
      <c r="B45" s="106"/>
      <c r="C45" s="181" t="s">
        <v>65</v>
      </c>
      <c r="D45" s="176" t="s">
        <v>7</v>
      </c>
      <c r="E45" s="123"/>
      <c r="F45" s="123"/>
      <c r="G45" s="12"/>
      <c r="H45" s="124"/>
      <c r="I45" s="3"/>
      <c r="J45" s="7"/>
      <c r="K45" s="118">
        <f>SUM(K42:K44)</f>
        <v>10582871.895171899</v>
      </c>
      <c r="L45" s="107"/>
    </row>
    <row r="46" spans="2:12" ht="29.25" thickBot="1">
      <c r="B46" s="106"/>
      <c r="C46" s="180">
        <v>6</v>
      </c>
      <c r="D46" s="170" t="s">
        <v>7</v>
      </c>
      <c r="E46" s="114"/>
      <c r="F46" s="114"/>
      <c r="G46" s="114" t="s">
        <v>105</v>
      </c>
      <c r="H46" s="114"/>
      <c r="I46" s="114"/>
      <c r="J46" s="114"/>
      <c r="K46" s="115"/>
      <c r="L46" s="107"/>
    </row>
    <row r="47" spans="2:12" ht="85.5">
      <c r="B47" s="106"/>
      <c r="C47" s="164" t="s">
        <v>106</v>
      </c>
      <c r="D47" s="174" t="s">
        <v>107</v>
      </c>
      <c r="E47" s="9" t="s">
        <v>108</v>
      </c>
      <c r="F47" s="9" t="s">
        <v>79</v>
      </c>
      <c r="G47" s="8" t="s">
        <v>109</v>
      </c>
      <c r="H47" s="9" t="s">
        <v>110</v>
      </c>
      <c r="I47" s="3">
        <v>1</v>
      </c>
      <c r="J47" s="4">
        <f>24387873*1.0525*1.35</f>
        <v>34652119.048875004</v>
      </c>
      <c r="K47" s="5">
        <f t="shared" ref="K47:K53" si="5">J47*I47</f>
        <v>34652119.048875004</v>
      </c>
      <c r="L47" s="107"/>
    </row>
    <row r="48" spans="2:12" ht="57">
      <c r="B48" s="106"/>
      <c r="C48" s="164" t="s">
        <v>111</v>
      </c>
      <c r="D48" s="174" t="s">
        <v>112</v>
      </c>
      <c r="E48" s="9" t="s">
        <v>113</v>
      </c>
      <c r="F48" s="9" t="s">
        <v>79</v>
      </c>
      <c r="G48" s="8" t="s">
        <v>114</v>
      </c>
      <c r="H48" s="9" t="s">
        <v>110</v>
      </c>
      <c r="I48" s="3">
        <v>2</v>
      </c>
      <c r="J48" s="4">
        <f>3272500*1.0525*1.35</f>
        <v>4649813.4375</v>
      </c>
      <c r="K48" s="5">
        <f t="shared" si="5"/>
        <v>9299626.875</v>
      </c>
      <c r="L48" s="107"/>
    </row>
    <row r="49" spans="2:12" ht="57">
      <c r="B49" s="106"/>
      <c r="C49" s="164" t="s">
        <v>115</v>
      </c>
      <c r="D49" s="174" t="s">
        <v>116</v>
      </c>
      <c r="E49" s="9" t="s">
        <v>117</v>
      </c>
      <c r="F49" s="9" t="s">
        <v>79</v>
      </c>
      <c r="G49" s="8" t="s">
        <v>118</v>
      </c>
      <c r="H49" s="9" t="s">
        <v>110</v>
      </c>
      <c r="I49" s="3">
        <v>2</v>
      </c>
      <c r="J49" s="4">
        <f>3270000*1.0525*1.35</f>
        <v>4646261.25</v>
      </c>
      <c r="K49" s="5">
        <f t="shared" si="5"/>
        <v>9292522.5</v>
      </c>
      <c r="L49" s="107"/>
    </row>
    <row r="50" spans="2:12" ht="57">
      <c r="B50" s="106"/>
      <c r="C50" s="164" t="s">
        <v>119</v>
      </c>
      <c r="D50" s="174" t="s">
        <v>120</v>
      </c>
      <c r="E50" s="9" t="s">
        <v>121</v>
      </c>
      <c r="F50" s="9" t="s">
        <v>79</v>
      </c>
      <c r="G50" s="8" t="s">
        <v>122</v>
      </c>
      <c r="H50" s="9" t="s">
        <v>110</v>
      </c>
      <c r="I50" s="3">
        <v>2</v>
      </c>
      <c r="J50" s="4">
        <f>11025983*1.0525*1.35</f>
        <v>15666543.595125001</v>
      </c>
      <c r="K50" s="5">
        <f t="shared" si="5"/>
        <v>31333087.190250002</v>
      </c>
      <c r="L50" s="107"/>
    </row>
    <row r="51" spans="2:12" ht="57">
      <c r="B51" s="106"/>
      <c r="C51" s="164" t="s">
        <v>123</v>
      </c>
      <c r="D51" s="174" t="s">
        <v>124</v>
      </c>
      <c r="E51" s="9" t="s">
        <v>121</v>
      </c>
      <c r="F51" s="9" t="s">
        <v>79</v>
      </c>
      <c r="G51" s="8" t="s">
        <v>125</v>
      </c>
      <c r="H51" s="9" t="s">
        <v>110</v>
      </c>
      <c r="I51" s="3">
        <v>1</v>
      </c>
      <c r="J51" s="4">
        <f>6660850*1.0525*1.35</f>
        <v>9464235.2437500004</v>
      </c>
      <c r="K51" s="5">
        <f t="shared" si="5"/>
        <v>9464235.2437500004</v>
      </c>
      <c r="L51" s="107"/>
    </row>
    <row r="52" spans="2:12" ht="57">
      <c r="B52" s="106"/>
      <c r="C52" s="164" t="s">
        <v>126</v>
      </c>
      <c r="D52" s="174" t="s">
        <v>127</v>
      </c>
      <c r="E52" s="9" t="s">
        <v>128</v>
      </c>
      <c r="F52" s="9" t="s">
        <v>79</v>
      </c>
      <c r="G52" s="8" t="s">
        <v>129</v>
      </c>
      <c r="H52" s="9" t="s">
        <v>110</v>
      </c>
      <c r="I52" s="3">
        <v>1</v>
      </c>
      <c r="J52" s="4">
        <f>5164750*1.0525*1.35</f>
        <v>7338464.1562500009</v>
      </c>
      <c r="K52" s="5">
        <f t="shared" si="5"/>
        <v>7338464.1562500009</v>
      </c>
      <c r="L52" s="107"/>
    </row>
    <row r="53" spans="2:12" ht="57">
      <c r="B53" s="106"/>
      <c r="C53" s="164" t="s">
        <v>130</v>
      </c>
      <c r="D53" s="174" t="s">
        <v>131</v>
      </c>
      <c r="E53" s="9" t="s">
        <v>132</v>
      </c>
      <c r="F53" s="9" t="s">
        <v>79</v>
      </c>
      <c r="G53" s="8" t="s">
        <v>133</v>
      </c>
      <c r="H53" s="9" t="s">
        <v>110</v>
      </c>
      <c r="I53" s="3">
        <v>2</v>
      </c>
      <c r="J53" s="4">
        <f>13892000*1.0525*1.35</f>
        <v>19738795.5</v>
      </c>
      <c r="K53" s="5">
        <f t="shared" si="5"/>
        <v>39477591</v>
      </c>
      <c r="L53" s="107"/>
    </row>
    <row r="54" spans="2:12" ht="15" thickBot="1">
      <c r="B54" s="106"/>
      <c r="C54" s="181" t="s">
        <v>65</v>
      </c>
      <c r="D54" s="176" t="s">
        <v>7</v>
      </c>
      <c r="E54" s="123"/>
      <c r="F54" s="123"/>
      <c r="G54" s="12"/>
      <c r="H54" s="124"/>
      <c r="I54" s="3"/>
      <c r="J54" s="7"/>
      <c r="K54" s="118">
        <f>SUM(K47:K53)</f>
        <v>140857646.01412502</v>
      </c>
      <c r="L54" s="107"/>
    </row>
    <row r="55" spans="2:12" ht="29.25" thickBot="1">
      <c r="B55" s="106"/>
      <c r="C55" s="180">
        <v>7</v>
      </c>
      <c r="D55" s="170" t="s">
        <v>7</v>
      </c>
      <c r="E55" s="114"/>
      <c r="F55" s="114"/>
      <c r="G55" s="114" t="s">
        <v>134</v>
      </c>
      <c r="H55" s="114"/>
      <c r="I55" s="114"/>
      <c r="J55" s="114"/>
      <c r="K55" s="115"/>
      <c r="L55" s="107"/>
    </row>
    <row r="56" spans="2:12" ht="57">
      <c r="B56" s="106"/>
      <c r="C56" s="164" t="s">
        <v>135</v>
      </c>
      <c r="D56" s="174" t="s">
        <v>136</v>
      </c>
      <c r="E56" s="9" t="s">
        <v>121</v>
      </c>
      <c r="F56" s="9" t="s">
        <v>79</v>
      </c>
      <c r="G56" s="8" t="s">
        <v>137</v>
      </c>
      <c r="H56" s="9" t="s">
        <v>44</v>
      </c>
      <c r="I56" s="3">
        <v>20.32</v>
      </c>
      <c r="J56" s="4">
        <f>35665*1.0525*1.35</f>
        <v>50675.506874999999</v>
      </c>
      <c r="K56" s="5">
        <f t="shared" ref="K56:K67" si="6">J56*I56</f>
        <v>1029726.2997</v>
      </c>
      <c r="L56" s="107"/>
    </row>
    <row r="57" spans="2:12" ht="57">
      <c r="B57" s="106"/>
      <c r="C57" s="164" t="s">
        <v>138</v>
      </c>
      <c r="D57" s="174" t="s">
        <v>139</v>
      </c>
      <c r="E57" s="9" t="s">
        <v>121</v>
      </c>
      <c r="F57" s="9" t="s">
        <v>79</v>
      </c>
      <c r="G57" s="8" t="s">
        <v>140</v>
      </c>
      <c r="H57" s="9" t="s">
        <v>44</v>
      </c>
      <c r="I57" s="3">
        <v>10</v>
      </c>
      <c r="J57" s="4">
        <f>46361*1.0525*1.35</f>
        <v>65873.18587500001</v>
      </c>
      <c r="K57" s="5">
        <f t="shared" si="6"/>
        <v>658731.85875000013</v>
      </c>
      <c r="L57" s="107"/>
    </row>
    <row r="58" spans="2:12" ht="57">
      <c r="B58" s="106"/>
      <c r="C58" s="164" t="s">
        <v>141</v>
      </c>
      <c r="D58" s="174" t="s">
        <v>142</v>
      </c>
      <c r="E58" s="9" t="s">
        <v>121</v>
      </c>
      <c r="F58" s="9" t="s">
        <v>79</v>
      </c>
      <c r="G58" s="8" t="s">
        <v>143</v>
      </c>
      <c r="H58" s="9" t="s">
        <v>44</v>
      </c>
      <c r="I58" s="3">
        <v>9.85</v>
      </c>
      <c r="J58" s="4">
        <f>85643*1.0525*1.35</f>
        <v>121687.997625</v>
      </c>
      <c r="K58" s="5">
        <f t="shared" si="6"/>
        <v>1198626.7766062501</v>
      </c>
      <c r="L58" s="107"/>
    </row>
    <row r="59" spans="2:12" ht="57">
      <c r="B59" s="106"/>
      <c r="C59" s="164" t="s">
        <v>144</v>
      </c>
      <c r="D59" s="174" t="s">
        <v>145</v>
      </c>
      <c r="E59" s="9" t="s">
        <v>146</v>
      </c>
      <c r="F59" s="9" t="s">
        <v>79</v>
      </c>
      <c r="G59" s="8" t="s">
        <v>147</v>
      </c>
      <c r="H59" s="9" t="s">
        <v>148</v>
      </c>
      <c r="I59" s="3">
        <v>20</v>
      </c>
      <c r="J59" s="4">
        <f>66314*1.0525*1.35</f>
        <v>94223.904750000002</v>
      </c>
      <c r="K59" s="5">
        <f t="shared" si="6"/>
        <v>1884478.095</v>
      </c>
      <c r="L59" s="107"/>
    </row>
    <row r="60" spans="2:12" ht="57">
      <c r="B60" s="106"/>
      <c r="C60" s="164" t="s">
        <v>149</v>
      </c>
      <c r="D60" s="174" t="s">
        <v>150</v>
      </c>
      <c r="E60" s="9" t="s">
        <v>151</v>
      </c>
      <c r="F60" s="9" t="s">
        <v>79</v>
      </c>
      <c r="G60" s="8" t="s">
        <v>152</v>
      </c>
      <c r="H60" s="9" t="s">
        <v>44</v>
      </c>
      <c r="I60" s="3">
        <v>44</v>
      </c>
      <c r="J60" s="4">
        <f>11716*1.0525*1.35</f>
        <v>16646.9715</v>
      </c>
      <c r="K60" s="5">
        <f t="shared" si="6"/>
        <v>732466.74600000004</v>
      </c>
      <c r="L60" s="107"/>
    </row>
    <row r="61" spans="2:12" ht="57">
      <c r="B61" s="106"/>
      <c r="C61" s="164" t="s">
        <v>153</v>
      </c>
      <c r="D61" s="174" t="s">
        <v>154</v>
      </c>
      <c r="E61" s="9" t="s">
        <v>151</v>
      </c>
      <c r="F61" s="9" t="s">
        <v>79</v>
      </c>
      <c r="G61" s="8" t="s">
        <v>155</v>
      </c>
      <c r="H61" s="9" t="s">
        <v>44</v>
      </c>
      <c r="I61" s="3">
        <v>9</v>
      </c>
      <c r="J61" s="4">
        <f>14098*1.0525*1.35</f>
        <v>20031.495750000002</v>
      </c>
      <c r="K61" s="5">
        <f t="shared" si="6"/>
        <v>180283.46175000002</v>
      </c>
      <c r="L61" s="107"/>
    </row>
    <row r="62" spans="2:12" ht="57">
      <c r="B62" s="106"/>
      <c r="C62" s="164" t="s">
        <v>156</v>
      </c>
      <c r="D62" s="174" t="s">
        <v>157</v>
      </c>
      <c r="E62" s="9" t="s">
        <v>158</v>
      </c>
      <c r="F62" s="9" t="s">
        <v>79</v>
      </c>
      <c r="G62" s="8" t="s">
        <v>159</v>
      </c>
      <c r="H62" s="9" t="s">
        <v>148</v>
      </c>
      <c r="I62" s="3">
        <v>8</v>
      </c>
      <c r="J62" s="4">
        <f>53275*1.0525*1.35</f>
        <v>75697.115625000006</v>
      </c>
      <c r="K62" s="5">
        <f t="shared" si="6"/>
        <v>605576.92500000005</v>
      </c>
      <c r="L62" s="107"/>
    </row>
    <row r="63" spans="2:12" ht="57">
      <c r="B63" s="106"/>
      <c r="C63" s="164" t="s">
        <v>160</v>
      </c>
      <c r="D63" s="174" t="s">
        <v>161</v>
      </c>
      <c r="E63" s="9" t="s">
        <v>158</v>
      </c>
      <c r="F63" s="9" t="s">
        <v>79</v>
      </c>
      <c r="G63" s="8" t="s">
        <v>162</v>
      </c>
      <c r="H63" s="9" t="s">
        <v>148</v>
      </c>
      <c r="I63" s="3">
        <v>2</v>
      </c>
      <c r="J63" s="4">
        <f>41806*1.0525*1.35</f>
        <v>59401.10025000001</v>
      </c>
      <c r="K63" s="5">
        <f t="shared" si="6"/>
        <v>118802.20050000002</v>
      </c>
      <c r="L63" s="107"/>
    </row>
    <row r="64" spans="2:12" ht="57">
      <c r="B64" s="106"/>
      <c r="C64" s="164" t="s">
        <v>163</v>
      </c>
      <c r="D64" s="174" t="s">
        <v>164</v>
      </c>
      <c r="E64" s="9" t="s">
        <v>165</v>
      </c>
      <c r="F64" s="9" t="s">
        <v>79</v>
      </c>
      <c r="G64" s="8" t="s">
        <v>166</v>
      </c>
      <c r="H64" s="9" t="s">
        <v>148</v>
      </c>
      <c r="I64" s="3">
        <v>4</v>
      </c>
      <c r="J64" s="4">
        <f>394110*1.0525*1.35</f>
        <v>559981.04625000001</v>
      </c>
      <c r="K64" s="5">
        <f t="shared" si="6"/>
        <v>2239924.1850000001</v>
      </c>
      <c r="L64" s="107"/>
    </row>
    <row r="65" spans="2:12" ht="57">
      <c r="B65" s="106"/>
      <c r="C65" s="164" t="s">
        <v>167</v>
      </c>
      <c r="D65" s="174" t="s">
        <v>168</v>
      </c>
      <c r="E65" s="9" t="s">
        <v>169</v>
      </c>
      <c r="F65" s="9" t="s">
        <v>79</v>
      </c>
      <c r="G65" s="8" t="s">
        <v>170</v>
      </c>
      <c r="H65" s="9" t="s">
        <v>148</v>
      </c>
      <c r="I65" s="3">
        <v>56</v>
      </c>
      <c r="J65" s="4">
        <f>21727*1.0525*1.35</f>
        <v>30871.351125000001</v>
      </c>
      <c r="K65" s="5">
        <f t="shared" si="6"/>
        <v>1728795.6630000002</v>
      </c>
      <c r="L65" s="107"/>
    </row>
    <row r="66" spans="2:12" ht="57">
      <c r="B66" s="106"/>
      <c r="C66" s="164" t="s">
        <v>171</v>
      </c>
      <c r="D66" s="174" t="s">
        <v>172</v>
      </c>
      <c r="E66" s="9" t="s">
        <v>158</v>
      </c>
      <c r="F66" s="9" t="s">
        <v>79</v>
      </c>
      <c r="G66" s="8" t="s">
        <v>173</v>
      </c>
      <c r="H66" s="9" t="s">
        <v>148</v>
      </c>
      <c r="I66" s="3">
        <v>13</v>
      </c>
      <c r="J66" s="4">
        <f>74275*1.0525*1.35</f>
        <v>105535.49062500001</v>
      </c>
      <c r="K66" s="5">
        <f t="shared" si="6"/>
        <v>1371961.378125</v>
      </c>
      <c r="L66" s="107"/>
    </row>
    <row r="67" spans="2:12" ht="57">
      <c r="B67" s="106"/>
      <c r="C67" s="164" t="s">
        <v>174</v>
      </c>
      <c r="D67" s="174" t="s">
        <v>175</v>
      </c>
      <c r="E67" s="9" t="s">
        <v>158</v>
      </c>
      <c r="F67" s="9" t="s">
        <v>79</v>
      </c>
      <c r="G67" s="8" t="s">
        <v>176</v>
      </c>
      <c r="H67" s="9" t="s">
        <v>148</v>
      </c>
      <c r="I67" s="3">
        <v>3</v>
      </c>
      <c r="J67" s="4">
        <f>219650*1.0525*1.35</f>
        <v>312095.19375000003</v>
      </c>
      <c r="K67" s="5">
        <f t="shared" si="6"/>
        <v>936285.58125000005</v>
      </c>
      <c r="L67" s="107"/>
    </row>
    <row r="68" spans="2:12" ht="15" thickBot="1">
      <c r="B68" s="106"/>
      <c r="C68" s="181" t="s">
        <v>65</v>
      </c>
      <c r="D68" s="176" t="s">
        <v>7</v>
      </c>
      <c r="E68" s="123"/>
      <c r="F68" s="123"/>
      <c r="G68" s="12"/>
      <c r="H68" s="124"/>
      <c r="I68" s="3"/>
      <c r="J68" s="7"/>
      <c r="K68" s="118">
        <f>SUM(K56:K67)</f>
        <v>12685659.170681253</v>
      </c>
      <c r="L68" s="107"/>
    </row>
    <row r="69" spans="2:12" ht="15" thickBot="1">
      <c r="B69" s="106"/>
      <c r="C69" s="180">
        <v>8</v>
      </c>
      <c r="D69" s="170" t="s">
        <v>7</v>
      </c>
      <c r="E69" s="114"/>
      <c r="F69" s="114"/>
      <c r="G69" s="114" t="s">
        <v>177</v>
      </c>
      <c r="H69" s="114"/>
      <c r="I69" s="114"/>
      <c r="J69" s="114"/>
      <c r="K69" s="115"/>
      <c r="L69" s="107"/>
    </row>
    <row r="70" spans="2:12" ht="71.25">
      <c r="B70" s="106"/>
      <c r="C70" s="164" t="s">
        <v>178</v>
      </c>
      <c r="D70" s="174" t="s">
        <v>179</v>
      </c>
      <c r="E70" s="9" t="s">
        <v>180</v>
      </c>
      <c r="F70" s="9" t="s">
        <v>70</v>
      </c>
      <c r="G70" s="8" t="s">
        <v>181</v>
      </c>
      <c r="H70" s="9" t="s">
        <v>20</v>
      </c>
      <c r="I70" s="3">
        <v>8.0500000000000007</v>
      </c>
      <c r="J70" s="4">
        <f>1093947*1.0525*1.35</f>
        <v>1554361.9436250001</v>
      </c>
      <c r="K70" s="5">
        <f t="shared" ref="K70" si="7">J70*I70</f>
        <v>12512613.646181252</v>
      </c>
      <c r="L70" s="107"/>
    </row>
    <row r="71" spans="2:12" ht="15" thickBot="1">
      <c r="B71" s="106"/>
      <c r="C71" s="182" t="s">
        <v>65</v>
      </c>
      <c r="D71" s="175" t="s">
        <v>7</v>
      </c>
      <c r="E71" s="121"/>
      <c r="F71" s="121"/>
      <c r="G71" s="10"/>
      <c r="H71" s="121"/>
      <c r="I71" s="3"/>
      <c r="J71" s="11"/>
      <c r="K71" s="122">
        <f>SUM(K70)</f>
        <v>12512613.646181252</v>
      </c>
      <c r="L71" s="107"/>
    </row>
    <row r="72" spans="2:12" ht="15" thickBot="1">
      <c r="B72" s="106"/>
      <c r="C72" s="180">
        <v>9</v>
      </c>
      <c r="D72" s="170" t="s">
        <v>7</v>
      </c>
      <c r="E72" s="114"/>
      <c r="F72" s="114"/>
      <c r="G72" s="114" t="s">
        <v>182</v>
      </c>
      <c r="H72" s="114"/>
      <c r="I72" s="114"/>
      <c r="J72" s="114"/>
      <c r="K72" s="115"/>
      <c r="L72" s="107"/>
    </row>
    <row r="73" spans="2:12" ht="71.25">
      <c r="B73" s="106"/>
      <c r="C73" s="164" t="s">
        <v>183</v>
      </c>
      <c r="D73" s="174" t="s">
        <v>184</v>
      </c>
      <c r="E73" s="9" t="s">
        <v>88</v>
      </c>
      <c r="F73" s="9" t="s">
        <v>70</v>
      </c>
      <c r="G73" s="8" t="s">
        <v>185</v>
      </c>
      <c r="H73" s="9" t="s">
        <v>20</v>
      </c>
      <c r="I73" s="3">
        <v>21.8</v>
      </c>
      <c r="J73" s="4">
        <f>115903*1.0525*1.35</f>
        <v>164683.67512500001</v>
      </c>
      <c r="K73" s="5">
        <f t="shared" ref="K73" si="8">J73*I73</f>
        <v>3590104.1177250003</v>
      </c>
      <c r="L73" s="107"/>
    </row>
    <row r="74" spans="2:12" ht="15" thickBot="1">
      <c r="B74" s="106"/>
      <c r="C74" s="182" t="s">
        <v>65</v>
      </c>
      <c r="D74" s="175" t="s">
        <v>7</v>
      </c>
      <c r="E74" s="121"/>
      <c r="F74" s="121"/>
      <c r="G74" s="10"/>
      <c r="H74" s="121"/>
      <c r="I74" s="3"/>
      <c r="J74" s="11"/>
      <c r="K74" s="122">
        <f>SUM(K73)</f>
        <v>3590104.1177250003</v>
      </c>
      <c r="L74" s="107"/>
    </row>
    <row r="75" spans="2:12" ht="15" thickBot="1">
      <c r="B75" s="106"/>
      <c r="C75" s="180">
        <v>10</v>
      </c>
      <c r="D75" s="170" t="s">
        <v>7</v>
      </c>
      <c r="E75" s="114"/>
      <c r="F75" s="114"/>
      <c r="G75" s="114" t="s">
        <v>186</v>
      </c>
      <c r="H75" s="114"/>
      <c r="I75" s="114"/>
      <c r="J75" s="114"/>
      <c r="K75" s="115"/>
      <c r="L75" s="107"/>
    </row>
    <row r="76" spans="2:12" ht="57">
      <c r="B76" s="106"/>
      <c r="C76" s="164" t="s">
        <v>187</v>
      </c>
      <c r="D76" s="174" t="s">
        <v>188</v>
      </c>
      <c r="E76" s="9" t="s">
        <v>189</v>
      </c>
      <c r="F76" s="9" t="s">
        <v>190</v>
      </c>
      <c r="G76" s="8" t="s">
        <v>191</v>
      </c>
      <c r="H76" s="9" t="s">
        <v>44</v>
      </c>
      <c r="I76" s="3">
        <v>30</v>
      </c>
      <c r="J76" s="4">
        <f>77707*1.0525*1.35</f>
        <v>110411.93362499999</v>
      </c>
      <c r="K76" s="5">
        <f t="shared" ref="K76:K81" si="9">J76*I76</f>
        <v>3312358.0087499996</v>
      </c>
      <c r="L76" s="107"/>
    </row>
    <row r="77" spans="2:12" ht="57">
      <c r="B77" s="106"/>
      <c r="C77" s="164" t="s">
        <v>192</v>
      </c>
      <c r="D77" s="174" t="s">
        <v>193</v>
      </c>
      <c r="E77" s="9" t="s">
        <v>189</v>
      </c>
      <c r="F77" s="9" t="s">
        <v>79</v>
      </c>
      <c r="G77" s="8" t="s">
        <v>194</v>
      </c>
      <c r="H77" s="9" t="s">
        <v>44</v>
      </c>
      <c r="I77" s="3">
        <v>30</v>
      </c>
      <c r="J77" s="4">
        <f>55101*1.0525*1.35</f>
        <v>78291.633375000005</v>
      </c>
      <c r="K77" s="5">
        <f t="shared" si="9"/>
        <v>2348749.0012500002</v>
      </c>
      <c r="L77" s="107"/>
    </row>
    <row r="78" spans="2:12" ht="57">
      <c r="B78" s="106"/>
      <c r="C78" s="164" t="s">
        <v>195</v>
      </c>
      <c r="D78" s="174" t="s">
        <v>196</v>
      </c>
      <c r="E78" s="9" t="s">
        <v>189</v>
      </c>
      <c r="F78" s="9" t="s">
        <v>190</v>
      </c>
      <c r="G78" s="8" t="s">
        <v>197</v>
      </c>
      <c r="H78" s="9" t="s">
        <v>148</v>
      </c>
      <c r="I78" s="3">
        <v>1</v>
      </c>
      <c r="J78" s="4">
        <f>461888*1.0525*1.35</f>
        <v>656285.11200000008</v>
      </c>
      <c r="K78" s="5">
        <f t="shared" si="9"/>
        <v>656285.11200000008</v>
      </c>
      <c r="L78" s="107"/>
    </row>
    <row r="79" spans="2:12" ht="57">
      <c r="B79" s="106"/>
      <c r="C79" s="164" t="s">
        <v>198</v>
      </c>
      <c r="D79" s="174" t="s">
        <v>199</v>
      </c>
      <c r="E79" s="9" t="s">
        <v>189</v>
      </c>
      <c r="F79" s="9" t="s">
        <v>190</v>
      </c>
      <c r="G79" s="8" t="s">
        <v>200</v>
      </c>
      <c r="H79" s="9" t="s">
        <v>148</v>
      </c>
      <c r="I79" s="3">
        <v>4</v>
      </c>
      <c r="J79" s="4">
        <f>137314*1.0525*1.35</f>
        <v>195106.02974999999</v>
      </c>
      <c r="K79" s="5">
        <f t="shared" si="9"/>
        <v>780424.11899999995</v>
      </c>
      <c r="L79" s="107"/>
    </row>
    <row r="80" spans="2:12" ht="57">
      <c r="B80" s="106"/>
      <c r="C80" s="164" t="s">
        <v>201</v>
      </c>
      <c r="D80" s="174" t="s">
        <v>202</v>
      </c>
      <c r="E80" s="9" t="s">
        <v>203</v>
      </c>
      <c r="F80" s="9" t="s">
        <v>190</v>
      </c>
      <c r="G80" s="8" t="s">
        <v>204</v>
      </c>
      <c r="H80" s="9" t="s">
        <v>148</v>
      </c>
      <c r="I80" s="3">
        <v>2</v>
      </c>
      <c r="J80" s="4">
        <f>350799*1.0525*1.35</f>
        <v>498441.52912500006</v>
      </c>
      <c r="K80" s="5">
        <f t="shared" si="9"/>
        <v>996883.05825000012</v>
      </c>
      <c r="L80" s="107"/>
    </row>
    <row r="81" spans="2:12" ht="57">
      <c r="B81" s="106"/>
      <c r="C81" s="164" t="s">
        <v>205</v>
      </c>
      <c r="D81" s="174" t="s">
        <v>206</v>
      </c>
      <c r="E81" s="9" t="s">
        <v>189</v>
      </c>
      <c r="F81" s="9" t="s">
        <v>190</v>
      </c>
      <c r="G81" s="8" t="s">
        <v>207</v>
      </c>
      <c r="H81" s="9" t="s">
        <v>148</v>
      </c>
      <c r="I81" s="3">
        <v>3</v>
      </c>
      <c r="J81" s="4">
        <f>66954*1.0525*1.35</f>
        <v>95133.264750000017</v>
      </c>
      <c r="K81" s="5">
        <f t="shared" si="9"/>
        <v>285399.79425000004</v>
      </c>
      <c r="L81" s="107"/>
    </row>
    <row r="82" spans="2:12" ht="15" thickBot="1">
      <c r="B82" s="106"/>
      <c r="C82" s="181" t="s">
        <v>65</v>
      </c>
      <c r="D82" s="176" t="s">
        <v>7</v>
      </c>
      <c r="E82" s="123"/>
      <c r="F82" s="123"/>
      <c r="G82" s="12"/>
      <c r="H82" s="124"/>
      <c r="I82" s="3"/>
      <c r="J82" s="7"/>
      <c r="K82" s="118">
        <f>SUM(K76:K81)</f>
        <v>8380099.0934999995</v>
      </c>
      <c r="L82" s="107"/>
    </row>
    <row r="83" spans="2:12" s="128" customFormat="1" ht="15" customHeight="1" thickBot="1">
      <c r="B83" s="125"/>
      <c r="C83" s="188" t="s">
        <v>208</v>
      </c>
      <c r="D83" s="169"/>
      <c r="E83" s="112"/>
      <c r="F83" s="112"/>
      <c r="G83" s="112"/>
      <c r="H83" s="112"/>
      <c r="I83" s="112"/>
      <c r="J83" s="187"/>
      <c r="K83" s="126">
        <f>ROUND(K28+K32+K35+K40+K45+K54+K68+K71+K74+K82,0)</f>
        <v>208837321</v>
      </c>
      <c r="L83" s="127"/>
    </row>
    <row r="84" spans="2:12" ht="29.25" thickBot="1">
      <c r="B84" s="106"/>
      <c r="C84" s="179" t="s">
        <v>7</v>
      </c>
      <c r="D84" s="169" t="s">
        <v>7</v>
      </c>
      <c r="E84" s="112"/>
      <c r="F84" s="112"/>
      <c r="G84" s="112" t="s">
        <v>209</v>
      </c>
      <c r="H84" s="112"/>
      <c r="I84" s="112"/>
      <c r="J84" s="112"/>
      <c r="K84" s="113"/>
      <c r="L84" s="107"/>
    </row>
    <row r="85" spans="2:12" ht="15" thickBot="1">
      <c r="B85" s="106"/>
      <c r="C85" s="180">
        <v>1</v>
      </c>
      <c r="D85" s="170" t="s">
        <v>7</v>
      </c>
      <c r="E85" s="114"/>
      <c r="F85" s="114"/>
      <c r="G85" s="114" t="s">
        <v>14</v>
      </c>
      <c r="H85" s="114"/>
      <c r="I85" s="114"/>
      <c r="J85" s="114"/>
      <c r="K85" s="115"/>
      <c r="L85" s="107"/>
    </row>
    <row r="86" spans="2:12" ht="42.75">
      <c r="B86" s="106"/>
      <c r="C86" s="164" t="s">
        <v>15</v>
      </c>
      <c r="D86" s="171" t="s">
        <v>210</v>
      </c>
      <c r="E86" s="116" t="s">
        <v>17</v>
      </c>
      <c r="F86" s="116" t="s">
        <v>211</v>
      </c>
      <c r="G86" s="2" t="s">
        <v>19</v>
      </c>
      <c r="H86" s="116" t="s">
        <v>20</v>
      </c>
      <c r="I86" s="3">
        <v>33.049999999999997</v>
      </c>
      <c r="J86" s="4">
        <f>1367*1.0525*1.35</f>
        <v>1942.336125</v>
      </c>
      <c r="K86" s="5">
        <f>J86*I86</f>
        <v>64194.208931249996</v>
      </c>
      <c r="L86" s="107"/>
    </row>
    <row r="87" spans="2:12" ht="57">
      <c r="B87" s="106"/>
      <c r="C87" s="164" t="s">
        <v>21</v>
      </c>
      <c r="D87" s="171" t="s">
        <v>212</v>
      </c>
      <c r="E87" s="116" t="s">
        <v>23</v>
      </c>
      <c r="F87" s="116" t="s">
        <v>211</v>
      </c>
      <c r="G87" s="2" t="s">
        <v>24</v>
      </c>
      <c r="H87" s="116" t="s">
        <v>20</v>
      </c>
      <c r="I87" s="3">
        <v>15.56</v>
      </c>
      <c r="J87" s="4">
        <f>13491*1.0525*1.35</f>
        <v>19169.024625000002</v>
      </c>
      <c r="K87" s="5">
        <f t="shared" ref="K87:K99" si="10">J87*I87</f>
        <v>298270.02316500002</v>
      </c>
      <c r="L87" s="107"/>
    </row>
    <row r="88" spans="2:12" ht="57">
      <c r="B88" s="106"/>
      <c r="C88" s="164" t="s">
        <v>25</v>
      </c>
      <c r="D88" s="171" t="s">
        <v>213</v>
      </c>
      <c r="E88" s="116" t="s">
        <v>23</v>
      </c>
      <c r="F88" s="116" t="s">
        <v>211</v>
      </c>
      <c r="G88" s="2" t="s">
        <v>30</v>
      </c>
      <c r="H88" s="116" t="s">
        <v>31</v>
      </c>
      <c r="I88" s="3">
        <v>18.322500000000002</v>
      </c>
      <c r="J88" s="4">
        <f>29590*1.0525*1.35</f>
        <v>42043.691250000003</v>
      </c>
      <c r="K88" s="5">
        <f t="shared" si="10"/>
        <v>770345.53292812512</v>
      </c>
      <c r="L88" s="107"/>
    </row>
    <row r="89" spans="2:12" ht="57">
      <c r="B89" s="106"/>
      <c r="C89" s="164" t="s">
        <v>28</v>
      </c>
      <c r="D89" s="171" t="s">
        <v>214</v>
      </c>
      <c r="E89" s="116" t="s">
        <v>23</v>
      </c>
      <c r="F89" s="116" t="s">
        <v>211</v>
      </c>
      <c r="G89" s="2" t="s">
        <v>34</v>
      </c>
      <c r="H89" s="116" t="s">
        <v>20</v>
      </c>
      <c r="I89" s="3">
        <v>45.515000000000001</v>
      </c>
      <c r="J89" s="4">
        <f>7015*1.0525*1.35</f>
        <v>9967.4381250000006</v>
      </c>
      <c r="K89" s="5">
        <f t="shared" si="10"/>
        <v>453667.94625937502</v>
      </c>
      <c r="L89" s="107"/>
    </row>
    <row r="90" spans="2:12" ht="71.25">
      <c r="B90" s="106"/>
      <c r="C90" s="164" t="s">
        <v>32</v>
      </c>
      <c r="D90" s="171" t="s">
        <v>215</v>
      </c>
      <c r="E90" s="116" t="s">
        <v>37</v>
      </c>
      <c r="F90" s="116" t="s">
        <v>211</v>
      </c>
      <c r="G90" s="2" t="s">
        <v>38</v>
      </c>
      <c r="H90" s="116" t="s">
        <v>39</v>
      </c>
      <c r="I90" s="3">
        <v>100</v>
      </c>
      <c r="J90" s="4">
        <f>3904*1.0525*1.35</f>
        <v>5547.0960000000005</v>
      </c>
      <c r="K90" s="5">
        <f t="shared" si="10"/>
        <v>554709.60000000009</v>
      </c>
      <c r="L90" s="107"/>
    </row>
    <row r="91" spans="2:12" ht="42.75">
      <c r="B91" s="106"/>
      <c r="C91" s="164" t="s">
        <v>35</v>
      </c>
      <c r="D91" s="171" t="s">
        <v>216</v>
      </c>
      <c r="E91" s="116" t="s">
        <v>42</v>
      </c>
      <c r="F91" s="116" t="s">
        <v>211</v>
      </c>
      <c r="G91" s="2" t="s">
        <v>43</v>
      </c>
      <c r="H91" s="116" t="s">
        <v>44</v>
      </c>
      <c r="I91" s="3">
        <v>16.799999999999997</v>
      </c>
      <c r="J91" s="4">
        <f>8378*1.0525*1.35</f>
        <v>11904.090749999999</v>
      </c>
      <c r="K91" s="5">
        <f t="shared" si="10"/>
        <v>199988.72459999996</v>
      </c>
      <c r="L91" s="107"/>
    </row>
    <row r="92" spans="2:12" ht="57">
      <c r="B92" s="106"/>
      <c r="C92" s="164" t="s">
        <v>40</v>
      </c>
      <c r="D92" s="171" t="s">
        <v>217</v>
      </c>
      <c r="E92" s="116" t="s">
        <v>47</v>
      </c>
      <c r="F92" s="116" t="s">
        <v>211</v>
      </c>
      <c r="G92" s="2" t="s">
        <v>48</v>
      </c>
      <c r="H92" s="116" t="s">
        <v>44</v>
      </c>
      <c r="I92" s="3">
        <v>100</v>
      </c>
      <c r="J92" s="4">
        <f>1933*1.0525*1.35</f>
        <v>2746.5513750000005</v>
      </c>
      <c r="K92" s="5">
        <f t="shared" si="10"/>
        <v>274655.13750000007</v>
      </c>
      <c r="L92" s="107"/>
    </row>
    <row r="93" spans="2:12" ht="57">
      <c r="B93" s="106"/>
      <c r="C93" s="164" t="s">
        <v>45</v>
      </c>
      <c r="D93" s="171" t="s">
        <v>218</v>
      </c>
      <c r="E93" s="116" t="s">
        <v>23</v>
      </c>
      <c r="F93" s="116" t="s">
        <v>211</v>
      </c>
      <c r="G93" s="2" t="s">
        <v>219</v>
      </c>
      <c r="H93" s="116" t="s">
        <v>44</v>
      </c>
      <c r="I93" s="3">
        <v>17.43</v>
      </c>
      <c r="J93" s="4">
        <f>5357*1.0525*1.35</f>
        <v>7611.6273750000009</v>
      </c>
      <c r="K93" s="5">
        <f t="shared" si="10"/>
        <v>132670.66514625002</v>
      </c>
      <c r="L93" s="107"/>
    </row>
    <row r="94" spans="2:12" ht="57">
      <c r="B94" s="106"/>
      <c r="C94" s="164" t="s">
        <v>49</v>
      </c>
      <c r="D94" s="171" t="s">
        <v>220</v>
      </c>
      <c r="E94" s="116" t="s">
        <v>23</v>
      </c>
      <c r="F94" s="116" t="s">
        <v>211</v>
      </c>
      <c r="G94" s="2" t="s">
        <v>221</v>
      </c>
      <c r="H94" s="116" t="s">
        <v>44</v>
      </c>
      <c r="I94" s="3">
        <v>18.47</v>
      </c>
      <c r="J94" s="4">
        <f>10313*1.0525*1.35</f>
        <v>14653.483875000002</v>
      </c>
      <c r="K94" s="5">
        <f t="shared" si="10"/>
        <v>270649.84717125003</v>
      </c>
      <c r="L94" s="107"/>
    </row>
    <row r="95" spans="2:12" ht="57">
      <c r="B95" s="106"/>
      <c r="C95" s="164" t="s">
        <v>52</v>
      </c>
      <c r="D95" s="171" t="s">
        <v>222</v>
      </c>
      <c r="E95" s="116" t="s">
        <v>23</v>
      </c>
      <c r="F95" s="116" t="s">
        <v>211</v>
      </c>
      <c r="G95" s="2" t="s">
        <v>54</v>
      </c>
      <c r="H95" s="116" t="s">
        <v>20</v>
      </c>
      <c r="I95" s="3">
        <v>33.049999999999997</v>
      </c>
      <c r="J95" s="4">
        <f>4623*1.0525*1.35</f>
        <v>6568.7051249999995</v>
      </c>
      <c r="K95" s="5">
        <f t="shared" si="10"/>
        <v>217095.70438124996</v>
      </c>
      <c r="L95" s="107"/>
    </row>
    <row r="96" spans="2:12" ht="57">
      <c r="B96" s="106"/>
      <c r="C96" s="164" t="s">
        <v>55</v>
      </c>
      <c r="D96" s="171" t="s">
        <v>223</v>
      </c>
      <c r="E96" s="116" t="s">
        <v>23</v>
      </c>
      <c r="F96" s="116" t="s">
        <v>211</v>
      </c>
      <c r="G96" s="2" t="s">
        <v>224</v>
      </c>
      <c r="H96" s="116" t="s">
        <v>20</v>
      </c>
      <c r="I96" s="3">
        <v>4.4000000000000004</v>
      </c>
      <c r="J96" s="4">
        <f>9714*1.0525*1.35</f>
        <v>13802.379750000002</v>
      </c>
      <c r="K96" s="5">
        <f t="shared" si="10"/>
        <v>60730.470900000015</v>
      </c>
      <c r="L96" s="107"/>
    </row>
    <row r="97" spans="2:12" ht="57">
      <c r="B97" s="106"/>
      <c r="C97" s="164" t="s">
        <v>58</v>
      </c>
      <c r="D97" s="171" t="s">
        <v>225</v>
      </c>
      <c r="E97" s="116" t="s">
        <v>23</v>
      </c>
      <c r="F97" s="116" t="s">
        <v>211</v>
      </c>
      <c r="G97" s="2" t="s">
        <v>60</v>
      </c>
      <c r="H97" s="116" t="s">
        <v>61</v>
      </c>
      <c r="I97" s="3">
        <v>6</v>
      </c>
      <c r="J97" s="4">
        <f>19427*1.0525*1.35</f>
        <v>27603.338625</v>
      </c>
      <c r="K97" s="5">
        <f t="shared" si="10"/>
        <v>165620.03174999999</v>
      </c>
      <c r="L97" s="107"/>
    </row>
    <row r="98" spans="2:12" ht="57">
      <c r="B98" s="106"/>
      <c r="C98" s="164" t="s">
        <v>62</v>
      </c>
      <c r="D98" s="171" t="s">
        <v>226</v>
      </c>
      <c r="E98" s="116" t="s">
        <v>23</v>
      </c>
      <c r="F98" s="116" t="s">
        <v>211</v>
      </c>
      <c r="G98" s="2" t="s">
        <v>227</v>
      </c>
      <c r="H98" s="116" t="s">
        <v>61</v>
      </c>
      <c r="I98" s="3">
        <v>6</v>
      </c>
      <c r="J98" s="4">
        <f>33512*1.0525*1.35</f>
        <v>47616.362999999998</v>
      </c>
      <c r="K98" s="5">
        <f t="shared" si="10"/>
        <v>285698.17799999996</v>
      </c>
      <c r="L98" s="107"/>
    </row>
    <row r="99" spans="2:12" ht="57">
      <c r="B99" s="106"/>
      <c r="C99" s="164" t="s">
        <v>228</v>
      </c>
      <c r="D99" s="171" t="s">
        <v>229</v>
      </c>
      <c r="E99" s="116" t="s">
        <v>23</v>
      </c>
      <c r="F99" s="116" t="s">
        <v>211</v>
      </c>
      <c r="G99" s="2" t="s">
        <v>64</v>
      </c>
      <c r="H99" s="116" t="s">
        <v>31</v>
      </c>
      <c r="I99" s="3">
        <v>14</v>
      </c>
      <c r="J99" s="4">
        <f>99652*1.0525*1.35</f>
        <v>141593.0355</v>
      </c>
      <c r="K99" s="5">
        <f t="shared" si="10"/>
        <v>1982302.497</v>
      </c>
      <c r="L99" s="107"/>
    </row>
    <row r="100" spans="2:12" ht="15" thickBot="1">
      <c r="B100" s="106"/>
      <c r="C100" s="181" t="s">
        <v>65</v>
      </c>
      <c r="D100" s="172" t="s">
        <v>7</v>
      </c>
      <c r="E100" s="117"/>
      <c r="F100" s="117"/>
      <c r="G100" s="6"/>
      <c r="H100" s="117"/>
      <c r="I100" s="3"/>
      <c r="J100" s="7"/>
      <c r="K100" s="118">
        <f>SUM(K86:K99)</f>
        <v>5730598.5677324999</v>
      </c>
      <c r="L100" s="107"/>
    </row>
    <row r="101" spans="2:12" ht="15" thickBot="1">
      <c r="B101" s="106"/>
      <c r="C101" s="180">
        <v>2</v>
      </c>
      <c r="D101" s="170" t="s">
        <v>7</v>
      </c>
      <c r="E101" s="114"/>
      <c r="F101" s="114"/>
      <c r="G101" s="114" t="s">
        <v>66</v>
      </c>
      <c r="H101" s="114"/>
      <c r="I101" s="114"/>
      <c r="J101" s="114"/>
      <c r="K101" s="115"/>
      <c r="L101" s="107"/>
    </row>
    <row r="102" spans="2:12" ht="71.25">
      <c r="B102" s="106"/>
      <c r="C102" s="164" t="s">
        <v>67</v>
      </c>
      <c r="D102" s="171" t="s">
        <v>230</v>
      </c>
      <c r="E102" s="116" t="s">
        <v>69</v>
      </c>
      <c r="F102" s="116" t="s">
        <v>231</v>
      </c>
      <c r="G102" s="2" t="s">
        <v>481</v>
      </c>
      <c r="H102" s="116" t="s">
        <v>71</v>
      </c>
      <c r="I102" s="3">
        <v>42.055200000000006</v>
      </c>
      <c r="J102" s="4">
        <f>18933*1.0525*1.35</f>
        <v>26901.426374999999</v>
      </c>
      <c r="K102" s="5">
        <f t="shared" ref="K102:K106" si="11">J102*I102</f>
        <v>1131344.8664859002</v>
      </c>
      <c r="L102" s="107"/>
    </row>
    <row r="103" spans="2:12" ht="71.25">
      <c r="B103" s="106"/>
      <c r="C103" s="164" t="s">
        <v>72</v>
      </c>
      <c r="D103" s="171" t="s">
        <v>232</v>
      </c>
      <c r="E103" s="116" t="s">
        <v>74</v>
      </c>
      <c r="F103" s="116" t="s">
        <v>231</v>
      </c>
      <c r="G103" s="2" t="s">
        <v>233</v>
      </c>
      <c r="H103" s="116" t="s">
        <v>20</v>
      </c>
      <c r="I103" s="3">
        <v>4.16</v>
      </c>
      <c r="J103" s="4">
        <f>176267*1.0525*1.35</f>
        <v>250453.37362500001</v>
      </c>
      <c r="K103" s="5">
        <f t="shared" si="11"/>
        <v>1041886.03428</v>
      </c>
      <c r="L103" s="107"/>
    </row>
    <row r="104" spans="2:12" ht="71.25">
      <c r="B104" s="106"/>
      <c r="C104" s="164" t="s">
        <v>234</v>
      </c>
      <c r="D104" s="171" t="s">
        <v>235</v>
      </c>
      <c r="E104" s="116" t="s">
        <v>74</v>
      </c>
      <c r="F104" s="116" t="s">
        <v>231</v>
      </c>
      <c r="G104" s="2" t="s">
        <v>236</v>
      </c>
      <c r="H104" s="116" t="s">
        <v>20</v>
      </c>
      <c r="I104" s="3">
        <v>11.4</v>
      </c>
      <c r="J104" s="4">
        <f>134503*1.0525*1.35</f>
        <v>191111.950125</v>
      </c>
      <c r="K104" s="5">
        <f t="shared" si="11"/>
        <v>2178676.2314249999</v>
      </c>
      <c r="L104" s="107"/>
    </row>
    <row r="105" spans="2:12" ht="71.25">
      <c r="B105" s="106"/>
      <c r="C105" s="164" t="s">
        <v>237</v>
      </c>
      <c r="D105" s="171" t="s">
        <v>238</v>
      </c>
      <c r="E105" s="116" t="s">
        <v>74</v>
      </c>
      <c r="F105" s="116" t="s">
        <v>231</v>
      </c>
      <c r="G105" s="2" t="s">
        <v>239</v>
      </c>
      <c r="H105" s="116" t="s">
        <v>44</v>
      </c>
      <c r="I105" s="3">
        <v>3.15</v>
      </c>
      <c r="J105" s="4">
        <f>134503*1.0525*1.35</f>
        <v>191111.950125</v>
      </c>
      <c r="K105" s="5">
        <f t="shared" si="11"/>
        <v>602002.64289374999</v>
      </c>
      <c r="L105" s="107"/>
    </row>
    <row r="106" spans="2:12" ht="71.25">
      <c r="B106" s="106"/>
      <c r="C106" s="164" t="s">
        <v>240</v>
      </c>
      <c r="D106" s="171" t="s">
        <v>241</v>
      </c>
      <c r="E106" s="116" t="s">
        <v>128</v>
      </c>
      <c r="F106" s="116" t="s">
        <v>231</v>
      </c>
      <c r="G106" s="2" t="s">
        <v>242</v>
      </c>
      <c r="H106" s="116" t="s">
        <v>148</v>
      </c>
      <c r="I106" s="3">
        <v>20</v>
      </c>
      <c r="J106" s="4">
        <f>18114*1.0525*1.35</f>
        <v>25737.729750000002</v>
      </c>
      <c r="K106" s="5">
        <f t="shared" si="11"/>
        <v>514754.59500000003</v>
      </c>
      <c r="L106" s="107"/>
    </row>
    <row r="107" spans="2:12" ht="15" thickBot="1">
      <c r="B107" s="106"/>
      <c r="C107" s="181" t="s">
        <v>65</v>
      </c>
      <c r="D107" s="173" t="s">
        <v>7</v>
      </c>
      <c r="E107" s="120"/>
      <c r="F107" s="119"/>
      <c r="G107" s="119"/>
      <c r="H107" s="119"/>
      <c r="I107" s="3"/>
      <c r="J107" s="119"/>
      <c r="K107" s="118">
        <f>SUM(K102:K106)</f>
        <v>5468664.3700846499</v>
      </c>
      <c r="L107" s="107"/>
    </row>
    <row r="108" spans="2:12" ht="15" thickBot="1">
      <c r="B108" s="106"/>
      <c r="C108" s="180">
        <v>3</v>
      </c>
      <c r="D108" s="170" t="s">
        <v>7</v>
      </c>
      <c r="E108" s="114"/>
      <c r="F108" s="114"/>
      <c r="G108" s="114" t="s">
        <v>243</v>
      </c>
      <c r="H108" s="114"/>
      <c r="I108" s="114"/>
      <c r="J108" s="114"/>
      <c r="K108" s="115"/>
      <c r="L108" s="107"/>
    </row>
    <row r="109" spans="2:12" ht="42.75">
      <c r="B109" s="106"/>
      <c r="C109" s="164" t="s">
        <v>77</v>
      </c>
      <c r="D109" s="174" t="s">
        <v>244</v>
      </c>
      <c r="E109" s="9" t="s">
        <v>42</v>
      </c>
      <c r="F109" s="9" t="s">
        <v>245</v>
      </c>
      <c r="G109" s="8" t="s">
        <v>246</v>
      </c>
      <c r="H109" s="9" t="s">
        <v>20</v>
      </c>
      <c r="I109" s="3">
        <v>30.175000000000001</v>
      </c>
      <c r="J109" s="4">
        <f>32345*1.0525*1.35</f>
        <v>45958.201875000006</v>
      </c>
      <c r="K109" s="5">
        <f t="shared" ref="K109:K113" si="12">J109*I109</f>
        <v>1386788.7415781252</v>
      </c>
      <c r="L109" s="107"/>
    </row>
    <row r="110" spans="2:12" ht="57">
      <c r="B110" s="106"/>
      <c r="C110" s="164" t="s">
        <v>247</v>
      </c>
      <c r="D110" s="174" t="s">
        <v>248</v>
      </c>
      <c r="E110" s="9" t="s">
        <v>42</v>
      </c>
      <c r="F110" s="9" t="s">
        <v>249</v>
      </c>
      <c r="G110" s="8" t="s">
        <v>250</v>
      </c>
      <c r="H110" s="9" t="s">
        <v>44</v>
      </c>
      <c r="I110" s="3">
        <v>16.799999999999997</v>
      </c>
      <c r="J110" s="4">
        <f>21358*1.0525*1.35</f>
        <v>30347.04825</v>
      </c>
      <c r="K110" s="5">
        <f t="shared" si="12"/>
        <v>509830.41059999989</v>
      </c>
      <c r="L110" s="107"/>
    </row>
    <row r="111" spans="2:12" ht="42.75">
      <c r="B111" s="106"/>
      <c r="C111" s="164" t="s">
        <v>251</v>
      </c>
      <c r="D111" s="174" t="s">
        <v>252</v>
      </c>
      <c r="E111" s="9" t="s">
        <v>42</v>
      </c>
      <c r="F111" s="9" t="s">
        <v>245</v>
      </c>
      <c r="G111" s="8" t="s">
        <v>253</v>
      </c>
      <c r="H111" s="9" t="s">
        <v>44</v>
      </c>
      <c r="I111" s="3">
        <v>10</v>
      </c>
      <c r="J111" s="4">
        <f>10684*1.0525*1.35</f>
        <v>15180.628500000001</v>
      </c>
      <c r="K111" s="5">
        <f t="shared" si="12"/>
        <v>151806.285</v>
      </c>
      <c r="L111" s="107"/>
    </row>
    <row r="112" spans="2:12" ht="71.25">
      <c r="B112" s="106"/>
      <c r="C112" s="164" t="s">
        <v>254</v>
      </c>
      <c r="D112" s="174" t="s">
        <v>255</v>
      </c>
      <c r="E112" s="9" t="s">
        <v>256</v>
      </c>
      <c r="F112" s="9" t="s">
        <v>231</v>
      </c>
      <c r="G112" s="8" t="s">
        <v>257</v>
      </c>
      <c r="H112" s="9" t="s">
        <v>20</v>
      </c>
      <c r="I112" s="3">
        <v>3.33</v>
      </c>
      <c r="J112" s="4">
        <f>144240*1.0525*1.35</f>
        <v>204947.01</v>
      </c>
      <c r="K112" s="5">
        <f t="shared" si="12"/>
        <v>682473.54330000002</v>
      </c>
      <c r="L112" s="107"/>
    </row>
    <row r="113" spans="2:12" ht="57">
      <c r="B113" s="106"/>
      <c r="C113" s="164" t="s">
        <v>258</v>
      </c>
      <c r="D113" s="174" t="s">
        <v>259</v>
      </c>
      <c r="E113" s="9" t="s">
        <v>260</v>
      </c>
      <c r="F113" s="9" t="s">
        <v>249</v>
      </c>
      <c r="G113" s="8" t="s">
        <v>261</v>
      </c>
      <c r="H113" s="9" t="s">
        <v>44</v>
      </c>
      <c r="I113" s="3">
        <v>3.17</v>
      </c>
      <c r="J113" s="4">
        <f>139877*1.0525*1.35</f>
        <v>198747.73237500002</v>
      </c>
      <c r="K113" s="5">
        <f t="shared" si="12"/>
        <v>630030.31162875006</v>
      </c>
      <c r="L113" s="107"/>
    </row>
    <row r="114" spans="2:12" ht="15" thickBot="1">
      <c r="B114" s="106"/>
      <c r="C114" s="182" t="s">
        <v>65</v>
      </c>
      <c r="D114" s="175" t="s">
        <v>7</v>
      </c>
      <c r="E114" s="121"/>
      <c r="F114" s="121"/>
      <c r="G114" s="10"/>
      <c r="H114" s="121"/>
      <c r="I114" s="3"/>
      <c r="J114" s="11"/>
      <c r="K114" s="122">
        <f>SUM(K109:K113)</f>
        <v>3360929.2921068748</v>
      </c>
      <c r="L114" s="107"/>
    </row>
    <row r="115" spans="2:12" ht="15" thickBot="1">
      <c r="B115" s="106"/>
      <c r="C115" s="180">
        <v>4</v>
      </c>
      <c r="D115" s="170" t="s">
        <v>7</v>
      </c>
      <c r="E115" s="114"/>
      <c r="F115" s="114"/>
      <c r="G115" s="114" t="s">
        <v>81</v>
      </c>
      <c r="H115" s="114"/>
      <c r="I115" s="114"/>
      <c r="J115" s="114"/>
      <c r="K115" s="115"/>
      <c r="L115" s="107"/>
    </row>
    <row r="116" spans="2:12" ht="42.75">
      <c r="B116" s="106"/>
      <c r="C116" s="164" t="s">
        <v>82</v>
      </c>
      <c r="D116" s="174" t="s">
        <v>262</v>
      </c>
      <c r="E116" s="9" t="s">
        <v>88</v>
      </c>
      <c r="F116" s="9" t="s">
        <v>245</v>
      </c>
      <c r="G116" s="8" t="s">
        <v>263</v>
      </c>
      <c r="H116" s="9" t="s">
        <v>20</v>
      </c>
      <c r="I116" s="3">
        <v>45.515000000000001</v>
      </c>
      <c r="J116" s="4">
        <f>114941*1.0525*1.35</f>
        <v>163316.79337500001</v>
      </c>
      <c r="K116" s="5">
        <f t="shared" ref="K116:K118" si="13">J116*I116</f>
        <v>7433363.8504631259</v>
      </c>
      <c r="L116" s="107"/>
    </row>
    <row r="117" spans="2:12" ht="42.75">
      <c r="B117" s="106"/>
      <c r="C117" s="164" t="s">
        <v>86</v>
      </c>
      <c r="D117" s="174" t="s">
        <v>264</v>
      </c>
      <c r="E117" s="9" t="s">
        <v>88</v>
      </c>
      <c r="F117" s="9" t="s">
        <v>245</v>
      </c>
      <c r="G117" s="8" t="s">
        <v>89</v>
      </c>
      <c r="H117" s="9" t="s">
        <v>44</v>
      </c>
      <c r="I117" s="3">
        <v>10</v>
      </c>
      <c r="J117" s="4">
        <f>26978*1.0525*1.35</f>
        <v>38332.365750000004</v>
      </c>
      <c r="K117" s="5">
        <f t="shared" si="13"/>
        <v>383323.65750000003</v>
      </c>
      <c r="L117" s="107"/>
    </row>
    <row r="118" spans="2:12" ht="57">
      <c r="B118" s="106"/>
      <c r="C118" s="164" t="s">
        <v>90</v>
      </c>
      <c r="D118" s="174" t="s">
        <v>265</v>
      </c>
      <c r="E118" s="9" t="s">
        <v>132</v>
      </c>
      <c r="F118" s="9" t="s">
        <v>249</v>
      </c>
      <c r="G118" s="8" t="s">
        <v>266</v>
      </c>
      <c r="H118" s="9" t="s">
        <v>148</v>
      </c>
      <c r="I118" s="3">
        <v>1</v>
      </c>
      <c r="J118" s="4">
        <f>488345*1.0525*1.35</f>
        <v>693877.20187500003</v>
      </c>
      <c r="K118" s="5">
        <f t="shared" si="13"/>
        <v>693877.20187500003</v>
      </c>
      <c r="L118" s="107"/>
    </row>
    <row r="119" spans="2:12" ht="15" thickBot="1">
      <c r="B119" s="106"/>
      <c r="C119" s="181" t="s">
        <v>65</v>
      </c>
      <c r="D119" s="176" t="s">
        <v>7</v>
      </c>
      <c r="E119" s="123"/>
      <c r="F119" s="123"/>
      <c r="G119" s="12"/>
      <c r="H119" s="124"/>
      <c r="I119" s="3"/>
      <c r="J119" s="7"/>
      <c r="K119" s="118">
        <f>SUM(K116:K118)</f>
        <v>8510564.7098381259</v>
      </c>
      <c r="L119" s="107"/>
    </row>
    <row r="120" spans="2:12" ht="15" thickBot="1">
      <c r="B120" s="106"/>
      <c r="C120" s="180">
        <v>5</v>
      </c>
      <c r="D120" s="170" t="s">
        <v>7</v>
      </c>
      <c r="E120" s="114"/>
      <c r="F120" s="114"/>
      <c r="G120" s="114" t="s">
        <v>93</v>
      </c>
      <c r="H120" s="114"/>
      <c r="I120" s="114"/>
      <c r="J120" s="114"/>
      <c r="K120" s="115"/>
      <c r="L120" s="107"/>
    </row>
    <row r="121" spans="2:12" ht="42.75">
      <c r="B121" s="106"/>
      <c r="C121" s="164" t="s">
        <v>94</v>
      </c>
      <c r="D121" s="174" t="s">
        <v>267</v>
      </c>
      <c r="E121" s="9" t="s">
        <v>42</v>
      </c>
      <c r="F121" s="9" t="s">
        <v>245</v>
      </c>
      <c r="G121" s="8" t="s">
        <v>96</v>
      </c>
      <c r="H121" s="9" t="s">
        <v>20</v>
      </c>
      <c r="I121" s="3">
        <v>31.860499999999998</v>
      </c>
      <c r="J121" s="4">
        <f>21583*1.0525*1.35</f>
        <v>30666.745125000001</v>
      </c>
      <c r="K121" s="5">
        <f t="shared" ref="K121" si="14">J121*I121</f>
        <v>977057.83305506245</v>
      </c>
      <c r="L121" s="107"/>
    </row>
    <row r="122" spans="2:12" ht="15" thickBot="1">
      <c r="B122" s="106"/>
      <c r="C122" s="181" t="s">
        <v>65</v>
      </c>
      <c r="D122" s="176" t="s">
        <v>7</v>
      </c>
      <c r="E122" s="123"/>
      <c r="F122" s="123"/>
      <c r="G122" s="12"/>
      <c r="H122" s="124"/>
      <c r="I122" s="3"/>
      <c r="J122" s="7"/>
      <c r="K122" s="118">
        <f>SUM(K121:K121)</f>
        <v>977057.83305506245</v>
      </c>
      <c r="L122" s="107"/>
    </row>
    <row r="123" spans="2:12" ht="29.25" thickBot="1">
      <c r="B123" s="106"/>
      <c r="C123" s="180">
        <v>6</v>
      </c>
      <c r="D123" s="170" t="s">
        <v>7</v>
      </c>
      <c r="E123" s="114"/>
      <c r="F123" s="114"/>
      <c r="G123" s="114" t="s">
        <v>105</v>
      </c>
      <c r="H123" s="114"/>
      <c r="I123" s="114"/>
      <c r="J123" s="114"/>
      <c r="K123" s="115"/>
      <c r="L123" s="107"/>
    </row>
    <row r="124" spans="2:12" ht="85.5">
      <c r="B124" s="106"/>
      <c r="C124" s="164" t="s">
        <v>106</v>
      </c>
      <c r="D124" s="174" t="s">
        <v>268</v>
      </c>
      <c r="E124" s="9" t="s">
        <v>108</v>
      </c>
      <c r="F124" s="9" t="s">
        <v>249</v>
      </c>
      <c r="G124" s="8" t="s">
        <v>269</v>
      </c>
      <c r="H124" s="9" t="s">
        <v>110</v>
      </c>
      <c r="I124" s="3">
        <v>1</v>
      </c>
      <c r="J124" s="4">
        <f>15245373*1.0525*1.35</f>
        <v>21661769.361375</v>
      </c>
      <c r="K124" s="5">
        <f t="shared" ref="K124:K131" si="15">J124*I124</f>
        <v>21661769.361375</v>
      </c>
      <c r="L124" s="107"/>
    </row>
    <row r="125" spans="2:12" ht="57">
      <c r="B125" s="106"/>
      <c r="C125" s="164" t="s">
        <v>111</v>
      </c>
      <c r="D125" s="174" t="s">
        <v>270</v>
      </c>
      <c r="E125" s="9" t="s">
        <v>113</v>
      </c>
      <c r="F125" s="9" t="s">
        <v>249</v>
      </c>
      <c r="G125" s="8" t="s">
        <v>114</v>
      </c>
      <c r="H125" s="9" t="s">
        <v>110</v>
      </c>
      <c r="I125" s="3">
        <v>2</v>
      </c>
      <c r="J125" s="4">
        <f>3272500*1.0525*1.35</f>
        <v>4649813.4375</v>
      </c>
      <c r="K125" s="5">
        <f t="shared" si="15"/>
        <v>9299626.875</v>
      </c>
      <c r="L125" s="107"/>
    </row>
    <row r="126" spans="2:12" ht="57">
      <c r="B126" s="106"/>
      <c r="C126" s="164" t="s">
        <v>115</v>
      </c>
      <c r="D126" s="174" t="s">
        <v>271</v>
      </c>
      <c r="E126" s="9" t="s">
        <v>117</v>
      </c>
      <c r="F126" s="9" t="s">
        <v>249</v>
      </c>
      <c r="G126" s="8" t="s">
        <v>118</v>
      </c>
      <c r="H126" s="9" t="s">
        <v>110</v>
      </c>
      <c r="I126" s="3">
        <v>2</v>
      </c>
      <c r="J126" s="4">
        <f>3270000*1.0525*1.35</f>
        <v>4646261.25</v>
      </c>
      <c r="K126" s="5">
        <f t="shared" si="15"/>
        <v>9292522.5</v>
      </c>
      <c r="L126" s="107"/>
    </row>
    <row r="127" spans="2:12" ht="42.75">
      <c r="B127" s="106"/>
      <c r="C127" s="164" t="s">
        <v>119</v>
      </c>
      <c r="D127" s="174" t="s">
        <v>272</v>
      </c>
      <c r="E127" s="9" t="s">
        <v>121</v>
      </c>
      <c r="F127" s="9" t="s">
        <v>273</v>
      </c>
      <c r="G127" s="8" t="s">
        <v>274</v>
      </c>
      <c r="H127" s="9" t="s">
        <v>110</v>
      </c>
      <c r="I127" s="3">
        <v>1</v>
      </c>
      <c r="J127" s="4">
        <f>3883333*1.0525*1.35</f>
        <v>5517730.7763750004</v>
      </c>
      <c r="K127" s="5">
        <f t="shared" si="15"/>
        <v>5517730.7763750004</v>
      </c>
      <c r="L127" s="107"/>
    </row>
    <row r="128" spans="2:12" ht="42.75">
      <c r="B128" s="106"/>
      <c r="C128" s="164" t="s">
        <v>123</v>
      </c>
      <c r="D128" s="174" t="s">
        <v>275</v>
      </c>
      <c r="E128" s="9" t="s">
        <v>121</v>
      </c>
      <c r="F128" s="9" t="s">
        <v>273</v>
      </c>
      <c r="G128" s="8" t="s">
        <v>276</v>
      </c>
      <c r="H128" s="9" t="s">
        <v>110</v>
      </c>
      <c r="I128" s="3">
        <v>1</v>
      </c>
      <c r="J128" s="4">
        <f>2123380*1.0525*1.35</f>
        <v>3017057.5575000006</v>
      </c>
      <c r="K128" s="5">
        <f t="shared" si="15"/>
        <v>3017057.5575000006</v>
      </c>
      <c r="L128" s="107"/>
    </row>
    <row r="129" spans="2:12" ht="42.75">
      <c r="B129" s="106"/>
      <c r="C129" s="164" t="s">
        <v>126</v>
      </c>
      <c r="D129" s="174" t="s">
        <v>277</v>
      </c>
      <c r="E129" s="9" t="s">
        <v>121</v>
      </c>
      <c r="F129" s="9" t="s">
        <v>273</v>
      </c>
      <c r="G129" s="8" t="s">
        <v>278</v>
      </c>
      <c r="H129" s="9" t="s">
        <v>61</v>
      </c>
      <c r="I129" s="3">
        <v>1</v>
      </c>
      <c r="J129" s="4">
        <f>1645000*1.0525*1.35</f>
        <v>2337339.375</v>
      </c>
      <c r="K129" s="5">
        <f t="shared" si="15"/>
        <v>2337339.375</v>
      </c>
      <c r="L129" s="107"/>
    </row>
    <row r="130" spans="2:12" ht="57">
      <c r="B130" s="106"/>
      <c r="C130" s="164" t="s">
        <v>130</v>
      </c>
      <c r="D130" s="174" t="s">
        <v>279</v>
      </c>
      <c r="E130" s="9" t="s">
        <v>128</v>
      </c>
      <c r="F130" s="9" t="s">
        <v>249</v>
      </c>
      <c r="G130" s="8" t="s">
        <v>280</v>
      </c>
      <c r="H130" s="9" t="s">
        <v>110</v>
      </c>
      <c r="I130" s="3">
        <v>1</v>
      </c>
      <c r="J130" s="4">
        <f>1800500*1.0525*1.35</f>
        <v>2558285.4375</v>
      </c>
      <c r="K130" s="5">
        <f t="shared" si="15"/>
        <v>2558285.4375</v>
      </c>
      <c r="L130" s="107"/>
    </row>
    <row r="131" spans="2:12" ht="57">
      <c r="B131" s="106"/>
      <c r="C131" s="164" t="s">
        <v>281</v>
      </c>
      <c r="D131" s="174" t="s">
        <v>282</v>
      </c>
      <c r="E131" s="9" t="s">
        <v>132</v>
      </c>
      <c r="F131" s="9" t="s">
        <v>249</v>
      </c>
      <c r="G131" s="8" t="s">
        <v>283</v>
      </c>
      <c r="H131" s="9" t="s">
        <v>110</v>
      </c>
      <c r="I131" s="3">
        <v>1</v>
      </c>
      <c r="J131" s="4">
        <f>7685000*1.0525*1.35</f>
        <v>10919424.375</v>
      </c>
      <c r="K131" s="5">
        <f t="shared" si="15"/>
        <v>10919424.375</v>
      </c>
      <c r="L131" s="107"/>
    </row>
    <row r="132" spans="2:12" ht="15" thickBot="1">
      <c r="B132" s="106"/>
      <c r="C132" s="181" t="s">
        <v>65</v>
      </c>
      <c r="D132" s="176" t="s">
        <v>7</v>
      </c>
      <c r="E132" s="123"/>
      <c r="F132" s="123"/>
      <c r="G132" s="12"/>
      <c r="H132" s="124"/>
      <c r="I132" s="3"/>
      <c r="J132" s="7"/>
      <c r="K132" s="118">
        <f>SUM(K124:K131)</f>
        <v>64603756.257750005</v>
      </c>
      <c r="L132" s="107"/>
    </row>
    <row r="133" spans="2:12" ht="29.25" thickBot="1">
      <c r="B133" s="106"/>
      <c r="C133" s="180">
        <v>7</v>
      </c>
      <c r="D133" s="170" t="s">
        <v>7</v>
      </c>
      <c r="E133" s="114"/>
      <c r="F133" s="114"/>
      <c r="G133" s="114" t="s">
        <v>134</v>
      </c>
      <c r="H133" s="114"/>
      <c r="I133" s="114"/>
      <c r="J133" s="114"/>
      <c r="K133" s="115"/>
      <c r="L133" s="107"/>
    </row>
    <row r="134" spans="2:12" ht="57">
      <c r="B134" s="106"/>
      <c r="C134" s="164" t="s">
        <v>135</v>
      </c>
      <c r="D134" s="174" t="s">
        <v>284</v>
      </c>
      <c r="E134" s="9" t="s">
        <v>121</v>
      </c>
      <c r="F134" s="9" t="s">
        <v>249</v>
      </c>
      <c r="G134" s="8" t="s">
        <v>137</v>
      </c>
      <c r="H134" s="9" t="s">
        <v>44</v>
      </c>
      <c r="I134" s="3">
        <v>8</v>
      </c>
      <c r="J134" s="4">
        <f>35665*1.0525*1.35</f>
        <v>50675.506874999999</v>
      </c>
      <c r="K134" s="5">
        <f t="shared" ref="K134:K150" si="16">J134*I134</f>
        <v>405404.05499999999</v>
      </c>
      <c r="L134" s="107"/>
    </row>
    <row r="135" spans="2:12" ht="57">
      <c r="B135" s="106"/>
      <c r="C135" s="164" t="s">
        <v>138</v>
      </c>
      <c r="D135" s="174" t="s">
        <v>285</v>
      </c>
      <c r="E135" s="9" t="s">
        <v>121</v>
      </c>
      <c r="F135" s="9" t="s">
        <v>249</v>
      </c>
      <c r="G135" s="8" t="s">
        <v>286</v>
      </c>
      <c r="H135" s="9" t="s">
        <v>44</v>
      </c>
      <c r="I135" s="3">
        <v>5.2</v>
      </c>
      <c r="J135" s="4">
        <f>66314*1.0525*1.35</f>
        <v>94223.904750000002</v>
      </c>
      <c r="K135" s="5">
        <f t="shared" si="16"/>
        <v>489964.30470000004</v>
      </c>
      <c r="L135" s="107"/>
    </row>
    <row r="136" spans="2:12" ht="57">
      <c r="B136" s="106"/>
      <c r="C136" s="164" t="s">
        <v>141</v>
      </c>
      <c r="D136" s="174" t="s">
        <v>287</v>
      </c>
      <c r="E136" s="9" t="s">
        <v>169</v>
      </c>
      <c r="F136" s="9" t="s">
        <v>249</v>
      </c>
      <c r="G136" s="8" t="s">
        <v>288</v>
      </c>
      <c r="H136" s="9" t="s">
        <v>44</v>
      </c>
      <c r="I136" s="3">
        <v>18.559999999999999</v>
      </c>
      <c r="J136" s="4">
        <f>71620*1.0525*1.35</f>
        <v>101763.0675</v>
      </c>
      <c r="K136" s="5">
        <f t="shared" si="16"/>
        <v>1888722.5327999999</v>
      </c>
      <c r="L136" s="107"/>
    </row>
    <row r="137" spans="2:12" ht="57">
      <c r="B137" s="106"/>
      <c r="C137" s="164" t="s">
        <v>144</v>
      </c>
      <c r="D137" s="174" t="s">
        <v>289</v>
      </c>
      <c r="E137" s="9" t="s">
        <v>121</v>
      </c>
      <c r="F137" s="9" t="s">
        <v>249</v>
      </c>
      <c r="G137" s="8" t="s">
        <v>290</v>
      </c>
      <c r="H137" s="9" t="s">
        <v>44</v>
      </c>
      <c r="I137" s="3">
        <v>18.47</v>
      </c>
      <c r="J137" s="4">
        <f>78108*1.0525*1.35</f>
        <v>110981.70450000001</v>
      </c>
      <c r="K137" s="5">
        <f t="shared" si="16"/>
        <v>2049832.0821150001</v>
      </c>
      <c r="L137" s="107"/>
    </row>
    <row r="138" spans="2:12" ht="57">
      <c r="B138" s="106"/>
      <c r="C138" s="164" t="s">
        <v>149</v>
      </c>
      <c r="D138" s="174" t="s">
        <v>291</v>
      </c>
      <c r="E138" s="9" t="s">
        <v>146</v>
      </c>
      <c r="F138" s="9" t="s">
        <v>249</v>
      </c>
      <c r="G138" s="8" t="s">
        <v>147</v>
      </c>
      <c r="H138" s="9" t="s">
        <v>148</v>
      </c>
      <c r="I138" s="3">
        <v>8</v>
      </c>
      <c r="J138" s="4">
        <f>66314*1.0525*1.35</f>
        <v>94223.904750000002</v>
      </c>
      <c r="K138" s="5">
        <f t="shared" si="16"/>
        <v>753791.23800000001</v>
      </c>
      <c r="L138" s="107"/>
    </row>
    <row r="139" spans="2:12" ht="57">
      <c r="B139" s="106"/>
      <c r="C139" s="164" t="s">
        <v>153</v>
      </c>
      <c r="D139" s="174" t="s">
        <v>292</v>
      </c>
      <c r="E139" s="9" t="s">
        <v>151</v>
      </c>
      <c r="F139" s="9" t="s">
        <v>249</v>
      </c>
      <c r="G139" s="8" t="s">
        <v>152</v>
      </c>
      <c r="H139" s="9" t="s">
        <v>44</v>
      </c>
      <c r="I139" s="3">
        <v>47.5</v>
      </c>
      <c r="J139" s="4">
        <f>11716*1.0525*1.35</f>
        <v>16646.9715</v>
      </c>
      <c r="K139" s="5">
        <f t="shared" si="16"/>
        <v>790731.14624999999</v>
      </c>
      <c r="L139" s="107"/>
    </row>
    <row r="140" spans="2:12" ht="57">
      <c r="B140" s="106"/>
      <c r="C140" s="164" t="s">
        <v>156</v>
      </c>
      <c r="D140" s="174" t="s">
        <v>293</v>
      </c>
      <c r="E140" s="9" t="s">
        <v>151</v>
      </c>
      <c r="F140" s="9" t="s">
        <v>249</v>
      </c>
      <c r="G140" s="8" t="s">
        <v>155</v>
      </c>
      <c r="H140" s="9" t="s">
        <v>44</v>
      </c>
      <c r="I140" s="3">
        <v>12</v>
      </c>
      <c r="J140" s="4">
        <f>14098*1.0525*1.35</f>
        <v>20031.495750000002</v>
      </c>
      <c r="K140" s="5">
        <f t="shared" si="16"/>
        <v>240377.94900000002</v>
      </c>
      <c r="L140" s="107"/>
    </row>
    <row r="141" spans="2:12" ht="57">
      <c r="B141" s="106"/>
      <c r="C141" s="164" t="s">
        <v>160</v>
      </c>
      <c r="D141" s="174" t="s">
        <v>294</v>
      </c>
      <c r="E141" s="9" t="s">
        <v>158</v>
      </c>
      <c r="F141" s="9" t="s">
        <v>249</v>
      </c>
      <c r="G141" s="8" t="s">
        <v>162</v>
      </c>
      <c r="H141" s="9" t="s">
        <v>148</v>
      </c>
      <c r="I141" s="3">
        <v>3</v>
      </c>
      <c r="J141" s="4">
        <f>41806*1.0525*1.35</f>
        <v>59401.10025000001</v>
      </c>
      <c r="K141" s="5">
        <f t="shared" si="16"/>
        <v>178203.30075000002</v>
      </c>
      <c r="L141" s="107"/>
    </row>
    <row r="142" spans="2:12" ht="57">
      <c r="B142" s="106"/>
      <c r="C142" s="164" t="s">
        <v>163</v>
      </c>
      <c r="D142" s="174" t="s">
        <v>295</v>
      </c>
      <c r="E142" s="9" t="s">
        <v>158</v>
      </c>
      <c r="F142" s="9" t="s">
        <v>249</v>
      </c>
      <c r="G142" s="8" t="s">
        <v>173</v>
      </c>
      <c r="H142" s="9" t="s">
        <v>148</v>
      </c>
      <c r="I142" s="3">
        <v>11</v>
      </c>
      <c r="J142" s="4">
        <f>85875*1.0525*1.35</f>
        <v>122017.64062500001</v>
      </c>
      <c r="K142" s="5">
        <f t="shared" si="16"/>
        <v>1342194.0468750002</v>
      </c>
      <c r="L142" s="107"/>
    </row>
    <row r="143" spans="2:12" ht="57">
      <c r="B143" s="106"/>
      <c r="C143" s="164" t="s">
        <v>167</v>
      </c>
      <c r="D143" s="174" t="s">
        <v>296</v>
      </c>
      <c r="E143" s="9" t="s">
        <v>158</v>
      </c>
      <c r="F143" s="9" t="s">
        <v>249</v>
      </c>
      <c r="G143" s="8" t="s">
        <v>176</v>
      </c>
      <c r="H143" s="9" t="s">
        <v>148</v>
      </c>
      <c r="I143" s="3">
        <v>3</v>
      </c>
      <c r="J143" s="4">
        <f>219650*1.0525*1.35</f>
        <v>312095.19375000003</v>
      </c>
      <c r="K143" s="5">
        <f t="shared" si="16"/>
        <v>936285.58125000005</v>
      </c>
      <c r="L143" s="107"/>
    </row>
    <row r="144" spans="2:12" ht="57">
      <c r="B144" s="106"/>
      <c r="C144" s="164" t="s">
        <v>171</v>
      </c>
      <c r="D144" s="174" t="s">
        <v>297</v>
      </c>
      <c r="E144" s="9" t="s">
        <v>165</v>
      </c>
      <c r="F144" s="9" t="s">
        <v>249</v>
      </c>
      <c r="G144" s="8" t="s">
        <v>298</v>
      </c>
      <c r="H144" s="9" t="s">
        <v>148</v>
      </c>
      <c r="I144" s="3">
        <v>2</v>
      </c>
      <c r="J144" s="4">
        <f>359431*1.0525*1.35</f>
        <v>510706.52212500002</v>
      </c>
      <c r="K144" s="5">
        <f t="shared" si="16"/>
        <v>1021413.04425</v>
      </c>
      <c r="L144" s="107"/>
    </row>
    <row r="145" spans="2:12" ht="57">
      <c r="B145" s="106"/>
      <c r="C145" s="164" t="s">
        <v>174</v>
      </c>
      <c r="D145" s="174" t="s">
        <v>299</v>
      </c>
      <c r="E145" s="9" t="s">
        <v>300</v>
      </c>
      <c r="F145" s="9" t="s">
        <v>249</v>
      </c>
      <c r="G145" s="8" t="s">
        <v>301</v>
      </c>
      <c r="H145" s="9" t="s">
        <v>148</v>
      </c>
      <c r="I145" s="3">
        <v>2</v>
      </c>
      <c r="J145" s="4">
        <f>828438*1.0525*1.35</f>
        <v>1177106.8432500002</v>
      </c>
      <c r="K145" s="5">
        <f t="shared" si="16"/>
        <v>2354213.6865000003</v>
      </c>
      <c r="L145" s="107"/>
    </row>
    <row r="146" spans="2:12" ht="57">
      <c r="B146" s="106"/>
      <c r="C146" s="164" t="s">
        <v>302</v>
      </c>
      <c r="D146" s="174" t="s">
        <v>303</v>
      </c>
      <c r="E146" s="9" t="s">
        <v>304</v>
      </c>
      <c r="F146" s="9" t="s">
        <v>249</v>
      </c>
      <c r="G146" s="8" t="s">
        <v>305</v>
      </c>
      <c r="H146" s="9" t="s">
        <v>148</v>
      </c>
      <c r="I146" s="3">
        <v>2</v>
      </c>
      <c r="J146" s="4">
        <f>287041*1.0525*1.35</f>
        <v>407849.38087500009</v>
      </c>
      <c r="K146" s="5">
        <f t="shared" si="16"/>
        <v>815698.76175000018</v>
      </c>
      <c r="L146" s="107"/>
    </row>
    <row r="147" spans="2:12" ht="57">
      <c r="B147" s="106"/>
      <c r="C147" s="164" t="s">
        <v>306</v>
      </c>
      <c r="D147" s="174" t="s">
        <v>307</v>
      </c>
      <c r="E147" s="9" t="s">
        <v>169</v>
      </c>
      <c r="F147" s="9" t="s">
        <v>249</v>
      </c>
      <c r="G147" s="8" t="s">
        <v>308</v>
      </c>
      <c r="H147" s="9" t="s">
        <v>148</v>
      </c>
      <c r="I147" s="3">
        <v>2</v>
      </c>
      <c r="J147" s="4">
        <f>112466*1.0525*1.35</f>
        <v>159800.12775000001</v>
      </c>
      <c r="K147" s="5">
        <f t="shared" si="16"/>
        <v>319600.25550000003</v>
      </c>
      <c r="L147" s="107"/>
    </row>
    <row r="148" spans="2:12" ht="57">
      <c r="B148" s="106"/>
      <c r="C148" s="164" t="s">
        <v>309</v>
      </c>
      <c r="D148" s="174" t="s">
        <v>310</v>
      </c>
      <c r="E148" s="9" t="s">
        <v>169</v>
      </c>
      <c r="F148" s="9" t="s">
        <v>249</v>
      </c>
      <c r="G148" s="8" t="s">
        <v>311</v>
      </c>
      <c r="H148" s="9" t="s">
        <v>148</v>
      </c>
      <c r="I148" s="3">
        <v>2</v>
      </c>
      <c r="J148" s="4">
        <f>112466*1.0525*1.35</f>
        <v>159800.12775000001</v>
      </c>
      <c r="K148" s="5">
        <f t="shared" si="16"/>
        <v>319600.25550000003</v>
      </c>
      <c r="L148" s="107"/>
    </row>
    <row r="149" spans="2:12" ht="57">
      <c r="B149" s="106"/>
      <c r="C149" s="164" t="s">
        <v>312</v>
      </c>
      <c r="D149" s="174" t="s">
        <v>313</v>
      </c>
      <c r="E149" s="9" t="s">
        <v>169</v>
      </c>
      <c r="F149" s="9" t="s">
        <v>249</v>
      </c>
      <c r="G149" s="8" t="s">
        <v>314</v>
      </c>
      <c r="H149" s="9" t="s">
        <v>148</v>
      </c>
      <c r="I149" s="3">
        <v>2</v>
      </c>
      <c r="J149" s="4">
        <f>112466*1.0525*1.35</f>
        <v>159800.12775000001</v>
      </c>
      <c r="K149" s="5">
        <f t="shared" si="16"/>
        <v>319600.25550000003</v>
      </c>
      <c r="L149" s="107"/>
    </row>
    <row r="150" spans="2:12" ht="57">
      <c r="B150" s="106"/>
      <c r="C150" s="164" t="s">
        <v>315</v>
      </c>
      <c r="D150" s="174" t="s">
        <v>316</v>
      </c>
      <c r="E150" s="9" t="s">
        <v>132</v>
      </c>
      <c r="F150" s="9" t="s">
        <v>249</v>
      </c>
      <c r="G150" s="8" t="s">
        <v>266</v>
      </c>
      <c r="H150" s="9" t="s">
        <v>148</v>
      </c>
      <c r="I150" s="3">
        <v>1</v>
      </c>
      <c r="J150" s="4">
        <f>488345*1.0525*1.35</f>
        <v>693877.20187500003</v>
      </c>
      <c r="K150" s="5">
        <f t="shared" si="16"/>
        <v>693877.20187500003</v>
      </c>
      <c r="L150" s="107"/>
    </row>
    <row r="151" spans="2:12" ht="15" thickBot="1">
      <c r="B151" s="106"/>
      <c r="C151" s="181" t="s">
        <v>65</v>
      </c>
      <c r="D151" s="176" t="s">
        <v>7</v>
      </c>
      <c r="E151" s="123"/>
      <c r="F151" s="123"/>
      <c r="G151" s="12"/>
      <c r="H151" s="124"/>
      <c r="I151" s="3"/>
      <c r="J151" s="7"/>
      <c r="K151" s="118">
        <f>SUM(K134:K150)</f>
        <v>14919509.697614999</v>
      </c>
      <c r="L151" s="107"/>
    </row>
    <row r="152" spans="2:12" ht="15" thickBot="1">
      <c r="B152" s="106"/>
      <c r="C152" s="180">
        <v>8</v>
      </c>
      <c r="D152" s="170" t="s">
        <v>7</v>
      </c>
      <c r="E152" s="114"/>
      <c r="F152" s="114"/>
      <c r="G152" s="114" t="s">
        <v>177</v>
      </c>
      <c r="H152" s="114"/>
      <c r="I152" s="114"/>
      <c r="J152" s="114"/>
      <c r="K152" s="115"/>
      <c r="L152" s="107"/>
    </row>
    <row r="153" spans="2:12" ht="42.75">
      <c r="B153" s="106"/>
      <c r="C153" s="164" t="s">
        <v>178</v>
      </c>
      <c r="D153" s="174" t="s">
        <v>317</v>
      </c>
      <c r="E153" s="9" t="s">
        <v>42</v>
      </c>
      <c r="F153" s="9" t="s">
        <v>245</v>
      </c>
      <c r="G153" s="8" t="s">
        <v>318</v>
      </c>
      <c r="H153" s="9" t="s">
        <v>20</v>
      </c>
      <c r="I153" s="3">
        <v>2</v>
      </c>
      <c r="J153" s="4">
        <f>75858*1.0525*1.35</f>
        <v>107784.73575000001</v>
      </c>
      <c r="K153" s="5">
        <f t="shared" ref="K153" si="17">J153*I153</f>
        <v>215569.47150000001</v>
      </c>
      <c r="L153" s="107"/>
    </row>
    <row r="154" spans="2:12" ht="15" thickBot="1">
      <c r="B154" s="106"/>
      <c r="C154" s="182" t="s">
        <v>65</v>
      </c>
      <c r="D154" s="175" t="s">
        <v>7</v>
      </c>
      <c r="E154" s="121"/>
      <c r="F154" s="121"/>
      <c r="G154" s="10"/>
      <c r="H154" s="121"/>
      <c r="I154" s="3"/>
      <c r="J154" s="11"/>
      <c r="K154" s="122">
        <f>SUM(K153)</f>
        <v>215569.47150000001</v>
      </c>
      <c r="L154" s="107"/>
    </row>
    <row r="155" spans="2:12" ht="15" thickBot="1">
      <c r="B155" s="106"/>
      <c r="C155" s="180">
        <v>9</v>
      </c>
      <c r="D155" s="170" t="s">
        <v>7</v>
      </c>
      <c r="E155" s="114"/>
      <c r="F155" s="114"/>
      <c r="G155" s="114" t="s">
        <v>186</v>
      </c>
      <c r="H155" s="114"/>
      <c r="I155" s="114"/>
      <c r="J155" s="114"/>
      <c r="K155" s="115"/>
      <c r="L155" s="107"/>
    </row>
    <row r="156" spans="2:12" ht="57">
      <c r="B156" s="106"/>
      <c r="C156" s="164" t="s">
        <v>183</v>
      </c>
      <c r="D156" s="174" t="s">
        <v>319</v>
      </c>
      <c r="E156" s="9" t="s">
        <v>189</v>
      </c>
      <c r="F156" s="9" t="s">
        <v>320</v>
      </c>
      <c r="G156" s="8" t="s">
        <v>191</v>
      </c>
      <c r="H156" s="9" t="s">
        <v>44</v>
      </c>
      <c r="I156" s="3">
        <v>32</v>
      </c>
      <c r="J156" s="4">
        <f>77707*1.0525*1.35</f>
        <v>110411.93362499999</v>
      </c>
      <c r="K156" s="5">
        <f t="shared" ref="K156:K163" si="18">J156*I156</f>
        <v>3533181.8759999997</v>
      </c>
      <c r="L156" s="107"/>
    </row>
    <row r="157" spans="2:12" ht="57">
      <c r="B157" s="106"/>
      <c r="C157" s="164" t="s">
        <v>321</v>
      </c>
      <c r="D157" s="174" t="s">
        <v>322</v>
      </c>
      <c r="E157" s="9" t="s">
        <v>189</v>
      </c>
      <c r="F157" s="9" t="s">
        <v>249</v>
      </c>
      <c r="G157" s="8" t="s">
        <v>194</v>
      </c>
      <c r="H157" s="9" t="s">
        <v>44</v>
      </c>
      <c r="I157" s="3">
        <v>32</v>
      </c>
      <c r="J157" s="4">
        <f>55101*1.0525*1.35</f>
        <v>78291.633375000005</v>
      </c>
      <c r="K157" s="5">
        <f t="shared" si="18"/>
        <v>2505332.2680000002</v>
      </c>
      <c r="L157" s="107"/>
    </row>
    <row r="158" spans="2:12" ht="57">
      <c r="B158" s="106"/>
      <c r="C158" s="164" t="s">
        <v>323</v>
      </c>
      <c r="D158" s="174" t="s">
        <v>324</v>
      </c>
      <c r="E158" s="9" t="s">
        <v>189</v>
      </c>
      <c r="F158" s="9" t="s">
        <v>320</v>
      </c>
      <c r="G158" s="8" t="s">
        <v>197</v>
      </c>
      <c r="H158" s="9" t="s">
        <v>148</v>
      </c>
      <c r="I158" s="3">
        <v>1</v>
      </c>
      <c r="J158" s="4">
        <f>461888*1.0525*1.35</f>
        <v>656285.11200000008</v>
      </c>
      <c r="K158" s="5">
        <f t="shared" si="18"/>
        <v>656285.11200000008</v>
      </c>
      <c r="L158" s="107"/>
    </row>
    <row r="159" spans="2:12" ht="57">
      <c r="B159" s="106"/>
      <c r="C159" s="164" t="s">
        <v>325</v>
      </c>
      <c r="D159" s="174" t="s">
        <v>326</v>
      </c>
      <c r="E159" s="9" t="s">
        <v>189</v>
      </c>
      <c r="F159" s="9" t="s">
        <v>320</v>
      </c>
      <c r="G159" s="8" t="s">
        <v>200</v>
      </c>
      <c r="H159" s="9" t="s">
        <v>148</v>
      </c>
      <c r="I159" s="3">
        <v>4</v>
      </c>
      <c r="J159" s="4">
        <f>137314*1.0525*1.35</f>
        <v>195106.02974999999</v>
      </c>
      <c r="K159" s="5">
        <f t="shared" si="18"/>
        <v>780424.11899999995</v>
      </c>
      <c r="L159" s="107"/>
    </row>
    <row r="160" spans="2:12" ht="57">
      <c r="B160" s="106"/>
      <c r="C160" s="164" t="s">
        <v>327</v>
      </c>
      <c r="D160" s="174" t="s">
        <v>328</v>
      </c>
      <c r="E160" s="9" t="s">
        <v>203</v>
      </c>
      <c r="F160" s="9" t="s">
        <v>320</v>
      </c>
      <c r="G160" s="8" t="s">
        <v>329</v>
      </c>
      <c r="H160" s="9" t="s">
        <v>148</v>
      </c>
      <c r="I160" s="3">
        <v>3</v>
      </c>
      <c r="J160" s="4">
        <f>150653*1.0525*1.35</f>
        <v>214059.08137500001</v>
      </c>
      <c r="K160" s="5">
        <f t="shared" si="18"/>
        <v>642177.24412499997</v>
      </c>
      <c r="L160" s="107"/>
    </row>
    <row r="161" spans="2:12" ht="57">
      <c r="B161" s="106"/>
      <c r="C161" s="164" t="s">
        <v>330</v>
      </c>
      <c r="D161" s="174" t="s">
        <v>331</v>
      </c>
      <c r="E161" s="9" t="s">
        <v>203</v>
      </c>
      <c r="F161" s="9" t="s">
        <v>320</v>
      </c>
      <c r="G161" s="8" t="s">
        <v>204</v>
      </c>
      <c r="H161" s="9" t="s">
        <v>148</v>
      </c>
      <c r="I161" s="3">
        <v>1</v>
      </c>
      <c r="J161" s="4">
        <f>350799*1.0525*1.35</f>
        <v>498441.52912500006</v>
      </c>
      <c r="K161" s="5">
        <f t="shared" si="18"/>
        <v>498441.52912500006</v>
      </c>
      <c r="L161" s="107"/>
    </row>
    <row r="162" spans="2:12" ht="57">
      <c r="B162" s="106"/>
      <c r="C162" s="164" t="s">
        <v>332</v>
      </c>
      <c r="D162" s="174" t="s">
        <v>333</v>
      </c>
      <c r="E162" s="9" t="s">
        <v>189</v>
      </c>
      <c r="F162" s="9" t="s">
        <v>320</v>
      </c>
      <c r="G162" s="8" t="s">
        <v>207</v>
      </c>
      <c r="H162" s="9" t="s">
        <v>148</v>
      </c>
      <c r="I162" s="3">
        <v>4</v>
      </c>
      <c r="J162" s="4">
        <f>66954*1.0525*1.35</f>
        <v>95133.264750000017</v>
      </c>
      <c r="K162" s="5">
        <f t="shared" si="18"/>
        <v>380533.05900000007</v>
      </c>
      <c r="L162" s="107"/>
    </row>
    <row r="163" spans="2:12" ht="57">
      <c r="B163" s="106"/>
      <c r="C163" s="164" t="s">
        <v>334</v>
      </c>
      <c r="D163" s="174" t="s">
        <v>335</v>
      </c>
      <c r="E163" s="9" t="s">
        <v>189</v>
      </c>
      <c r="F163" s="9" t="s">
        <v>249</v>
      </c>
      <c r="G163" s="8" t="s">
        <v>336</v>
      </c>
      <c r="H163" s="9" t="s">
        <v>148</v>
      </c>
      <c r="I163" s="3">
        <v>1</v>
      </c>
      <c r="J163" s="4">
        <f>299679*1.0525*1.35</f>
        <v>425806.39912500005</v>
      </c>
      <c r="K163" s="5">
        <f t="shared" si="18"/>
        <v>425806.39912500005</v>
      </c>
      <c r="L163" s="107"/>
    </row>
    <row r="164" spans="2:12" ht="15" thickBot="1">
      <c r="B164" s="106"/>
      <c r="C164" s="181" t="s">
        <v>65</v>
      </c>
      <c r="D164" s="176" t="s">
        <v>7</v>
      </c>
      <c r="E164" s="123"/>
      <c r="F164" s="123"/>
      <c r="G164" s="12"/>
      <c r="H164" s="124"/>
      <c r="I164" s="3"/>
      <c r="J164" s="7"/>
      <c r="K164" s="118">
        <f>SUM(K156:K163)</f>
        <v>9422181.6063749995</v>
      </c>
      <c r="L164" s="107"/>
    </row>
    <row r="165" spans="2:12" s="128" customFormat="1" ht="15" customHeight="1" thickBot="1">
      <c r="B165" s="125"/>
      <c r="C165" s="188" t="s">
        <v>337</v>
      </c>
      <c r="D165" s="189"/>
      <c r="E165" s="190"/>
      <c r="F165" s="190"/>
      <c r="G165" s="190"/>
      <c r="H165" s="190"/>
      <c r="I165" s="190"/>
      <c r="J165" s="191"/>
      <c r="K165" s="126">
        <f>ROUND(K100+K107+K114+K119+K122+K132+K151+K154+K164,0)</f>
        <v>113208832</v>
      </c>
      <c r="L165" s="127"/>
    </row>
    <row r="166" spans="2:12" ht="29.25" thickBot="1">
      <c r="B166" s="106"/>
      <c r="C166" s="179" t="s">
        <v>7</v>
      </c>
      <c r="D166" s="169" t="s">
        <v>7</v>
      </c>
      <c r="E166" s="112"/>
      <c r="F166" s="112"/>
      <c r="G166" s="112" t="s">
        <v>338</v>
      </c>
      <c r="H166" s="112"/>
      <c r="I166" s="112"/>
      <c r="J166" s="112"/>
      <c r="K166" s="113"/>
      <c r="L166" s="107"/>
    </row>
    <row r="167" spans="2:12" ht="15" thickBot="1">
      <c r="B167" s="106"/>
      <c r="C167" s="180">
        <v>1</v>
      </c>
      <c r="D167" s="170" t="s">
        <v>7</v>
      </c>
      <c r="E167" s="114"/>
      <c r="F167" s="114"/>
      <c r="G167" s="114" t="s">
        <v>14</v>
      </c>
      <c r="H167" s="114"/>
      <c r="I167" s="114"/>
      <c r="J167" s="114"/>
      <c r="K167" s="115"/>
      <c r="L167" s="107"/>
    </row>
    <row r="168" spans="2:12" ht="42.75">
      <c r="B168" s="106"/>
      <c r="C168" s="164" t="s">
        <v>15</v>
      </c>
      <c r="D168" s="171" t="s">
        <v>339</v>
      </c>
      <c r="E168" s="116" t="s">
        <v>17</v>
      </c>
      <c r="F168" s="116" t="s">
        <v>340</v>
      </c>
      <c r="G168" s="2" t="s">
        <v>19</v>
      </c>
      <c r="H168" s="116" t="s">
        <v>20</v>
      </c>
      <c r="I168" s="3">
        <v>39.050000000000004</v>
      </c>
      <c r="J168" s="4">
        <f>1367*1.0525*1.35</f>
        <v>1942.336125</v>
      </c>
      <c r="K168" s="5">
        <f>J168*I168</f>
        <v>75848.225681250013</v>
      </c>
      <c r="L168" s="107"/>
    </row>
    <row r="169" spans="2:12" ht="57">
      <c r="B169" s="106"/>
      <c r="C169" s="164" t="s">
        <v>21</v>
      </c>
      <c r="D169" s="171" t="s">
        <v>341</v>
      </c>
      <c r="E169" s="116" t="s">
        <v>23</v>
      </c>
      <c r="F169" s="116" t="s">
        <v>340</v>
      </c>
      <c r="G169" s="2" t="s">
        <v>24</v>
      </c>
      <c r="H169" s="116" t="s">
        <v>20</v>
      </c>
      <c r="I169" s="3">
        <v>7.91</v>
      </c>
      <c r="J169" s="4">
        <f>13491*1.0525*1.35</f>
        <v>19169.024625000002</v>
      </c>
      <c r="K169" s="5">
        <f t="shared" ref="K169:K181" si="19">J169*I169</f>
        <v>151626.98478375003</v>
      </c>
      <c r="L169" s="107"/>
    </row>
    <row r="170" spans="2:12" ht="57">
      <c r="B170" s="106"/>
      <c r="C170" s="164" t="s">
        <v>25</v>
      </c>
      <c r="D170" s="171" t="s">
        <v>342</v>
      </c>
      <c r="E170" s="116" t="s">
        <v>23</v>
      </c>
      <c r="F170" s="116" t="s">
        <v>340</v>
      </c>
      <c r="G170" s="2" t="s">
        <v>30</v>
      </c>
      <c r="H170" s="116" t="s">
        <v>31</v>
      </c>
      <c r="I170" s="3">
        <v>9.822000000000001</v>
      </c>
      <c r="J170" s="4">
        <f>29590*1.0525*1.35</f>
        <v>42043.691250000003</v>
      </c>
      <c r="K170" s="5">
        <f t="shared" si="19"/>
        <v>412953.13545750006</v>
      </c>
      <c r="L170" s="107"/>
    </row>
    <row r="171" spans="2:12" ht="57">
      <c r="B171" s="106"/>
      <c r="C171" s="164" t="s">
        <v>28</v>
      </c>
      <c r="D171" s="171" t="s">
        <v>343</v>
      </c>
      <c r="E171" s="116" t="s">
        <v>23</v>
      </c>
      <c r="F171" s="116" t="s">
        <v>340</v>
      </c>
      <c r="G171" s="2" t="s">
        <v>34</v>
      </c>
      <c r="H171" s="116" t="s">
        <v>20</v>
      </c>
      <c r="I171" s="3">
        <v>41.2</v>
      </c>
      <c r="J171" s="4">
        <f>7015*1.0525*1.35</f>
        <v>9967.4381250000006</v>
      </c>
      <c r="K171" s="5">
        <f t="shared" si="19"/>
        <v>410658.45075000008</v>
      </c>
      <c r="L171" s="107"/>
    </row>
    <row r="172" spans="2:12" ht="71.25">
      <c r="B172" s="106"/>
      <c r="C172" s="164" t="s">
        <v>32</v>
      </c>
      <c r="D172" s="171" t="s">
        <v>344</v>
      </c>
      <c r="E172" s="116" t="s">
        <v>37</v>
      </c>
      <c r="F172" s="116" t="s">
        <v>340</v>
      </c>
      <c r="G172" s="2" t="s">
        <v>38</v>
      </c>
      <c r="H172" s="116" t="s">
        <v>39</v>
      </c>
      <c r="I172" s="3">
        <v>20</v>
      </c>
      <c r="J172" s="4">
        <f>3904*1.0525*1.35</f>
        <v>5547.0960000000005</v>
      </c>
      <c r="K172" s="5">
        <f t="shared" si="19"/>
        <v>110941.92000000001</v>
      </c>
      <c r="L172" s="107"/>
    </row>
    <row r="173" spans="2:12" ht="42.75">
      <c r="B173" s="106"/>
      <c r="C173" s="164" t="s">
        <v>35</v>
      </c>
      <c r="D173" s="171" t="s">
        <v>345</v>
      </c>
      <c r="E173" s="116" t="s">
        <v>42</v>
      </c>
      <c r="F173" s="116" t="s">
        <v>340</v>
      </c>
      <c r="G173" s="2" t="s">
        <v>43</v>
      </c>
      <c r="H173" s="116" t="s">
        <v>44</v>
      </c>
      <c r="I173" s="3">
        <v>25</v>
      </c>
      <c r="J173" s="4">
        <f>8378*1.0525*1.35</f>
        <v>11904.090749999999</v>
      </c>
      <c r="K173" s="5">
        <f t="shared" si="19"/>
        <v>297602.26874999999</v>
      </c>
      <c r="L173" s="107"/>
    </row>
    <row r="174" spans="2:12" ht="57">
      <c r="B174" s="106"/>
      <c r="C174" s="164" t="s">
        <v>40</v>
      </c>
      <c r="D174" s="171" t="s">
        <v>346</v>
      </c>
      <c r="E174" s="116" t="s">
        <v>47</v>
      </c>
      <c r="F174" s="116" t="s">
        <v>340</v>
      </c>
      <c r="G174" s="2" t="s">
        <v>48</v>
      </c>
      <c r="H174" s="116" t="s">
        <v>44</v>
      </c>
      <c r="I174" s="3">
        <v>100</v>
      </c>
      <c r="J174" s="4">
        <f>1933*1.0525*1.35</f>
        <v>2746.5513750000005</v>
      </c>
      <c r="K174" s="5">
        <f t="shared" si="19"/>
        <v>274655.13750000007</v>
      </c>
      <c r="L174" s="107"/>
    </row>
    <row r="175" spans="2:12" ht="57">
      <c r="B175" s="106"/>
      <c r="C175" s="164" t="s">
        <v>45</v>
      </c>
      <c r="D175" s="171" t="s">
        <v>347</v>
      </c>
      <c r="E175" s="116" t="s">
        <v>23</v>
      </c>
      <c r="F175" s="116" t="s">
        <v>340</v>
      </c>
      <c r="G175" s="2" t="s">
        <v>219</v>
      </c>
      <c r="H175" s="116" t="s">
        <v>44</v>
      </c>
      <c r="I175" s="3">
        <v>5</v>
      </c>
      <c r="J175" s="4">
        <f>5357*1.0525*1.35</f>
        <v>7611.6273750000009</v>
      </c>
      <c r="K175" s="5">
        <f t="shared" si="19"/>
        <v>38058.136875000004</v>
      </c>
      <c r="L175" s="107"/>
    </row>
    <row r="176" spans="2:12" ht="57">
      <c r="B176" s="106"/>
      <c r="C176" s="164" t="s">
        <v>49</v>
      </c>
      <c r="D176" s="171" t="s">
        <v>348</v>
      </c>
      <c r="E176" s="116" t="s">
        <v>23</v>
      </c>
      <c r="F176" s="116" t="s">
        <v>340</v>
      </c>
      <c r="G176" s="2" t="s">
        <v>54</v>
      </c>
      <c r="H176" s="116" t="s">
        <v>20</v>
      </c>
      <c r="I176" s="3">
        <v>39.050000000000004</v>
      </c>
      <c r="J176" s="4">
        <f>4623*1.0525*1.35</f>
        <v>6568.7051249999995</v>
      </c>
      <c r="K176" s="5">
        <f t="shared" si="19"/>
        <v>256507.93513125001</v>
      </c>
      <c r="L176" s="107"/>
    </row>
    <row r="177" spans="2:12" ht="57">
      <c r="B177" s="106"/>
      <c r="C177" s="164" t="s">
        <v>52</v>
      </c>
      <c r="D177" s="171" t="s">
        <v>349</v>
      </c>
      <c r="E177" s="116" t="s">
        <v>23</v>
      </c>
      <c r="F177" s="116" t="s">
        <v>340</v>
      </c>
      <c r="G177" s="2" t="s">
        <v>224</v>
      </c>
      <c r="H177" s="116" t="s">
        <v>20</v>
      </c>
      <c r="I177" s="3">
        <v>0</v>
      </c>
      <c r="J177" s="4">
        <f>9714*1.0525*1.35</f>
        <v>13802.379750000002</v>
      </c>
      <c r="K177" s="5">
        <f t="shared" si="19"/>
        <v>0</v>
      </c>
      <c r="L177" s="107"/>
    </row>
    <row r="178" spans="2:12" ht="57">
      <c r="B178" s="106"/>
      <c r="C178" s="164" t="s">
        <v>55</v>
      </c>
      <c r="D178" s="171" t="s">
        <v>350</v>
      </c>
      <c r="E178" s="116" t="s">
        <v>23</v>
      </c>
      <c r="F178" s="116" t="s">
        <v>340</v>
      </c>
      <c r="G178" s="2" t="s">
        <v>60</v>
      </c>
      <c r="H178" s="116" t="s">
        <v>61</v>
      </c>
      <c r="I178" s="3">
        <v>10</v>
      </c>
      <c r="J178" s="4">
        <f>19427*1.0525*1.35</f>
        <v>27603.338625</v>
      </c>
      <c r="K178" s="5">
        <f t="shared" si="19"/>
        <v>276033.38624999998</v>
      </c>
      <c r="L178" s="107"/>
    </row>
    <row r="179" spans="2:12" ht="57">
      <c r="B179" s="106"/>
      <c r="C179" s="164" t="s">
        <v>58</v>
      </c>
      <c r="D179" s="171" t="s">
        <v>351</v>
      </c>
      <c r="E179" s="116" t="s">
        <v>23</v>
      </c>
      <c r="F179" s="116" t="s">
        <v>340</v>
      </c>
      <c r="G179" s="2" t="s">
        <v>227</v>
      </c>
      <c r="H179" s="116" t="s">
        <v>61</v>
      </c>
      <c r="I179" s="3">
        <v>2</v>
      </c>
      <c r="J179" s="4">
        <f>33512*1.0525*1.35</f>
        <v>47616.362999999998</v>
      </c>
      <c r="K179" s="5">
        <f t="shared" si="19"/>
        <v>95232.725999999995</v>
      </c>
      <c r="L179" s="107"/>
    </row>
    <row r="180" spans="2:12" ht="57">
      <c r="B180" s="106"/>
      <c r="C180" s="164" t="s">
        <v>62</v>
      </c>
      <c r="D180" s="171" t="s">
        <v>352</v>
      </c>
      <c r="E180" s="116" t="s">
        <v>23</v>
      </c>
      <c r="F180" s="116" t="s">
        <v>340</v>
      </c>
      <c r="G180" s="2" t="s">
        <v>64</v>
      </c>
      <c r="H180" s="116" t="s">
        <v>31</v>
      </c>
      <c r="I180" s="3">
        <v>7</v>
      </c>
      <c r="J180" s="4">
        <f>99652*1.0525*1.35</f>
        <v>141593.0355</v>
      </c>
      <c r="K180" s="5">
        <f t="shared" si="19"/>
        <v>991151.24849999999</v>
      </c>
      <c r="L180" s="107"/>
    </row>
    <row r="181" spans="2:12" ht="57">
      <c r="B181" s="106"/>
      <c r="C181" s="164" t="s">
        <v>228</v>
      </c>
      <c r="D181" s="171" t="s">
        <v>353</v>
      </c>
      <c r="E181" s="116" t="s">
        <v>23</v>
      </c>
      <c r="F181" s="116" t="s">
        <v>340</v>
      </c>
      <c r="G181" s="2" t="s">
        <v>27</v>
      </c>
      <c r="H181" s="116" t="s">
        <v>20</v>
      </c>
      <c r="I181" s="3">
        <v>3.75</v>
      </c>
      <c r="J181" s="4">
        <f>14031*1.0525*1.35</f>
        <v>19936.297125000001</v>
      </c>
      <c r="K181" s="5">
        <f t="shared" si="19"/>
        <v>74761.114218750008</v>
      </c>
      <c r="L181" s="107"/>
    </row>
    <row r="182" spans="2:12" ht="15" thickBot="1">
      <c r="B182" s="106"/>
      <c r="C182" s="181" t="s">
        <v>65</v>
      </c>
      <c r="D182" s="172" t="s">
        <v>7</v>
      </c>
      <c r="E182" s="117"/>
      <c r="F182" s="117"/>
      <c r="G182" s="6"/>
      <c r="H182" s="117"/>
      <c r="I182" s="3"/>
      <c r="J182" s="7"/>
      <c r="K182" s="118">
        <f>SUM(K168:K181)</f>
        <v>3466030.6698974995</v>
      </c>
      <c r="L182" s="107"/>
    </row>
    <row r="183" spans="2:12" ht="15" thickBot="1">
      <c r="B183" s="106"/>
      <c r="C183" s="180">
        <v>2</v>
      </c>
      <c r="D183" s="170" t="s">
        <v>7</v>
      </c>
      <c r="E183" s="114"/>
      <c r="F183" s="114"/>
      <c r="G183" s="114" t="s">
        <v>66</v>
      </c>
      <c r="H183" s="114"/>
      <c r="I183" s="114"/>
      <c r="J183" s="114"/>
      <c r="K183" s="115"/>
      <c r="L183" s="107"/>
    </row>
    <row r="184" spans="2:12" ht="71.25">
      <c r="B184" s="106"/>
      <c r="C184" s="164" t="s">
        <v>67</v>
      </c>
      <c r="D184" s="171" t="s">
        <v>354</v>
      </c>
      <c r="E184" s="116" t="s">
        <v>69</v>
      </c>
      <c r="F184" s="116" t="s">
        <v>355</v>
      </c>
      <c r="G184" s="2" t="s">
        <v>481</v>
      </c>
      <c r="H184" s="116" t="s">
        <v>71</v>
      </c>
      <c r="I184" s="3">
        <v>44.847000000000001</v>
      </c>
      <c r="J184" s="4">
        <f>18933*1.0525*1.35</f>
        <v>26901.426374999999</v>
      </c>
      <c r="K184" s="5">
        <f t="shared" ref="K184:K185" si="20">J184*I184</f>
        <v>1206448.2686396251</v>
      </c>
      <c r="L184" s="107"/>
    </row>
    <row r="185" spans="2:12" ht="71.25">
      <c r="B185" s="106"/>
      <c r="C185" s="164" t="s">
        <v>72</v>
      </c>
      <c r="D185" s="171" t="s">
        <v>356</v>
      </c>
      <c r="E185" s="116" t="s">
        <v>74</v>
      </c>
      <c r="F185" s="116" t="s">
        <v>355</v>
      </c>
      <c r="G185" s="2" t="s">
        <v>482</v>
      </c>
      <c r="H185" s="116" t="s">
        <v>20</v>
      </c>
      <c r="I185" s="3">
        <v>7.55</v>
      </c>
      <c r="J185" s="4">
        <f>176267*1.0525*1.35</f>
        <v>250453.37362500001</v>
      </c>
      <c r="K185" s="5">
        <f t="shared" si="20"/>
        <v>1890922.97086875</v>
      </c>
      <c r="L185" s="107"/>
    </row>
    <row r="186" spans="2:12" ht="15" thickBot="1">
      <c r="B186" s="106"/>
      <c r="C186" s="181" t="s">
        <v>65</v>
      </c>
      <c r="D186" s="173" t="s">
        <v>7</v>
      </c>
      <c r="E186" s="120"/>
      <c r="F186" s="119"/>
      <c r="G186" s="119"/>
      <c r="H186" s="119"/>
      <c r="I186" s="3"/>
      <c r="J186" s="119"/>
      <c r="K186" s="118">
        <f>SUM(K184:K185)</f>
        <v>3097371.2395083751</v>
      </c>
      <c r="L186" s="107"/>
    </row>
    <row r="187" spans="2:12" ht="15" thickBot="1">
      <c r="B187" s="106"/>
      <c r="C187" s="180">
        <v>3</v>
      </c>
      <c r="D187" s="170" t="s">
        <v>7</v>
      </c>
      <c r="E187" s="114"/>
      <c r="F187" s="114"/>
      <c r="G187" s="114" t="s">
        <v>243</v>
      </c>
      <c r="H187" s="114"/>
      <c r="I187" s="114"/>
      <c r="J187" s="114"/>
      <c r="K187" s="115"/>
      <c r="L187" s="107"/>
    </row>
    <row r="188" spans="2:12" ht="42.75">
      <c r="B188" s="106"/>
      <c r="C188" s="164" t="s">
        <v>77</v>
      </c>
      <c r="D188" s="174" t="s">
        <v>357</v>
      </c>
      <c r="E188" s="9" t="s">
        <v>42</v>
      </c>
      <c r="F188" s="9" t="s">
        <v>358</v>
      </c>
      <c r="G188" s="8" t="s">
        <v>246</v>
      </c>
      <c r="H188" s="9" t="s">
        <v>20</v>
      </c>
      <c r="I188" s="3">
        <v>41.2</v>
      </c>
      <c r="J188" s="4">
        <f>32345*1.0525*1.35</f>
        <v>45958.201875000006</v>
      </c>
      <c r="K188" s="5">
        <f t="shared" ref="K188:K192" si="21">J188*I188</f>
        <v>1893477.9172500004</v>
      </c>
      <c r="L188" s="107"/>
    </row>
    <row r="189" spans="2:12" ht="57">
      <c r="B189" s="106"/>
      <c r="C189" s="164" t="s">
        <v>247</v>
      </c>
      <c r="D189" s="174" t="s">
        <v>359</v>
      </c>
      <c r="E189" s="9" t="s">
        <v>42</v>
      </c>
      <c r="F189" s="9" t="s">
        <v>360</v>
      </c>
      <c r="G189" s="8" t="s">
        <v>250</v>
      </c>
      <c r="H189" s="9" t="s">
        <v>44</v>
      </c>
      <c r="I189" s="3">
        <v>25</v>
      </c>
      <c r="J189" s="4">
        <f>21358*1.0525*1.35</f>
        <v>30347.04825</v>
      </c>
      <c r="K189" s="5">
        <f t="shared" si="21"/>
        <v>758676.20625000005</v>
      </c>
      <c r="L189" s="107"/>
    </row>
    <row r="190" spans="2:12" ht="42.75">
      <c r="B190" s="106"/>
      <c r="C190" s="164" t="s">
        <v>251</v>
      </c>
      <c r="D190" s="174" t="s">
        <v>361</v>
      </c>
      <c r="E190" s="9" t="s">
        <v>42</v>
      </c>
      <c r="F190" s="9" t="s">
        <v>358</v>
      </c>
      <c r="G190" s="8" t="s">
        <v>253</v>
      </c>
      <c r="H190" s="9" t="s">
        <v>44</v>
      </c>
      <c r="I190" s="3">
        <v>10</v>
      </c>
      <c r="J190" s="4">
        <f>10684*1.0525*1.35</f>
        <v>15180.628500000001</v>
      </c>
      <c r="K190" s="5">
        <f t="shared" si="21"/>
        <v>151806.285</v>
      </c>
      <c r="L190" s="107"/>
    </row>
    <row r="191" spans="2:12" ht="42.75">
      <c r="B191" s="106"/>
      <c r="C191" s="164" t="s">
        <v>254</v>
      </c>
      <c r="D191" s="174" t="s">
        <v>362</v>
      </c>
      <c r="E191" s="9" t="s">
        <v>103</v>
      </c>
      <c r="F191" s="9" t="s">
        <v>358</v>
      </c>
      <c r="G191" s="8" t="s">
        <v>104</v>
      </c>
      <c r="H191" s="9" t="s">
        <v>20</v>
      </c>
      <c r="I191" s="3">
        <v>14.279999999999998</v>
      </c>
      <c r="J191" s="4">
        <f>139322*1.0525*1.35</f>
        <v>197959.14675000001</v>
      </c>
      <c r="K191" s="5">
        <f t="shared" si="21"/>
        <v>2826856.6155899996</v>
      </c>
      <c r="L191" s="107"/>
    </row>
    <row r="192" spans="2:12" ht="42.75">
      <c r="B192" s="106"/>
      <c r="C192" s="164" t="s">
        <v>258</v>
      </c>
      <c r="D192" s="174" t="s">
        <v>363</v>
      </c>
      <c r="E192" s="9" t="s">
        <v>103</v>
      </c>
      <c r="F192" s="9" t="s">
        <v>358</v>
      </c>
      <c r="G192" s="8" t="s">
        <v>364</v>
      </c>
      <c r="H192" s="9" t="s">
        <v>20</v>
      </c>
      <c r="I192" s="3">
        <v>10.5</v>
      </c>
      <c r="J192" s="4">
        <f>90879*1.0525*1.35</f>
        <v>129127.69912500001</v>
      </c>
      <c r="K192" s="5">
        <f t="shared" si="21"/>
        <v>1355840.8408125001</v>
      </c>
      <c r="L192" s="107"/>
    </row>
    <row r="193" spans="2:12" ht="15" thickBot="1">
      <c r="B193" s="106"/>
      <c r="C193" s="182" t="s">
        <v>65</v>
      </c>
      <c r="D193" s="175" t="s">
        <v>7</v>
      </c>
      <c r="E193" s="121"/>
      <c r="F193" s="121"/>
      <c r="G193" s="10"/>
      <c r="H193" s="121"/>
      <c r="I193" s="3"/>
      <c r="J193" s="11"/>
      <c r="K193" s="122">
        <f>SUM(K188:K192)</f>
        <v>6986657.8649025001</v>
      </c>
      <c r="L193" s="107"/>
    </row>
    <row r="194" spans="2:12" ht="15" thickBot="1">
      <c r="B194" s="106"/>
      <c r="C194" s="180">
        <v>4</v>
      </c>
      <c r="D194" s="170" t="s">
        <v>7</v>
      </c>
      <c r="E194" s="114"/>
      <c r="F194" s="114"/>
      <c r="G194" s="114" t="s">
        <v>81</v>
      </c>
      <c r="H194" s="114"/>
      <c r="I194" s="114"/>
      <c r="J194" s="114"/>
      <c r="K194" s="115"/>
      <c r="L194" s="107"/>
    </row>
    <row r="195" spans="2:12" ht="42.75">
      <c r="B195" s="106"/>
      <c r="C195" s="164" t="s">
        <v>82</v>
      </c>
      <c r="D195" s="174" t="s">
        <v>365</v>
      </c>
      <c r="E195" s="9" t="s">
        <v>88</v>
      </c>
      <c r="F195" s="9" t="s">
        <v>358</v>
      </c>
      <c r="G195" s="8" t="s">
        <v>263</v>
      </c>
      <c r="H195" s="9" t="s">
        <v>20</v>
      </c>
      <c r="I195" s="3">
        <v>41.2</v>
      </c>
      <c r="J195" s="4">
        <f>114941*1.0525*1.35</f>
        <v>163316.79337500001</v>
      </c>
      <c r="K195" s="5">
        <f t="shared" ref="K195:K197" si="22">J195*I195</f>
        <v>6728651.887050001</v>
      </c>
      <c r="L195" s="107"/>
    </row>
    <row r="196" spans="2:12" ht="42.75">
      <c r="B196" s="106"/>
      <c r="C196" s="164" t="s">
        <v>86</v>
      </c>
      <c r="D196" s="174" t="s">
        <v>366</v>
      </c>
      <c r="E196" s="9" t="s">
        <v>88</v>
      </c>
      <c r="F196" s="9" t="s">
        <v>358</v>
      </c>
      <c r="G196" s="8" t="s">
        <v>89</v>
      </c>
      <c r="H196" s="9" t="s">
        <v>44</v>
      </c>
      <c r="I196" s="3">
        <v>10</v>
      </c>
      <c r="J196" s="4">
        <f>26978*1.0525*1.35</f>
        <v>38332.365750000004</v>
      </c>
      <c r="K196" s="5">
        <f t="shared" si="22"/>
        <v>383323.65750000003</v>
      </c>
      <c r="L196" s="107"/>
    </row>
    <row r="197" spans="2:12" ht="57">
      <c r="B197" s="106"/>
      <c r="C197" s="164" t="s">
        <v>90</v>
      </c>
      <c r="D197" s="174" t="s">
        <v>367</v>
      </c>
      <c r="E197" s="9" t="s">
        <v>132</v>
      </c>
      <c r="F197" s="9" t="s">
        <v>360</v>
      </c>
      <c r="G197" s="8" t="s">
        <v>483</v>
      </c>
      <c r="H197" s="9" t="s">
        <v>148</v>
      </c>
      <c r="I197" s="3">
        <v>1</v>
      </c>
      <c r="J197" s="4">
        <f>488345*1.0525*1.35</f>
        <v>693877.20187500003</v>
      </c>
      <c r="K197" s="5">
        <f t="shared" si="22"/>
        <v>693877.20187500003</v>
      </c>
      <c r="L197" s="107"/>
    </row>
    <row r="198" spans="2:12" ht="15" thickBot="1">
      <c r="B198" s="106"/>
      <c r="C198" s="181" t="s">
        <v>65</v>
      </c>
      <c r="D198" s="176" t="s">
        <v>7</v>
      </c>
      <c r="E198" s="123"/>
      <c r="F198" s="123"/>
      <c r="G198" s="12"/>
      <c r="H198" s="124"/>
      <c r="I198" s="3"/>
      <c r="J198" s="7"/>
      <c r="K198" s="118">
        <f>SUM(K195:K197)</f>
        <v>7805852.746425001</v>
      </c>
      <c r="L198" s="107"/>
    </row>
    <row r="199" spans="2:12" ht="15" thickBot="1">
      <c r="B199" s="106"/>
      <c r="C199" s="180">
        <v>5</v>
      </c>
      <c r="D199" s="170" t="s">
        <v>7</v>
      </c>
      <c r="E199" s="114"/>
      <c r="F199" s="114"/>
      <c r="G199" s="114" t="s">
        <v>93</v>
      </c>
      <c r="H199" s="114"/>
      <c r="I199" s="114"/>
      <c r="J199" s="114"/>
      <c r="K199" s="115"/>
      <c r="L199" s="107"/>
    </row>
    <row r="200" spans="2:12" ht="42.75">
      <c r="B200" s="106"/>
      <c r="C200" s="164" t="s">
        <v>94</v>
      </c>
      <c r="D200" s="174" t="s">
        <v>368</v>
      </c>
      <c r="E200" s="9" t="s">
        <v>42</v>
      </c>
      <c r="F200" s="9" t="s">
        <v>358</v>
      </c>
      <c r="G200" s="8" t="s">
        <v>96</v>
      </c>
      <c r="H200" s="9" t="s">
        <v>20</v>
      </c>
      <c r="I200" s="3">
        <v>28.279999999999998</v>
      </c>
      <c r="J200" s="4">
        <f>21583*1.0525*1.35</f>
        <v>30666.745125000001</v>
      </c>
      <c r="K200" s="5">
        <f t="shared" ref="K200" si="23">J200*I200</f>
        <v>867255.55213500001</v>
      </c>
      <c r="L200" s="107"/>
    </row>
    <row r="201" spans="2:12" ht="15" thickBot="1">
      <c r="B201" s="106"/>
      <c r="C201" s="181" t="s">
        <v>65</v>
      </c>
      <c r="D201" s="176" t="s">
        <v>7</v>
      </c>
      <c r="E201" s="123"/>
      <c r="F201" s="123"/>
      <c r="G201" s="12"/>
      <c r="H201" s="124"/>
      <c r="I201" s="3"/>
      <c r="J201" s="7"/>
      <c r="K201" s="118">
        <f>SUM(K200:K200)</f>
        <v>867255.55213500001</v>
      </c>
      <c r="L201" s="107"/>
    </row>
    <row r="202" spans="2:12" ht="29.25" thickBot="1">
      <c r="B202" s="106"/>
      <c r="C202" s="180">
        <v>6</v>
      </c>
      <c r="D202" s="170" t="s">
        <v>7</v>
      </c>
      <c r="E202" s="114"/>
      <c r="F202" s="114"/>
      <c r="G202" s="114" t="s">
        <v>105</v>
      </c>
      <c r="H202" s="114"/>
      <c r="I202" s="114"/>
      <c r="J202" s="114"/>
      <c r="K202" s="115"/>
      <c r="L202" s="107"/>
    </row>
    <row r="203" spans="2:12" ht="85.5">
      <c r="B203" s="106"/>
      <c r="C203" s="164" t="s">
        <v>106</v>
      </c>
      <c r="D203" s="174" t="s">
        <v>369</v>
      </c>
      <c r="E203" s="9" t="s">
        <v>108</v>
      </c>
      <c r="F203" s="9" t="s">
        <v>360</v>
      </c>
      <c r="G203" s="8" t="s">
        <v>484</v>
      </c>
      <c r="H203" s="9" t="s">
        <v>110</v>
      </c>
      <c r="I203" s="3">
        <v>1</v>
      </c>
      <c r="J203" s="4">
        <f>15245373*1.0525*1.35</f>
        <v>21661769.361375</v>
      </c>
      <c r="K203" s="5">
        <f t="shared" ref="K203:K209" si="24">J203*I203</f>
        <v>21661769.361375</v>
      </c>
      <c r="L203" s="107"/>
    </row>
    <row r="204" spans="2:12" ht="57">
      <c r="B204" s="106"/>
      <c r="C204" s="164" t="s">
        <v>111</v>
      </c>
      <c r="D204" s="174" t="s">
        <v>370</v>
      </c>
      <c r="E204" s="9" t="s">
        <v>113</v>
      </c>
      <c r="F204" s="9" t="s">
        <v>360</v>
      </c>
      <c r="G204" s="8" t="s">
        <v>114</v>
      </c>
      <c r="H204" s="9" t="s">
        <v>110</v>
      </c>
      <c r="I204" s="3">
        <v>2</v>
      </c>
      <c r="J204" s="4">
        <f>3272500*1.0525*1.35</f>
        <v>4649813.4375</v>
      </c>
      <c r="K204" s="5">
        <f t="shared" si="24"/>
        <v>9299626.875</v>
      </c>
      <c r="L204" s="107"/>
    </row>
    <row r="205" spans="2:12" ht="57">
      <c r="B205" s="106"/>
      <c r="C205" s="164" t="s">
        <v>115</v>
      </c>
      <c r="D205" s="174" t="s">
        <v>371</v>
      </c>
      <c r="E205" s="9" t="s">
        <v>117</v>
      </c>
      <c r="F205" s="9" t="s">
        <v>360</v>
      </c>
      <c r="G205" s="8" t="s">
        <v>118</v>
      </c>
      <c r="H205" s="9" t="s">
        <v>110</v>
      </c>
      <c r="I205" s="3">
        <v>3</v>
      </c>
      <c r="J205" s="4">
        <f>3270000*1.0525*1.35</f>
        <v>4646261.25</v>
      </c>
      <c r="K205" s="5">
        <f t="shared" si="24"/>
        <v>13938783.75</v>
      </c>
      <c r="L205" s="107"/>
    </row>
    <row r="206" spans="2:12" ht="42.75">
      <c r="B206" s="106"/>
      <c r="C206" s="164" t="s">
        <v>119</v>
      </c>
      <c r="D206" s="174" t="s">
        <v>372</v>
      </c>
      <c r="E206" s="9" t="s">
        <v>121</v>
      </c>
      <c r="F206" s="9" t="s">
        <v>273</v>
      </c>
      <c r="G206" s="8" t="s">
        <v>274</v>
      </c>
      <c r="H206" s="9" t="s">
        <v>110</v>
      </c>
      <c r="I206" s="3">
        <v>3</v>
      </c>
      <c r="J206" s="4">
        <f>3883333*1.0525*1.35</f>
        <v>5517730.7763750004</v>
      </c>
      <c r="K206" s="5">
        <f t="shared" si="24"/>
        <v>16553192.329125002</v>
      </c>
      <c r="L206" s="107"/>
    </row>
    <row r="207" spans="2:12" ht="42.75">
      <c r="B207" s="106"/>
      <c r="C207" s="164" t="s">
        <v>123</v>
      </c>
      <c r="D207" s="174" t="s">
        <v>373</v>
      </c>
      <c r="E207" s="9" t="s">
        <v>121</v>
      </c>
      <c r="F207" s="9" t="s">
        <v>273</v>
      </c>
      <c r="G207" s="8" t="s">
        <v>276</v>
      </c>
      <c r="H207" s="9" t="s">
        <v>110</v>
      </c>
      <c r="I207" s="3">
        <v>1</v>
      </c>
      <c r="J207" s="4">
        <f>2123380*1.0525*1.35</f>
        <v>3017057.5575000006</v>
      </c>
      <c r="K207" s="5">
        <f t="shared" si="24"/>
        <v>3017057.5575000006</v>
      </c>
      <c r="L207" s="107"/>
    </row>
    <row r="208" spans="2:12" ht="57">
      <c r="B208" s="106"/>
      <c r="C208" s="164" t="s">
        <v>126</v>
      </c>
      <c r="D208" s="174" t="s">
        <v>374</v>
      </c>
      <c r="E208" s="9" t="s">
        <v>128</v>
      </c>
      <c r="F208" s="9" t="s">
        <v>360</v>
      </c>
      <c r="G208" s="8" t="s">
        <v>485</v>
      </c>
      <c r="H208" s="9" t="s">
        <v>110</v>
      </c>
      <c r="I208" s="3">
        <v>1</v>
      </c>
      <c r="J208" s="4">
        <f>1800500*1.0525*1.35</f>
        <v>2558285.4375</v>
      </c>
      <c r="K208" s="5">
        <f t="shared" si="24"/>
        <v>2558285.4375</v>
      </c>
      <c r="L208" s="107"/>
    </row>
    <row r="209" spans="2:12" ht="57">
      <c r="B209" s="106"/>
      <c r="C209" s="164" t="s">
        <v>130</v>
      </c>
      <c r="D209" s="174" t="s">
        <v>375</v>
      </c>
      <c r="E209" s="9" t="s">
        <v>132</v>
      </c>
      <c r="F209" s="9" t="s">
        <v>360</v>
      </c>
      <c r="G209" s="8" t="s">
        <v>486</v>
      </c>
      <c r="H209" s="9" t="s">
        <v>110</v>
      </c>
      <c r="I209" s="3">
        <v>1</v>
      </c>
      <c r="J209" s="4">
        <f>9185000*1.0525*1.35</f>
        <v>13050736.875</v>
      </c>
      <c r="K209" s="5">
        <f t="shared" si="24"/>
        <v>13050736.875</v>
      </c>
      <c r="L209" s="107"/>
    </row>
    <row r="210" spans="2:12" ht="15" thickBot="1">
      <c r="B210" s="106"/>
      <c r="C210" s="181" t="s">
        <v>65</v>
      </c>
      <c r="D210" s="176" t="s">
        <v>7</v>
      </c>
      <c r="E210" s="123"/>
      <c r="F210" s="123"/>
      <c r="G210" s="12"/>
      <c r="H210" s="124"/>
      <c r="I210" s="3"/>
      <c r="J210" s="7"/>
      <c r="K210" s="118">
        <f>SUM(K203:K209)</f>
        <v>80079452.185499996</v>
      </c>
      <c r="L210" s="107"/>
    </row>
    <row r="211" spans="2:12" ht="29.25" thickBot="1">
      <c r="B211" s="106"/>
      <c r="C211" s="180">
        <v>7</v>
      </c>
      <c r="D211" s="170" t="s">
        <v>7</v>
      </c>
      <c r="E211" s="114"/>
      <c r="F211" s="114"/>
      <c r="G211" s="114" t="s">
        <v>134</v>
      </c>
      <c r="H211" s="114"/>
      <c r="I211" s="114"/>
      <c r="J211" s="114"/>
      <c r="K211" s="115"/>
      <c r="L211" s="107"/>
    </row>
    <row r="212" spans="2:12" ht="57">
      <c r="B212" s="106"/>
      <c r="C212" s="164" t="s">
        <v>135</v>
      </c>
      <c r="D212" s="174" t="s">
        <v>376</v>
      </c>
      <c r="E212" s="9" t="s">
        <v>121</v>
      </c>
      <c r="F212" s="9" t="s">
        <v>360</v>
      </c>
      <c r="G212" s="8" t="s">
        <v>137</v>
      </c>
      <c r="H212" s="9" t="s">
        <v>44</v>
      </c>
      <c r="I212" s="3">
        <v>8.1</v>
      </c>
      <c r="J212" s="4">
        <f>35665*1.0525*1.35</f>
        <v>50675.506874999999</v>
      </c>
      <c r="K212" s="5">
        <f t="shared" ref="K212:K221" si="25">J212*I212</f>
        <v>410471.60568749998</v>
      </c>
      <c r="L212" s="107"/>
    </row>
    <row r="213" spans="2:12" ht="57">
      <c r="B213" s="106"/>
      <c r="C213" s="164" t="s">
        <v>138</v>
      </c>
      <c r="D213" s="174" t="s">
        <v>377</v>
      </c>
      <c r="E213" s="9" t="s">
        <v>121</v>
      </c>
      <c r="F213" s="9" t="s">
        <v>360</v>
      </c>
      <c r="G213" s="8" t="s">
        <v>286</v>
      </c>
      <c r="H213" s="9" t="s">
        <v>44</v>
      </c>
      <c r="I213" s="3">
        <v>7.83</v>
      </c>
      <c r="J213" s="4">
        <f>66314*1.0525*1.35</f>
        <v>94223.904750000002</v>
      </c>
      <c r="K213" s="5">
        <f t="shared" si="25"/>
        <v>737773.17419250007</v>
      </c>
      <c r="L213" s="107"/>
    </row>
    <row r="214" spans="2:12" ht="57">
      <c r="B214" s="106"/>
      <c r="C214" s="164" t="s">
        <v>141</v>
      </c>
      <c r="D214" s="174" t="s">
        <v>378</v>
      </c>
      <c r="E214" s="9" t="s">
        <v>146</v>
      </c>
      <c r="F214" s="9" t="s">
        <v>360</v>
      </c>
      <c r="G214" s="8" t="s">
        <v>379</v>
      </c>
      <c r="H214" s="9" t="s">
        <v>148</v>
      </c>
      <c r="I214" s="3">
        <v>7</v>
      </c>
      <c r="J214" s="4">
        <f>95131*1.0525*1.35</f>
        <v>135169.25962500001</v>
      </c>
      <c r="K214" s="5">
        <f t="shared" si="25"/>
        <v>946184.8173750001</v>
      </c>
      <c r="L214" s="107"/>
    </row>
    <row r="215" spans="2:12" ht="57">
      <c r="B215" s="106"/>
      <c r="C215" s="164" t="s">
        <v>144</v>
      </c>
      <c r="D215" s="174" t="s">
        <v>380</v>
      </c>
      <c r="E215" s="9" t="s">
        <v>146</v>
      </c>
      <c r="F215" s="9" t="s">
        <v>360</v>
      </c>
      <c r="G215" s="8" t="s">
        <v>147</v>
      </c>
      <c r="H215" s="9" t="s">
        <v>148</v>
      </c>
      <c r="I215" s="3">
        <v>3</v>
      </c>
      <c r="J215" s="4">
        <f>66314*1.0525*1.35</f>
        <v>94223.904750000002</v>
      </c>
      <c r="K215" s="5">
        <f t="shared" si="25"/>
        <v>282671.71425000002</v>
      </c>
      <c r="L215" s="107"/>
    </row>
    <row r="216" spans="2:12" ht="57">
      <c r="B216" s="106"/>
      <c r="C216" s="164" t="s">
        <v>149</v>
      </c>
      <c r="D216" s="174" t="s">
        <v>381</v>
      </c>
      <c r="E216" s="9" t="s">
        <v>151</v>
      </c>
      <c r="F216" s="9" t="s">
        <v>360</v>
      </c>
      <c r="G216" s="8" t="s">
        <v>152</v>
      </c>
      <c r="H216" s="9" t="s">
        <v>44</v>
      </c>
      <c r="I216" s="3">
        <v>26.05</v>
      </c>
      <c r="J216" s="4">
        <f>11716*1.0525*1.35</f>
        <v>16646.9715</v>
      </c>
      <c r="K216" s="5">
        <f t="shared" si="25"/>
        <v>433653.60757500003</v>
      </c>
      <c r="L216" s="107"/>
    </row>
    <row r="217" spans="2:12" ht="57">
      <c r="B217" s="106"/>
      <c r="C217" s="164" t="s">
        <v>153</v>
      </c>
      <c r="D217" s="174" t="s">
        <v>382</v>
      </c>
      <c r="E217" s="9" t="s">
        <v>151</v>
      </c>
      <c r="F217" s="9" t="s">
        <v>360</v>
      </c>
      <c r="G217" s="8" t="s">
        <v>155</v>
      </c>
      <c r="H217" s="9" t="s">
        <v>44</v>
      </c>
      <c r="I217" s="3">
        <v>6.81</v>
      </c>
      <c r="J217" s="4">
        <f>14098*1.0525*1.35</f>
        <v>20031.495750000002</v>
      </c>
      <c r="K217" s="5">
        <f t="shared" si="25"/>
        <v>136414.48605750001</v>
      </c>
      <c r="L217" s="107"/>
    </row>
    <row r="218" spans="2:12" ht="57">
      <c r="B218" s="106"/>
      <c r="C218" s="164" t="s">
        <v>156</v>
      </c>
      <c r="D218" s="174" t="s">
        <v>383</v>
      </c>
      <c r="E218" s="9" t="s">
        <v>151</v>
      </c>
      <c r="F218" s="9" t="s">
        <v>360</v>
      </c>
      <c r="G218" s="8" t="s">
        <v>467</v>
      </c>
      <c r="H218" s="9" t="s">
        <v>44</v>
      </c>
      <c r="I218" s="3">
        <v>39.17</v>
      </c>
      <c r="J218" s="4">
        <f>29149*1.0525*1.35</f>
        <v>41417.085375000002</v>
      </c>
      <c r="K218" s="5">
        <f t="shared" si="25"/>
        <v>1622307.2341387502</v>
      </c>
      <c r="L218" s="107"/>
    </row>
    <row r="219" spans="2:12" ht="57">
      <c r="B219" s="106"/>
      <c r="C219" s="164" t="s">
        <v>160</v>
      </c>
      <c r="D219" s="174" t="s">
        <v>384</v>
      </c>
      <c r="E219" s="9" t="s">
        <v>158</v>
      </c>
      <c r="F219" s="9" t="s">
        <v>360</v>
      </c>
      <c r="G219" s="8" t="s">
        <v>487</v>
      </c>
      <c r="H219" s="9" t="s">
        <v>148</v>
      </c>
      <c r="I219" s="3">
        <v>11</v>
      </c>
      <c r="J219" s="4">
        <f>85875*1.0525*1.35</f>
        <v>122017.64062500001</v>
      </c>
      <c r="K219" s="5">
        <f t="shared" si="25"/>
        <v>1342194.0468750002</v>
      </c>
      <c r="L219" s="107"/>
    </row>
    <row r="220" spans="2:12" ht="57">
      <c r="B220" s="106"/>
      <c r="C220" s="164" t="s">
        <v>163</v>
      </c>
      <c r="D220" s="174" t="s">
        <v>385</v>
      </c>
      <c r="E220" s="9" t="s">
        <v>158</v>
      </c>
      <c r="F220" s="9" t="s">
        <v>360</v>
      </c>
      <c r="G220" s="8" t="s">
        <v>488</v>
      </c>
      <c r="H220" s="9" t="s">
        <v>148</v>
      </c>
      <c r="I220" s="3">
        <v>5</v>
      </c>
      <c r="J220" s="4">
        <f>105875*1.0525*1.35</f>
        <v>150435.140625</v>
      </c>
      <c r="K220" s="5">
        <f t="shared" si="25"/>
        <v>752175.703125</v>
      </c>
      <c r="L220" s="107"/>
    </row>
    <row r="221" spans="2:12" ht="57">
      <c r="B221" s="106"/>
      <c r="C221" s="164" t="s">
        <v>167</v>
      </c>
      <c r="D221" s="174" t="s">
        <v>386</v>
      </c>
      <c r="E221" s="9" t="s">
        <v>158</v>
      </c>
      <c r="F221" s="9" t="s">
        <v>360</v>
      </c>
      <c r="G221" s="8" t="s">
        <v>489</v>
      </c>
      <c r="H221" s="9" t="s">
        <v>148</v>
      </c>
      <c r="I221" s="3">
        <v>3</v>
      </c>
      <c r="J221" s="4">
        <f>219650*1.0525*1.35</f>
        <v>312095.19375000003</v>
      </c>
      <c r="K221" s="5">
        <f t="shared" si="25"/>
        <v>936285.58125000005</v>
      </c>
      <c r="L221" s="107"/>
    </row>
    <row r="222" spans="2:12" ht="57">
      <c r="B222" s="106"/>
      <c r="C222" s="164" t="s">
        <v>171</v>
      </c>
      <c r="D222" s="174" t="s">
        <v>468</v>
      </c>
      <c r="E222" s="9" t="s">
        <v>169</v>
      </c>
      <c r="F222" s="9" t="s">
        <v>360</v>
      </c>
      <c r="G222" s="8" t="s">
        <v>490</v>
      </c>
      <c r="H222" s="9" t="s">
        <v>148</v>
      </c>
      <c r="I222" s="3">
        <v>44</v>
      </c>
      <c r="J222" s="4">
        <f>21727*1.0525*1.35</f>
        <v>30871.351125000001</v>
      </c>
      <c r="K222" s="5">
        <f>J222*I222</f>
        <v>1358339.4495000001</v>
      </c>
      <c r="L222" s="107"/>
    </row>
    <row r="223" spans="2:12" ht="57">
      <c r="B223" s="106"/>
      <c r="C223" s="164" t="s">
        <v>174</v>
      </c>
      <c r="D223" s="174" t="s">
        <v>469</v>
      </c>
      <c r="E223" s="9" t="s">
        <v>300</v>
      </c>
      <c r="F223" s="9" t="s">
        <v>360</v>
      </c>
      <c r="G223" s="8" t="s">
        <v>387</v>
      </c>
      <c r="H223" s="9" t="s">
        <v>148</v>
      </c>
      <c r="I223" s="3">
        <v>2</v>
      </c>
      <c r="J223" s="4">
        <f>1121572*1.0525*1.35</f>
        <v>1593613.6155000001</v>
      </c>
      <c r="K223" s="5">
        <f>J223*I223</f>
        <v>3187227.2310000001</v>
      </c>
      <c r="L223" s="107"/>
    </row>
    <row r="224" spans="2:12" ht="57">
      <c r="B224" s="106"/>
      <c r="C224" s="164" t="s">
        <v>302</v>
      </c>
      <c r="D224" s="174" t="s">
        <v>470</v>
      </c>
      <c r="E224" s="9" t="s">
        <v>132</v>
      </c>
      <c r="F224" s="9" t="s">
        <v>360</v>
      </c>
      <c r="G224" s="8" t="s">
        <v>483</v>
      </c>
      <c r="H224" s="9" t="s">
        <v>148</v>
      </c>
      <c r="I224" s="3">
        <v>1</v>
      </c>
      <c r="J224" s="4">
        <f>488345*1.0525*1.35</f>
        <v>693877.20187500003</v>
      </c>
      <c r="K224" s="5">
        <f>J224*I224</f>
        <v>693877.20187500003</v>
      </c>
      <c r="L224" s="107"/>
    </row>
    <row r="225" spans="2:12" ht="15" thickBot="1">
      <c r="B225" s="106"/>
      <c r="C225" s="181" t="s">
        <v>65</v>
      </c>
      <c r="D225" s="176" t="s">
        <v>7</v>
      </c>
      <c r="E225" s="123"/>
      <c r="F225" s="123"/>
      <c r="G225" s="12"/>
      <c r="H225" s="124"/>
      <c r="I225" s="3"/>
      <c r="J225" s="7"/>
      <c r="K225" s="118">
        <f>SUM(K212:K224)</f>
        <v>12839575.85290125</v>
      </c>
      <c r="L225" s="107"/>
    </row>
    <row r="226" spans="2:12" ht="15" thickBot="1">
      <c r="B226" s="106"/>
      <c r="C226" s="180">
        <v>8</v>
      </c>
      <c r="D226" s="170" t="s">
        <v>7</v>
      </c>
      <c r="E226" s="114"/>
      <c r="F226" s="114"/>
      <c r="G226" s="114" t="s">
        <v>177</v>
      </c>
      <c r="H226" s="114"/>
      <c r="I226" s="114"/>
      <c r="J226" s="114"/>
      <c r="K226" s="115"/>
      <c r="L226" s="107"/>
    </row>
    <row r="227" spans="2:12" ht="42.75">
      <c r="B227" s="106"/>
      <c r="C227" s="164" t="s">
        <v>178</v>
      </c>
      <c r="D227" s="174" t="s">
        <v>388</v>
      </c>
      <c r="E227" s="9" t="s">
        <v>180</v>
      </c>
      <c r="F227" s="9" t="s">
        <v>358</v>
      </c>
      <c r="G227" s="8" t="s">
        <v>181</v>
      </c>
      <c r="H227" s="9" t="s">
        <v>20</v>
      </c>
      <c r="I227" s="3">
        <v>2.9700000000000006</v>
      </c>
      <c r="J227" s="4">
        <f>1093947*1.0525*1.35</f>
        <v>1554361.9436250001</v>
      </c>
      <c r="K227" s="5">
        <f t="shared" ref="K227" si="26">J227*I227</f>
        <v>4616454.9725662516</v>
      </c>
      <c r="L227" s="107"/>
    </row>
    <row r="228" spans="2:12" ht="15" thickBot="1">
      <c r="B228" s="106"/>
      <c r="C228" s="182" t="s">
        <v>65</v>
      </c>
      <c r="D228" s="175" t="s">
        <v>7</v>
      </c>
      <c r="E228" s="121"/>
      <c r="F228" s="121"/>
      <c r="G228" s="10"/>
      <c r="H228" s="121"/>
      <c r="I228" s="3"/>
      <c r="J228" s="11"/>
      <c r="K228" s="122">
        <f>SUM(K227)</f>
        <v>4616454.9725662516</v>
      </c>
      <c r="L228" s="107"/>
    </row>
    <row r="229" spans="2:12" ht="15" thickBot="1">
      <c r="B229" s="106"/>
      <c r="C229" s="180">
        <v>9</v>
      </c>
      <c r="D229" s="170" t="s">
        <v>7</v>
      </c>
      <c r="E229" s="114"/>
      <c r="F229" s="114"/>
      <c r="G229" s="114" t="s">
        <v>186</v>
      </c>
      <c r="H229" s="114"/>
      <c r="I229" s="114"/>
      <c r="J229" s="114"/>
      <c r="K229" s="115"/>
      <c r="L229" s="107"/>
    </row>
    <row r="230" spans="2:12" ht="57">
      <c r="B230" s="106"/>
      <c r="C230" s="164" t="s">
        <v>183</v>
      </c>
      <c r="D230" s="174" t="s">
        <v>471</v>
      </c>
      <c r="E230" s="9" t="s">
        <v>189</v>
      </c>
      <c r="F230" s="9" t="s">
        <v>472</v>
      </c>
      <c r="G230" s="8" t="s">
        <v>191</v>
      </c>
      <c r="H230" s="9" t="s">
        <v>473</v>
      </c>
      <c r="I230" s="3">
        <v>25</v>
      </c>
      <c r="J230" s="4">
        <f>77707*1.0525*1.35</f>
        <v>110411.93362499999</v>
      </c>
      <c r="K230" s="5">
        <f t="shared" ref="K230:K235" si="27">J230*I230</f>
        <v>2760298.3406249997</v>
      </c>
      <c r="L230" s="107"/>
    </row>
    <row r="231" spans="2:12" ht="57">
      <c r="B231" s="106"/>
      <c r="C231" s="164" t="s">
        <v>321</v>
      </c>
      <c r="D231" s="174" t="s">
        <v>474</v>
      </c>
      <c r="E231" s="9" t="s">
        <v>189</v>
      </c>
      <c r="F231" s="9" t="s">
        <v>472</v>
      </c>
      <c r="G231" s="8" t="s">
        <v>475</v>
      </c>
      <c r="H231" s="9" t="s">
        <v>473</v>
      </c>
      <c r="I231" s="3">
        <v>25</v>
      </c>
      <c r="J231" s="4">
        <f>78040*1.0525*1.35</f>
        <v>110885.08500000002</v>
      </c>
      <c r="K231" s="5">
        <f t="shared" si="27"/>
        <v>2772127.1250000005</v>
      </c>
      <c r="L231" s="107"/>
    </row>
    <row r="232" spans="2:12" ht="57">
      <c r="B232" s="106"/>
      <c r="C232" s="164" t="s">
        <v>323</v>
      </c>
      <c r="D232" s="174" t="s">
        <v>476</v>
      </c>
      <c r="E232" s="9" t="s">
        <v>189</v>
      </c>
      <c r="F232" s="9" t="s">
        <v>472</v>
      </c>
      <c r="G232" s="8" t="s">
        <v>197</v>
      </c>
      <c r="H232" s="9" t="s">
        <v>148</v>
      </c>
      <c r="I232" s="3">
        <v>1</v>
      </c>
      <c r="J232" s="4">
        <f>461888*1.0525*1.35</f>
        <v>656285.11200000008</v>
      </c>
      <c r="K232" s="5">
        <f t="shared" si="27"/>
        <v>656285.11200000008</v>
      </c>
      <c r="L232" s="107"/>
    </row>
    <row r="233" spans="2:12" ht="57">
      <c r="B233" s="106"/>
      <c r="C233" s="164" t="s">
        <v>325</v>
      </c>
      <c r="D233" s="174" t="s">
        <v>477</v>
      </c>
      <c r="E233" s="9" t="s">
        <v>189</v>
      </c>
      <c r="F233" s="9" t="s">
        <v>472</v>
      </c>
      <c r="G233" s="8" t="s">
        <v>200</v>
      </c>
      <c r="H233" s="9" t="s">
        <v>478</v>
      </c>
      <c r="I233" s="3">
        <v>4</v>
      </c>
      <c r="J233" s="4">
        <f>137314*1.0525*1.35</f>
        <v>195106.02974999999</v>
      </c>
      <c r="K233" s="5">
        <f t="shared" si="27"/>
        <v>780424.11899999995</v>
      </c>
      <c r="L233" s="107"/>
    </row>
    <row r="234" spans="2:12" ht="57">
      <c r="B234" s="106"/>
      <c r="C234" s="164" t="s">
        <v>327</v>
      </c>
      <c r="D234" s="174" t="s">
        <v>479</v>
      </c>
      <c r="E234" s="9" t="s">
        <v>189</v>
      </c>
      <c r="F234" s="9" t="s">
        <v>472</v>
      </c>
      <c r="G234" s="8" t="s">
        <v>207</v>
      </c>
      <c r="H234" s="9" t="s">
        <v>478</v>
      </c>
      <c r="I234" s="3">
        <v>3</v>
      </c>
      <c r="J234" s="4">
        <f>66954*1.0525*1.35</f>
        <v>95133.264750000017</v>
      </c>
      <c r="K234" s="5">
        <f t="shared" si="27"/>
        <v>285399.79425000004</v>
      </c>
      <c r="L234" s="107"/>
    </row>
    <row r="235" spans="2:12" ht="57">
      <c r="B235" s="106"/>
      <c r="C235" s="164" t="s">
        <v>330</v>
      </c>
      <c r="D235" s="174" t="s">
        <v>480</v>
      </c>
      <c r="E235" s="9" t="s">
        <v>203</v>
      </c>
      <c r="F235" s="9" t="s">
        <v>472</v>
      </c>
      <c r="G235" s="8" t="s">
        <v>204</v>
      </c>
      <c r="H235" s="9" t="s">
        <v>478</v>
      </c>
      <c r="I235" s="3">
        <v>1</v>
      </c>
      <c r="J235" s="4">
        <f>350799*1.0525*1.35</f>
        <v>498441.52912500006</v>
      </c>
      <c r="K235" s="5">
        <f t="shared" si="27"/>
        <v>498441.52912500006</v>
      </c>
      <c r="L235" s="107"/>
    </row>
    <row r="236" spans="2:12" ht="15" thickBot="1">
      <c r="B236" s="106"/>
      <c r="C236" s="181" t="s">
        <v>65</v>
      </c>
      <c r="D236" s="176" t="s">
        <v>7</v>
      </c>
      <c r="E236" s="123"/>
      <c r="F236" s="123"/>
      <c r="G236" s="12"/>
      <c r="H236" s="124"/>
      <c r="I236" s="3"/>
      <c r="J236" s="7"/>
      <c r="K236" s="118">
        <f>SUM(K230:K235)</f>
        <v>7752976.0200000005</v>
      </c>
      <c r="L236" s="107"/>
    </row>
    <row r="237" spans="2:12" s="128" customFormat="1" ht="15" customHeight="1" thickBot="1">
      <c r="B237" s="125"/>
      <c r="C237" s="188" t="s">
        <v>389</v>
      </c>
      <c r="D237" s="189"/>
      <c r="E237" s="190"/>
      <c r="F237" s="190"/>
      <c r="G237" s="190"/>
      <c r="H237" s="190"/>
      <c r="I237" s="190"/>
      <c r="J237" s="191"/>
      <c r="K237" s="126">
        <f>ROUND(K182+K186+K193+K198+K201+K210+K225+K228+K236,0)</f>
        <v>127511627</v>
      </c>
      <c r="L237" s="127"/>
    </row>
    <row r="238" spans="2:12" s="128" customFormat="1" ht="15" thickBot="1">
      <c r="B238" s="125"/>
      <c r="C238" s="230" t="s">
        <v>390</v>
      </c>
      <c r="D238" s="231"/>
      <c r="E238" s="231"/>
      <c r="F238" s="231"/>
      <c r="G238" s="231"/>
      <c r="H238" s="231"/>
      <c r="I238" s="231"/>
      <c r="J238" s="232"/>
      <c r="K238" s="160">
        <f>ROUND(K83+K165+K237,0)</f>
        <v>449557780</v>
      </c>
      <c r="L238" s="127"/>
    </row>
    <row r="239" spans="2:12" s="128" customFormat="1" ht="15" thickBot="1">
      <c r="B239" s="125"/>
      <c r="C239" s="183"/>
      <c r="D239" s="129"/>
      <c r="E239" s="129"/>
      <c r="F239" s="129"/>
      <c r="G239" s="129"/>
      <c r="H239" s="129"/>
      <c r="I239" s="129"/>
      <c r="J239" s="129"/>
      <c r="K239" s="130"/>
      <c r="L239" s="127"/>
    </row>
    <row r="240" spans="2:12" s="128" customFormat="1">
      <c r="B240" s="125"/>
      <c r="C240" s="14"/>
      <c r="D240" s="132"/>
      <c r="E240" s="131"/>
      <c r="F240" s="131"/>
      <c r="G240" s="13" t="s">
        <v>391</v>
      </c>
      <c r="H240" s="134"/>
      <c r="I240" s="135"/>
      <c r="J240" s="136"/>
      <c r="K240" s="133">
        <f>ROUND(K238/(1+K250),0)</f>
        <v>333005763</v>
      </c>
      <c r="L240" s="127"/>
    </row>
    <row r="241" spans="2:12" s="128" customFormat="1">
      <c r="B241" s="125"/>
      <c r="C241" s="14"/>
      <c r="D241" s="132"/>
      <c r="E241" s="131"/>
      <c r="F241" s="131"/>
      <c r="G241" s="13" t="s">
        <v>392</v>
      </c>
      <c r="H241" s="134"/>
      <c r="I241" s="135"/>
      <c r="J241" s="161">
        <f>K247</f>
        <v>0.3</v>
      </c>
      <c r="K241" s="137">
        <f>ROUND(K240*J241,0)</f>
        <v>99901729</v>
      </c>
      <c r="L241" s="127"/>
    </row>
    <row r="242" spans="2:12" s="128" customFormat="1">
      <c r="B242" s="125"/>
      <c r="C242" s="14"/>
      <c r="D242" s="138"/>
      <c r="E242" s="138"/>
      <c r="F242" s="138"/>
      <c r="G242" s="13" t="s">
        <v>393</v>
      </c>
      <c r="H242" s="139"/>
      <c r="I242" s="140"/>
      <c r="J242" s="161">
        <f>K249</f>
        <v>0.05</v>
      </c>
      <c r="K242" s="137">
        <f>ROUND(K240*J242,0)</f>
        <v>16650288</v>
      </c>
      <c r="L242" s="127"/>
    </row>
    <row r="243" spans="2:12" s="128" customFormat="1" ht="15" thickBot="1">
      <c r="B243" s="125"/>
      <c r="C243" s="14"/>
      <c r="D243" s="138"/>
      <c r="E243" s="138"/>
      <c r="F243" s="138"/>
      <c r="G243" s="13" t="s">
        <v>394</v>
      </c>
      <c r="H243" s="139"/>
      <c r="I243" s="140"/>
      <c r="J243" s="161">
        <v>0.19</v>
      </c>
      <c r="K243" s="137">
        <f>ROUND(K242*J243,0)</f>
        <v>3163555</v>
      </c>
      <c r="L243" s="127"/>
    </row>
    <row r="244" spans="2:12" s="128" customFormat="1">
      <c r="B244" s="125"/>
      <c r="C244" s="14"/>
      <c r="D244" s="132"/>
      <c r="E244" s="131"/>
      <c r="F244" s="131"/>
      <c r="G244" s="141" t="s">
        <v>395</v>
      </c>
      <c r="H244" s="142"/>
      <c r="I244" s="143"/>
      <c r="J244" s="144"/>
      <c r="K244" s="126">
        <f>SUM(K240:K243)</f>
        <v>452721335</v>
      </c>
      <c r="L244" s="127"/>
    </row>
    <row r="245" spans="2:12" s="128" customFormat="1" ht="15" thickBot="1">
      <c r="B245" s="125"/>
      <c r="C245" s="14"/>
      <c r="D245" s="132"/>
      <c r="E245" s="132"/>
      <c r="F245" s="132"/>
      <c r="G245" s="177"/>
      <c r="H245" s="131"/>
      <c r="I245" s="145"/>
      <c r="J245" s="146"/>
      <c r="K245" s="147"/>
      <c r="L245" s="127"/>
    </row>
    <row r="246" spans="2:12" s="128" customFormat="1">
      <c r="B246" s="125"/>
      <c r="C246" s="258" t="s">
        <v>396</v>
      </c>
      <c r="D246" s="259"/>
      <c r="E246" s="259"/>
      <c r="F246" s="259"/>
      <c r="G246" s="259"/>
      <c r="H246" s="260" t="s">
        <v>8</v>
      </c>
      <c r="I246" s="260"/>
      <c r="J246" s="260"/>
      <c r="K246" s="168" t="s">
        <v>397</v>
      </c>
      <c r="L246" s="151"/>
    </row>
    <row r="247" spans="2:12" s="128" customFormat="1">
      <c r="B247" s="125"/>
      <c r="C247" s="235" t="s">
        <v>398</v>
      </c>
      <c r="D247" s="236"/>
      <c r="E247" s="236"/>
      <c r="F247" s="236"/>
      <c r="G247" s="236"/>
      <c r="H247" s="200" t="s">
        <v>392</v>
      </c>
      <c r="I247" s="200"/>
      <c r="J247" s="152" t="s">
        <v>399</v>
      </c>
      <c r="K247" s="153">
        <v>0.3</v>
      </c>
      <c r="L247" s="151"/>
    </row>
    <row r="248" spans="2:12" s="128" customFormat="1">
      <c r="B248" s="125"/>
      <c r="C248" s="235" t="s">
        <v>400</v>
      </c>
      <c r="D248" s="236"/>
      <c r="E248" s="236"/>
      <c r="F248" s="236"/>
      <c r="G248" s="236"/>
      <c r="H248" s="238" t="s">
        <v>401</v>
      </c>
      <c r="I248" s="238"/>
      <c r="J248" s="152" t="s">
        <v>402</v>
      </c>
      <c r="K248" s="153">
        <v>0</v>
      </c>
      <c r="L248" s="151"/>
    </row>
    <row r="249" spans="2:12" s="128" customFormat="1">
      <c r="B249" s="125"/>
      <c r="C249" s="239"/>
      <c r="D249" s="240"/>
      <c r="E249" s="240"/>
      <c r="F249" s="240"/>
      <c r="G249" s="241"/>
      <c r="H249" s="200" t="s">
        <v>403</v>
      </c>
      <c r="I249" s="200"/>
      <c r="J249" s="152" t="s">
        <v>404</v>
      </c>
      <c r="K249" s="153">
        <v>0.05</v>
      </c>
      <c r="L249" s="127"/>
    </row>
    <row r="250" spans="2:12">
      <c r="B250" s="106"/>
      <c r="C250" s="242"/>
      <c r="D250" s="243"/>
      <c r="E250" s="243"/>
      <c r="F250" s="243"/>
      <c r="G250" s="244"/>
      <c r="H250" s="200" t="s">
        <v>405</v>
      </c>
      <c r="I250" s="200"/>
      <c r="J250" s="152" t="s">
        <v>406</v>
      </c>
      <c r="K250" s="153">
        <f>SUM(K247:K249)</f>
        <v>0.35</v>
      </c>
      <c r="L250" s="107"/>
    </row>
    <row r="251" spans="2:12" ht="15" thickBot="1">
      <c r="B251" s="106"/>
      <c r="C251" s="245"/>
      <c r="D251" s="246"/>
      <c r="E251" s="246"/>
      <c r="F251" s="246"/>
      <c r="G251" s="247"/>
      <c r="H251" s="233"/>
      <c r="I251" s="233"/>
      <c r="J251" s="233"/>
      <c r="K251" s="234"/>
      <c r="L251" s="107"/>
    </row>
    <row r="252" spans="2:12" ht="15" thickBot="1">
      <c r="B252" s="154"/>
      <c r="C252" s="185"/>
      <c r="D252" s="155"/>
      <c r="E252" s="156"/>
      <c r="F252" s="155"/>
      <c r="G252" s="157"/>
      <c r="H252" s="155"/>
      <c r="I252" s="155"/>
      <c r="J252" s="155"/>
      <c r="K252" s="155"/>
      <c r="L252" s="158"/>
    </row>
    <row r="253" spans="2:12" ht="15" thickTop="1"/>
  </sheetData>
  <mergeCells count="27">
    <mergeCell ref="H251:K251"/>
    <mergeCell ref="C248:G248"/>
    <mergeCell ref="H248:I248"/>
    <mergeCell ref="H249:I249"/>
    <mergeCell ref="H250:I250"/>
    <mergeCell ref="C249:G251"/>
    <mergeCell ref="C247:G247"/>
    <mergeCell ref="C10:K10"/>
    <mergeCell ref="C246:G246"/>
    <mergeCell ref="H246:J246"/>
    <mergeCell ref="H247:I247"/>
    <mergeCell ref="I11:I12"/>
    <mergeCell ref="J11:J12"/>
    <mergeCell ref="K11:K12"/>
    <mergeCell ref="C11:C12"/>
    <mergeCell ref="D11:D12"/>
    <mergeCell ref="G11:G12"/>
    <mergeCell ref="H11:H12"/>
    <mergeCell ref="E11:F11"/>
    <mergeCell ref="C7:K8"/>
    <mergeCell ref="C9:K9"/>
    <mergeCell ref="C238:J238"/>
    <mergeCell ref="B1:G1"/>
    <mergeCell ref="B2:E2"/>
    <mergeCell ref="B4:L4"/>
    <mergeCell ref="C5:K5"/>
    <mergeCell ref="C6:K6"/>
  </mergeCells>
  <phoneticPr fontId="48" type="noConversion"/>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256"/>
  <sheetViews>
    <sheetView showGridLines="0" tabSelected="1" view="pageBreakPreview" topLeftCell="H233" zoomScale="90" zoomScaleNormal="100" zoomScaleSheetLayoutView="90" zoomScalePageLayoutView="145" workbookViewId="0">
      <selection activeCell="S241" sqref="S241"/>
    </sheetView>
  </sheetViews>
  <sheetFormatPr baseColWidth="10" defaultColWidth="11.42578125" defaultRowHeight="14.25"/>
  <cols>
    <col min="1" max="2" width="2.85546875" style="104" customWidth="1"/>
    <col min="3" max="3" width="10.7109375" style="104" customWidth="1"/>
    <col min="4" max="4" width="15.7109375" style="104" customWidth="1"/>
    <col min="5" max="5" width="25.7109375" style="159" customWidth="1"/>
    <col min="6" max="6" width="25.7109375" style="104" customWidth="1"/>
    <col min="7" max="7" width="75.7109375" style="104" customWidth="1"/>
    <col min="8" max="8" width="8.7109375" style="104" customWidth="1"/>
    <col min="9" max="9" width="18.85546875" style="104" customWidth="1"/>
    <col min="10" max="10" width="23.7109375" style="104" customWidth="1"/>
    <col min="11" max="11" width="25.7109375" style="104" customWidth="1"/>
    <col min="12" max="13" width="2.85546875" style="104" customWidth="1"/>
    <col min="14" max="16384" width="11.42578125" style="104"/>
  </cols>
  <sheetData>
    <row r="1" spans="2:12">
      <c r="B1" s="193" t="s">
        <v>0</v>
      </c>
      <c r="C1" s="193"/>
      <c r="D1" s="193"/>
      <c r="E1" s="193"/>
      <c r="F1" s="193"/>
      <c r="G1" s="193"/>
    </row>
    <row r="2" spans="2:12">
      <c r="B2" s="193" t="s">
        <v>1</v>
      </c>
      <c r="C2" s="193"/>
      <c r="D2" s="193"/>
      <c r="E2" s="193"/>
    </row>
    <row r="3" spans="2:12" ht="15" thickBot="1">
      <c r="C3" s="103"/>
      <c r="D3" s="105"/>
      <c r="E3" s="103"/>
      <c r="F3" s="105"/>
    </row>
    <row r="4" spans="2:12" ht="15.75" thickTop="1" thickBot="1">
      <c r="B4" s="197"/>
      <c r="C4" s="198"/>
      <c r="D4" s="198"/>
      <c r="E4" s="198"/>
      <c r="F4" s="198"/>
      <c r="G4" s="198"/>
      <c r="H4" s="198"/>
      <c r="I4" s="198"/>
      <c r="J4" s="198"/>
      <c r="K4" s="198"/>
      <c r="L4" s="199"/>
    </row>
    <row r="5" spans="2:12" ht="31.5" customHeight="1">
      <c r="B5" s="106"/>
      <c r="C5" s="194" t="s">
        <v>2</v>
      </c>
      <c r="D5" s="195"/>
      <c r="E5" s="195"/>
      <c r="F5" s="195"/>
      <c r="G5" s="195"/>
      <c r="H5" s="195"/>
      <c r="I5" s="195"/>
      <c r="J5" s="195"/>
      <c r="K5" s="196"/>
      <c r="L5" s="107"/>
    </row>
    <row r="6" spans="2:12">
      <c r="B6" s="106"/>
      <c r="C6" s="203" t="s">
        <v>407</v>
      </c>
      <c r="D6" s="204"/>
      <c r="E6" s="204"/>
      <c r="F6" s="204"/>
      <c r="G6" s="204"/>
      <c r="H6" s="204"/>
      <c r="I6" s="204"/>
      <c r="J6" s="204"/>
      <c r="K6" s="205"/>
      <c r="L6" s="107"/>
    </row>
    <row r="7" spans="2:12" s="111" customFormat="1">
      <c r="B7" s="178"/>
      <c r="C7" s="206" t="s">
        <v>408</v>
      </c>
      <c r="D7" s="206"/>
      <c r="E7" s="206"/>
      <c r="F7" s="206"/>
      <c r="G7" s="206"/>
      <c r="H7" s="206"/>
      <c r="I7" s="206"/>
      <c r="J7" s="206"/>
      <c r="K7" s="206"/>
      <c r="L7" s="110"/>
    </row>
    <row r="8" spans="2:12" ht="105.75" customHeight="1">
      <c r="B8" s="106"/>
      <c r="C8" s="206"/>
      <c r="D8" s="206"/>
      <c r="E8" s="206"/>
      <c r="F8" s="206"/>
      <c r="G8" s="206"/>
      <c r="H8" s="206"/>
      <c r="I8" s="206"/>
      <c r="J8" s="206"/>
      <c r="K8" s="206"/>
      <c r="L8" s="107"/>
    </row>
    <row r="9" spans="2:12" ht="34.5" customHeight="1">
      <c r="B9" s="106"/>
      <c r="C9" s="207" t="s">
        <v>409</v>
      </c>
      <c r="D9" s="208"/>
      <c r="E9" s="208"/>
      <c r="F9" s="208"/>
      <c r="G9" s="208"/>
      <c r="H9" s="208"/>
      <c r="I9" s="208"/>
      <c r="J9" s="208"/>
      <c r="K9" s="209"/>
      <c r="L9" s="107"/>
    </row>
    <row r="10" spans="2:12" ht="30" customHeight="1" thickBot="1">
      <c r="B10" s="106"/>
      <c r="C10" s="210"/>
      <c r="D10" s="211"/>
      <c r="E10" s="211"/>
      <c r="F10" s="211"/>
      <c r="G10" s="211"/>
      <c r="H10" s="211"/>
      <c r="I10" s="211"/>
      <c r="J10" s="211"/>
      <c r="K10" s="212"/>
      <c r="L10" s="107"/>
    </row>
    <row r="11" spans="2:12">
      <c r="B11" s="106"/>
      <c r="C11" s="213" t="s">
        <v>6</v>
      </c>
      <c r="D11" s="215" t="s">
        <v>491</v>
      </c>
      <c r="E11" s="217" t="s">
        <v>492</v>
      </c>
      <c r="F11" s="217"/>
      <c r="G11" s="218" t="s">
        <v>8</v>
      </c>
      <c r="H11" s="220" t="s">
        <v>9</v>
      </c>
      <c r="I11" s="220" t="s">
        <v>10</v>
      </c>
      <c r="J11" s="222" t="s">
        <v>11</v>
      </c>
      <c r="K11" s="224" t="s">
        <v>12</v>
      </c>
      <c r="L11" s="107"/>
    </row>
    <row r="12" spans="2:12" ht="15" thickBot="1">
      <c r="B12" s="106"/>
      <c r="C12" s="214"/>
      <c r="D12" s="216"/>
      <c r="E12" s="1" t="s">
        <v>493</v>
      </c>
      <c r="F12" s="1" t="s">
        <v>494</v>
      </c>
      <c r="G12" s="219"/>
      <c r="H12" s="221"/>
      <c r="I12" s="221"/>
      <c r="J12" s="223"/>
      <c r="K12" s="225"/>
      <c r="L12" s="107"/>
    </row>
    <row r="13" spans="2:12" ht="29.25" thickBot="1">
      <c r="B13" s="106"/>
      <c r="C13" s="162" t="s">
        <v>7</v>
      </c>
      <c r="D13" s="169" t="s">
        <v>7</v>
      </c>
      <c r="E13" s="112"/>
      <c r="F13" s="112"/>
      <c r="G13" s="112" t="s">
        <v>13</v>
      </c>
      <c r="H13" s="112"/>
      <c r="I13" s="112"/>
      <c r="J13" s="112"/>
      <c r="K13" s="113"/>
      <c r="L13" s="107"/>
    </row>
    <row r="14" spans="2:12" ht="15" thickBot="1">
      <c r="B14" s="106"/>
      <c r="C14" s="163">
        <v>1</v>
      </c>
      <c r="D14" s="170" t="s">
        <v>7</v>
      </c>
      <c r="E14" s="114"/>
      <c r="F14" s="114"/>
      <c r="G14" s="114" t="s">
        <v>14</v>
      </c>
      <c r="H14" s="114"/>
      <c r="I14" s="114"/>
      <c r="J14" s="114"/>
      <c r="K14" s="115"/>
      <c r="L14" s="107"/>
    </row>
    <row r="15" spans="2:12" ht="28.5">
      <c r="B15" s="106"/>
      <c r="C15" s="164" t="s">
        <v>15</v>
      </c>
      <c r="D15" s="171" t="s">
        <v>16</v>
      </c>
      <c r="E15" s="116" t="s">
        <v>17</v>
      </c>
      <c r="F15" s="116" t="s">
        <v>18</v>
      </c>
      <c r="G15" s="2" t="s">
        <v>19</v>
      </c>
      <c r="H15" s="116" t="s">
        <v>20</v>
      </c>
      <c r="I15" s="3">
        <v>39.590000000000003</v>
      </c>
      <c r="J15" s="4"/>
      <c r="K15" s="5">
        <f>J15*I15</f>
        <v>0</v>
      </c>
      <c r="L15" s="107"/>
    </row>
    <row r="16" spans="2:12" ht="42.75">
      <c r="B16" s="106"/>
      <c r="C16" s="164" t="s">
        <v>21</v>
      </c>
      <c r="D16" s="171" t="s">
        <v>22</v>
      </c>
      <c r="E16" s="116" t="s">
        <v>23</v>
      </c>
      <c r="F16" s="116" t="s">
        <v>18</v>
      </c>
      <c r="G16" s="2" t="s">
        <v>24</v>
      </c>
      <c r="H16" s="116" t="s">
        <v>20</v>
      </c>
      <c r="I16" s="3">
        <v>11.669999999999998</v>
      </c>
      <c r="J16" s="4"/>
      <c r="K16" s="5">
        <f t="shared" ref="K16:K27" si="0">J16*I16</f>
        <v>0</v>
      </c>
      <c r="L16" s="107"/>
    </row>
    <row r="17" spans="2:12" ht="42.75">
      <c r="B17" s="106"/>
      <c r="C17" s="164" t="s">
        <v>25</v>
      </c>
      <c r="D17" s="171" t="s">
        <v>26</v>
      </c>
      <c r="E17" s="116" t="s">
        <v>23</v>
      </c>
      <c r="F17" s="116" t="s">
        <v>18</v>
      </c>
      <c r="G17" s="2" t="s">
        <v>27</v>
      </c>
      <c r="H17" s="116" t="s">
        <v>20</v>
      </c>
      <c r="I17" s="3">
        <v>30.703800000000005</v>
      </c>
      <c r="J17" s="4"/>
      <c r="K17" s="5">
        <f t="shared" si="0"/>
        <v>0</v>
      </c>
      <c r="L17" s="107"/>
    </row>
    <row r="18" spans="2:12" ht="42.75">
      <c r="B18" s="106"/>
      <c r="C18" s="164" t="s">
        <v>28</v>
      </c>
      <c r="D18" s="171" t="s">
        <v>29</v>
      </c>
      <c r="E18" s="116" t="s">
        <v>23</v>
      </c>
      <c r="F18" s="116" t="s">
        <v>18</v>
      </c>
      <c r="G18" s="2" t="s">
        <v>30</v>
      </c>
      <c r="H18" s="116" t="s">
        <v>31</v>
      </c>
      <c r="I18" s="3">
        <v>12.71214</v>
      </c>
      <c r="J18" s="4"/>
      <c r="K18" s="5">
        <f t="shared" si="0"/>
        <v>0</v>
      </c>
      <c r="L18" s="107"/>
    </row>
    <row r="19" spans="2:12" ht="42.75">
      <c r="B19" s="106"/>
      <c r="C19" s="164" t="s">
        <v>32</v>
      </c>
      <c r="D19" s="171" t="s">
        <v>33</v>
      </c>
      <c r="E19" s="116" t="s">
        <v>23</v>
      </c>
      <c r="F19" s="116" t="s">
        <v>18</v>
      </c>
      <c r="G19" s="2" t="s">
        <v>34</v>
      </c>
      <c r="H19" s="116" t="s">
        <v>20</v>
      </c>
      <c r="I19" s="3">
        <v>11.669999999999998</v>
      </c>
      <c r="J19" s="4"/>
      <c r="K19" s="5">
        <f t="shared" si="0"/>
        <v>0</v>
      </c>
      <c r="L19" s="107"/>
    </row>
    <row r="20" spans="2:12" ht="42.75">
      <c r="B20" s="106"/>
      <c r="C20" s="164" t="s">
        <v>35</v>
      </c>
      <c r="D20" s="171" t="s">
        <v>36</v>
      </c>
      <c r="E20" s="116" t="s">
        <v>37</v>
      </c>
      <c r="F20" s="116" t="s">
        <v>18</v>
      </c>
      <c r="G20" s="2" t="s">
        <v>38</v>
      </c>
      <c r="H20" s="116" t="s">
        <v>39</v>
      </c>
      <c r="I20" s="3">
        <v>30</v>
      </c>
      <c r="J20" s="4"/>
      <c r="K20" s="5">
        <f t="shared" si="0"/>
        <v>0</v>
      </c>
      <c r="L20" s="107"/>
    </row>
    <row r="21" spans="2:12" ht="28.5">
      <c r="B21" s="106"/>
      <c r="C21" s="164" t="s">
        <v>40</v>
      </c>
      <c r="D21" s="171" t="s">
        <v>41</v>
      </c>
      <c r="E21" s="116" t="s">
        <v>42</v>
      </c>
      <c r="F21" s="116" t="s">
        <v>18</v>
      </c>
      <c r="G21" s="2" t="s">
        <v>43</v>
      </c>
      <c r="H21" s="116" t="s">
        <v>44</v>
      </c>
      <c r="I21" s="3">
        <v>56</v>
      </c>
      <c r="J21" s="4"/>
      <c r="K21" s="5">
        <f t="shared" si="0"/>
        <v>0</v>
      </c>
      <c r="L21" s="107"/>
    </row>
    <row r="22" spans="2:12" ht="28.5">
      <c r="B22" s="106"/>
      <c r="C22" s="164" t="s">
        <v>45</v>
      </c>
      <c r="D22" s="171" t="s">
        <v>46</v>
      </c>
      <c r="E22" s="116" t="s">
        <v>47</v>
      </c>
      <c r="F22" s="116" t="s">
        <v>18</v>
      </c>
      <c r="G22" s="2" t="s">
        <v>48</v>
      </c>
      <c r="H22" s="116" t="s">
        <v>44</v>
      </c>
      <c r="I22" s="3">
        <v>100</v>
      </c>
      <c r="J22" s="4"/>
      <c r="K22" s="5">
        <f t="shared" si="0"/>
        <v>0</v>
      </c>
      <c r="L22" s="107"/>
    </row>
    <row r="23" spans="2:12" ht="42.75">
      <c r="B23" s="106"/>
      <c r="C23" s="164" t="s">
        <v>49</v>
      </c>
      <c r="D23" s="171" t="s">
        <v>50</v>
      </c>
      <c r="E23" s="116" t="s">
        <v>23</v>
      </c>
      <c r="F23" s="116" t="s">
        <v>18</v>
      </c>
      <c r="G23" s="2" t="s">
        <v>51</v>
      </c>
      <c r="H23" s="116" t="s">
        <v>44</v>
      </c>
      <c r="I23" s="3">
        <v>10</v>
      </c>
      <c r="J23" s="4"/>
      <c r="K23" s="5">
        <f t="shared" si="0"/>
        <v>0</v>
      </c>
      <c r="L23" s="107"/>
    </row>
    <row r="24" spans="2:12" ht="42.75">
      <c r="B24" s="106"/>
      <c r="C24" s="164" t="s">
        <v>52</v>
      </c>
      <c r="D24" s="171" t="s">
        <v>53</v>
      </c>
      <c r="E24" s="116" t="s">
        <v>23</v>
      </c>
      <c r="F24" s="116" t="s">
        <v>18</v>
      </c>
      <c r="G24" s="2" t="s">
        <v>54</v>
      </c>
      <c r="H24" s="116" t="s">
        <v>20</v>
      </c>
      <c r="I24" s="3">
        <v>96.28</v>
      </c>
      <c r="J24" s="4"/>
      <c r="K24" s="5">
        <f t="shared" si="0"/>
        <v>0</v>
      </c>
      <c r="L24" s="107"/>
    </row>
    <row r="25" spans="2:12" ht="42.75">
      <c r="B25" s="106"/>
      <c r="C25" s="164" t="s">
        <v>55</v>
      </c>
      <c r="D25" s="171" t="s">
        <v>56</v>
      </c>
      <c r="E25" s="116" t="s">
        <v>23</v>
      </c>
      <c r="F25" s="116" t="s">
        <v>18</v>
      </c>
      <c r="G25" s="2" t="s">
        <v>57</v>
      </c>
      <c r="H25" s="116" t="s">
        <v>20</v>
      </c>
      <c r="I25" s="3">
        <v>6.1400000000000006</v>
      </c>
      <c r="J25" s="4"/>
      <c r="K25" s="5">
        <f t="shared" si="0"/>
        <v>0</v>
      </c>
      <c r="L25" s="107"/>
    </row>
    <row r="26" spans="2:12" ht="42.75">
      <c r="B26" s="106"/>
      <c r="C26" s="164" t="s">
        <v>58</v>
      </c>
      <c r="D26" s="171" t="s">
        <v>59</v>
      </c>
      <c r="E26" s="116" t="s">
        <v>23</v>
      </c>
      <c r="F26" s="116" t="s">
        <v>18</v>
      </c>
      <c r="G26" s="2" t="s">
        <v>60</v>
      </c>
      <c r="H26" s="116" t="s">
        <v>61</v>
      </c>
      <c r="I26" s="3">
        <v>20</v>
      </c>
      <c r="J26" s="4"/>
      <c r="K26" s="5">
        <f t="shared" si="0"/>
        <v>0</v>
      </c>
      <c r="L26" s="107"/>
    </row>
    <row r="27" spans="2:12" ht="42.75">
      <c r="B27" s="106"/>
      <c r="C27" s="164" t="s">
        <v>62</v>
      </c>
      <c r="D27" s="171" t="s">
        <v>63</v>
      </c>
      <c r="E27" s="116" t="s">
        <v>23</v>
      </c>
      <c r="F27" s="116" t="s">
        <v>18</v>
      </c>
      <c r="G27" s="2" t="s">
        <v>64</v>
      </c>
      <c r="H27" s="116" t="s">
        <v>31</v>
      </c>
      <c r="I27" s="3">
        <v>14</v>
      </c>
      <c r="J27" s="4"/>
      <c r="K27" s="5">
        <f t="shared" si="0"/>
        <v>0</v>
      </c>
      <c r="L27" s="107"/>
    </row>
    <row r="28" spans="2:12" ht="15" thickBot="1">
      <c r="B28" s="106"/>
      <c r="C28" s="165" t="s">
        <v>65</v>
      </c>
      <c r="D28" s="172" t="s">
        <v>7</v>
      </c>
      <c r="E28" s="117"/>
      <c r="F28" s="117"/>
      <c r="G28" s="6"/>
      <c r="H28" s="117"/>
      <c r="I28" s="3"/>
      <c r="J28" s="7"/>
      <c r="K28" s="118">
        <f>SUM(K15:K27)</f>
        <v>0</v>
      </c>
      <c r="L28" s="107"/>
    </row>
    <row r="29" spans="2:12" ht="15" thickBot="1">
      <c r="B29" s="106"/>
      <c r="C29" s="163">
        <v>2</v>
      </c>
      <c r="D29" s="170" t="s">
        <v>7</v>
      </c>
      <c r="E29" s="114"/>
      <c r="F29" s="114"/>
      <c r="G29" s="114" t="s">
        <v>66</v>
      </c>
      <c r="H29" s="114"/>
      <c r="I29" s="114"/>
      <c r="J29" s="114"/>
      <c r="K29" s="115"/>
      <c r="L29" s="107"/>
    </row>
    <row r="30" spans="2:12" ht="42.75">
      <c r="B30" s="106"/>
      <c r="C30" s="164" t="s">
        <v>67</v>
      </c>
      <c r="D30" s="171" t="s">
        <v>68</v>
      </c>
      <c r="E30" s="116" t="s">
        <v>69</v>
      </c>
      <c r="F30" s="116" t="s">
        <v>70</v>
      </c>
      <c r="G30" s="2" t="s">
        <v>495</v>
      </c>
      <c r="H30" s="116" t="s">
        <v>71</v>
      </c>
      <c r="I30" s="3">
        <v>124.16879999999999</v>
      </c>
      <c r="J30" s="4"/>
      <c r="K30" s="5">
        <f t="shared" ref="K30:K31" si="1">J30*I30</f>
        <v>0</v>
      </c>
      <c r="L30" s="107"/>
    </row>
    <row r="31" spans="2:12" ht="42.75">
      <c r="B31" s="106"/>
      <c r="C31" s="164" t="s">
        <v>72</v>
      </c>
      <c r="D31" s="171" t="s">
        <v>73</v>
      </c>
      <c r="E31" s="116" t="s">
        <v>74</v>
      </c>
      <c r="F31" s="116" t="s">
        <v>70</v>
      </c>
      <c r="G31" s="2" t="s">
        <v>75</v>
      </c>
      <c r="H31" s="116" t="s">
        <v>20</v>
      </c>
      <c r="I31" s="3">
        <v>11.669999999999998</v>
      </c>
      <c r="J31" s="4"/>
      <c r="K31" s="5">
        <f t="shared" si="1"/>
        <v>0</v>
      </c>
      <c r="L31" s="107"/>
    </row>
    <row r="32" spans="2:12" ht="15" thickBot="1">
      <c r="B32" s="106"/>
      <c r="C32" s="165" t="s">
        <v>65</v>
      </c>
      <c r="D32" s="173" t="s">
        <v>7</v>
      </c>
      <c r="E32" s="120"/>
      <c r="F32" s="119"/>
      <c r="G32" s="119"/>
      <c r="H32" s="119"/>
      <c r="I32" s="3"/>
      <c r="J32" s="119"/>
      <c r="K32" s="118">
        <f>SUM(K30:K31)</f>
        <v>0</v>
      </c>
      <c r="L32" s="107"/>
    </row>
    <row r="33" spans="2:12" ht="15" thickBot="1">
      <c r="B33" s="106"/>
      <c r="C33" s="163">
        <v>3</v>
      </c>
      <c r="D33" s="170" t="s">
        <v>7</v>
      </c>
      <c r="E33" s="114"/>
      <c r="F33" s="114"/>
      <c r="G33" s="114" t="s">
        <v>76</v>
      </c>
      <c r="H33" s="114"/>
      <c r="I33" s="114"/>
      <c r="J33" s="114"/>
      <c r="K33" s="115"/>
      <c r="L33" s="107"/>
    </row>
    <row r="34" spans="2:12" ht="42.75">
      <c r="B34" s="106"/>
      <c r="C34" s="164" t="s">
        <v>77</v>
      </c>
      <c r="D34" s="174" t="s">
        <v>78</v>
      </c>
      <c r="E34" s="9" t="s">
        <v>42</v>
      </c>
      <c r="F34" s="9" t="s">
        <v>79</v>
      </c>
      <c r="G34" s="8" t="s">
        <v>80</v>
      </c>
      <c r="H34" s="9" t="s">
        <v>44</v>
      </c>
      <c r="I34" s="3">
        <v>56</v>
      </c>
      <c r="J34" s="4"/>
      <c r="K34" s="5">
        <f t="shared" ref="K34" si="2">J34*I34</f>
        <v>0</v>
      </c>
      <c r="L34" s="107"/>
    </row>
    <row r="35" spans="2:12" ht="15" thickBot="1">
      <c r="B35" s="106"/>
      <c r="C35" s="166" t="s">
        <v>65</v>
      </c>
      <c r="D35" s="175" t="s">
        <v>7</v>
      </c>
      <c r="E35" s="121"/>
      <c r="F35" s="121"/>
      <c r="G35" s="10"/>
      <c r="H35" s="121"/>
      <c r="I35" s="3"/>
      <c r="J35" s="11"/>
      <c r="K35" s="122">
        <f>SUM(K34)</f>
        <v>0</v>
      </c>
      <c r="L35" s="107"/>
    </row>
    <row r="36" spans="2:12" ht="15" thickBot="1">
      <c r="B36" s="106"/>
      <c r="C36" s="163">
        <v>4</v>
      </c>
      <c r="D36" s="170" t="s">
        <v>7</v>
      </c>
      <c r="E36" s="114"/>
      <c r="F36" s="114"/>
      <c r="G36" s="114" t="s">
        <v>81</v>
      </c>
      <c r="H36" s="114"/>
      <c r="I36" s="114"/>
      <c r="J36" s="114"/>
      <c r="K36" s="115"/>
      <c r="L36" s="107"/>
    </row>
    <row r="37" spans="2:12" ht="42.75">
      <c r="B37" s="106"/>
      <c r="C37" s="164" t="s">
        <v>82</v>
      </c>
      <c r="D37" s="174" t="s">
        <v>83</v>
      </c>
      <c r="E37" s="9" t="s">
        <v>84</v>
      </c>
      <c r="F37" s="9" t="s">
        <v>70</v>
      </c>
      <c r="G37" s="8" t="s">
        <v>85</v>
      </c>
      <c r="H37" s="9" t="s">
        <v>20</v>
      </c>
      <c r="I37" s="3">
        <v>11.669999999999998</v>
      </c>
      <c r="J37" s="4"/>
      <c r="K37" s="5">
        <f t="shared" ref="K37:K39" si="3">J37*I37</f>
        <v>0</v>
      </c>
      <c r="L37" s="107"/>
    </row>
    <row r="38" spans="2:12" ht="42.75">
      <c r="B38" s="106"/>
      <c r="C38" s="164" t="s">
        <v>86</v>
      </c>
      <c r="D38" s="174" t="s">
        <v>87</v>
      </c>
      <c r="E38" s="9" t="s">
        <v>88</v>
      </c>
      <c r="F38" s="9" t="s">
        <v>70</v>
      </c>
      <c r="G38" s="8" t="s">
        <v>89</v>
      </c>
      <c r="H38" s="9" t="s">
        <v>44</v>
      </c>
      <c r="I38" s="3">
        <v>20</v>
      </c>
      <c r="J38" s="4"/>
      <c r="K38" s="5">
        <f t="shared" si="3"/>
        <v>0</v>
      </c>
      <c r="L38" s="107"/>
    </row>
    <row r="39" spans="2:12" ht="42.75">
      <c r="B39" s="106"/>
      <c r="C39" s="167" t="s">
        <v>90</v>
      </c>
      <c r="D39" s="174" t="s">
        <v>91</v>
      </c>
      <c r="E39" s="9" t="s">
        <v>42</v>
      </c>
      <c r="F39" s="9" t="s">
        <v>70</v>
      </c>
      <c r="G39" s="8" t="s">
        <v>92</v>
      </c>
      <c r="H39" s="9" t="s">
        <v>20</v>
      </c>
      <c r="I39" s="3">
        <v>12</v>
      </c>
      <c r="J39" s="4"/>
      <c r="K39" s="5">
        <f t="shared" si="3"/>
        <v>0</v>
      </c>
      <c r="L39" s="107"/>
    </row>
    <row r="40" spans="2:12" ht="15" thickBot="1">
      <c r="B40" s="106"/>
      <c r="C40" s="165" t="s">
        <v>65</v>
      </c>
      <c r="D40" s="176" t="s">
        <v>7</v>
      </c>
      <c r="E40" s="123"/>
      <c r="F40" s="123"/>
      <c r="G40" s="12"/>
      <c r="H40" s="124"/>
      <c r="I40" s="3"/>
      <c r="J40" s="7"/>
      <c r="K40" s="118">
        <f>SUM(K37:K39)</f>
        <v>0</v>
      </c>
      <c r="L40" s="107"/>
    </row>
    <row r="41" spans="2:12" ht="15" thickBot="1">
      <c r="B41" s="106"/>
      <c r="C41" s="163">
        <v>5</v>
      </c>
      <c r="D41" s="170" t="s">
        <v>7</v>
      </c>
      <c r="E41" s="114"/>
      <c r="F41" s="114"/>
      <c r="G41" s="114" t="s">
        <v>93</v>
      </c>
      <c r="H41" s="114"/>
      <c r="I41" s="114"/>
      <c r="J41" s="114"/>
      <c r="K41" s="115"/>
      <c r="L41" s="107"/>
    </row>
    <row r="42" spans="2:12" ht="42.75">
      <c r="B42" s="106"/>
      <c r="C42" s="164" t="s">
        <v>94</v>
      </c>
      <c r="D42" s="174" t="s">
        <v>95</v>
      </c>
      <c r="E42" s="9" t="s">
        <v>42</v>
      </c>
      <c r="F42" s="9" t="s">
        <v>70</v>
      </c>
      <c r="G42" s="8" t="s">
        <v>96</v>
      </c>
      <c r="H42" s="9" t="s">
        <v>20</v>
      </c>
      <c r="I42" s="3">
        <v>173.08519999999999</v>
      </c>
      <c r="J42" s="4"/>
      <c r="K42" s="5">
        <f t="shared" ref="K42:K44" si="4">J42*I42</f>
        <v>0</v>
      </c>
      <c r="L42" s="107"/>
    </row>
    <row r="43" spans="2:12" ht="42.75">
      <c r="B43" s="106"/>
      <c r="C43" s="164" t="s">
        <v>97</v>
      </c>
      <c r="D43" s="174" t="s">
        <v>98</v>
      </c>
      <c r="E43" s="9" t="s">
        <v>99</v>
      </c>
      <c r="F43" s="9" t="s">
        <v>70</v>
      </c>
      <c r="G43" s="8" t="s">
        <v>100</v>
      </c>
      <c r="H43" s="9" t="s">
        <v>20</v>
      </c>
      <c r="I43" s="3">
        <v>28</v>
      </c>
      <c r="J43" s="4"/>
      <c r="K43" s="5">
        <f t="shared" si="4"/>
        <v>0</v>
      </c>
      <c r="L43" s="107"/>
    </row>
    <row r="44" spans="2:12" ht="42.75">
      <c r="B44" s="106"/>
      <c r="C44" s="164" t="s">
        <v>101</v>
      </c>
      <c r="D44" s="174" t="s">
        <v>102</v>
      </c>
      <c r="E44" s="9" t="s">
        <v>103</v>
      </c>
      <c r="F44" s="9" t="s">
        <v>70</v>
      </c>
      <c r="G44" s="8" t="s">
        <v>104</v>
      </c>
      <c r="H44" s="9" t="s">
        <v>20</v>
      </c>
      <c r="I44" s="3">
        <v>18.827000000000002</v>
      </c>
      <c r="J44" s="4"/>
      <c r="K44" s="5">
        <f t="shared" si="4"/>
        <v>0</v>
      </c>
      <c r="L44" s="107"/>
    </row>
    <row r="45" spans="2:12" ht="15" thickBot="1">
      <c r="B45" s="106"/>
      <c r="C45" s="165" t="s">
        <v>65</v>
      </c>
      <c r="D45" s="176" t="s">
        <v>7</v>
      </c>
      <c r="E45" s="123"/>
      <c r="F45" s="123"/>
      <c r="G45" s="12"/>
      <c r="H45" s="124"/>
      <c r="I45" s="3"/>
      <c r="J45" s="7"/>
      <c r="K45" s="118">
        <f>SUM(K42:K44)</f>
        <v>0</v>
      </c>
      <c r="L45" s="107"/>
    </row>
    <row r="46" spans="2:12" ht="29.25" thickBot="1">
      <c r="B46" s="106"/>
      <c r="C46" s="163">
        <v>6</v>
      </c>
      <c r="D46" s="170" t="s">
        <v>7</v>
      </c>
      <c r="E46" s="114"/>
      <c r="F46" s="114"/>
      <c r="G46" s="114" t="s">
        <v>105</v>
      </c>
      <c r="H46" s="114"/>
      <c r="I46" s="114"/>
      <c r="J46" s="114"/>
      <c r="K46" s="115"/>
      <c r="L46" s="107"/>
    </row>
    <row r="47" spans="2:12" ht="85.5">
      <c r="B47" s="106"/>
      <c r="C47" s="164" t="s">
        <v>106</v>
      </c>
      <c r="D47" s="174" t="s">
        <v>107</v>
      </c>
      <c r="E47" s="9" t="s">
        <v>108</v>
      </c>
      <c r="F47" s="9" t="s">
        <v>79</v>
      </c>
      <c r="G47" s="8" t="s">
        <v>109</v>
      </c>
      <c r="H47" s="9" t="s">
        <v>110</v>
      </c>
      <c r="I47" s="3">
        <v>1</v>
      </c>
      <c r="J47" s="4"/>
      <c r="K47" s="5">
        <f t="shared" ref="K47:K53" si="5">J47*I47</f>
        <v>0</v>
      </c>
      <c r="L47" s="107"/>
    </row>
    <row r="48" spans="2:12" ht="42.75">
      <c r="B48" s="106"/>
      <c r="C48" s="164" t="s">
        <v>111</v>
      </c>
      <c r="D48" s="174" t="s">
        <v>112</v>
      </c>
      <c r="E48" s="9" t="s">
        <v>113</v>
      </c>
      <c r="F48" s="9" t="s">
        <v>79</v>
      </c>
      <c r="G48" s="8" t="s">
        <v>114</v>
      </c>
      <c r="H48" s="9" t="s">
        <v>110</v>
      </c>
      <c r="I48" s="3">
        <v>2</v>
      </c>
      <c r="J48" s="4"/>
      <c r="K48" s="5">
        <f t="shared" si="5"/>
        <v>0</v>
      </c>
      <c r="L48" s="107"/>
    </row>
    <row r="49" spans="2:12" ht="42.75">
      <c r="B49" s="106"/>
      <c r="C49" s="164" t="s">
        <v>115</v>
      </c>
      <c r="D49" s="174" t="s">
        <v>116</v>
      </c>
      <c r="E49" s="9" t="s">
        <v>117</v>
      </c>
      <c r="F49" s="9" t="s">
        <v>79</v>
      </c>
      <c r="G49" s="8" t="s">
        <v>118</v>
      </c>
      <c r="H49" s="9" t="s">
        <v>110</v>
      </c>
      <c r="I49" s="3">
        <v>2</v>
      </c>
      <c r="J49" s="4"/>
      <c r="K49" s="5">
        <f t="shared" si="5"/>
        <v>0</v>
      </c>
      <c r="L49" s="107"/>
    </row>
    <row r="50" spans="2:12" ht="42.75">
      <c r="B50" s="106"/>
      <c r="C50" s="164" t="s">
        <v>119</v>
      </c>
      <c r="D50" s="174" t="s">
        <v>120</v>
      </c>
      <c r="E50" s="9" t="s">
        <v>121</v>
      </c>
      <c r="F50" s="9" t="s">
        <v>79</v>
      </c>
      <c r="G50" s="8" t="s">
        <v>122</v>
      </c>
      <c r="H50" s="9" t="s">
        <v>110</v>
      </c>
      <c r="I50" s="3">
        <v>2</v>
      </c>
      <c r="J50" s="4"/>
      <c r="K50" s="5">
        <f t="shared" si="5"/>
        <v>0</v>
      </c>
      <c r="L50" s="107"/>
    </row>
    <row r="51" spans="2:12" ht="42.75">
      <c r="B51" s="106"/>
      <c r="C51" s="164" t="s">
        <v>123</v>
      </c>
      <c r="D51" s="174" t="s">
        <v>124</v>
      </c>
      <c r="E51" s="9" t="s">
        <v>121</v>
      </c>
      <c r="F51" s="9" t="s">
        <v>79</v>
      </c>
      <c r="G51" s="8" t="s">
        <v>125</v>
      </c>
      <c r="H51" s="9" t="s">
        <v>110</v>
      </c>
      <c r="I51" s="3">
        <v>1</v>
      </c>
      <c r="J51" s="4"/>
      <c r="K51" s="5">
        <f t="shared" si="5"/>
        <v>0</v>
      </c>
      <c r="L51" s="107"/>
    </row>
    <row r="52" spans="2:12" ht="42.75">
      <c r="B52" s="106"/>
      <c r="C52" s="164" t="s">
        <v>126</v>
      </c>
      <c r="D52" s="174" t="s">
        <v>127</v>
      </c>
      <c r="E52" s="9" t="s">
        <v>128</v>
      </c>
      <c r="F52" s="9" t="s">
        <v>79</v>
      </c>
      <c r="G52" s="8" t="s">
        <v>129</v>
      </c>
      <c r="H52" s="9" t="s">
        <v>110</v>
      </c>
      <c r="I52" s="3">
        <v>1</v>
      </c>
      <c r="J52" s="4"/>
      <c r="K52" s="5">
        <f t="shared" si="5"/>
        <v>0</v>
      </c>
      <c r="L52" s="107"/>
    </row>
    <row r="53" spans="2:12" ht="42.75">
      <c r="B53" s="106"/>
      <c r="C53" s="164" t="s">
        <v>130</v>
      </c>
      <c r="D53" s="174" t="s">
        <v>131</v>
      </c>
      <c r="E53" s="9" t="s">
        <v>132</v>
      </c>
      <c r="F53" s="9" t="s">
        <v>79</v>
      </c>
      <c r="G53" s="8" t="s">
        <v>133</v>
      </c>
      <c r="H53" s="9" t="s">
        <v>110</v>
      </c>
      <c r="I53" s="3">
        <v>2</v>
      </c>
      <c r="J53" s="4"/>
      <c r="K53" s="5">
        <f t="shared" si="5"/>
        <v>0</v>
      </c>
      <c r="L53" s="107"/>
    </row>
    <row r="54" spans="2:12" ht="15" thickBot="1">
      <c r="B54" s="106"/>
      <c r="C54" s="165" t="s">
        <v>65</v>
      </c>
      <c r="D54" s="176" t="s">
        <v>7</v>
      </c>
      <c r="E54" s="123"/>
      <c r="F54" s="123"/>
      <c r="G54" s="12"/>
      <c r="H54" s="124"/>
      <c r="I54" s="3"/>
      <c r="J54" s="7"/>
      <c r="K54" s="118">
        <f>SUM(K47:K53)</f>
        <v>0</v>
      </c>
      <c r="L54" s="107"/>
    </row>
    <row r="55" spans="2:12" ht="29.25" thickBot="1">
      <c r="B55" s="106"/>
      <c r="C55" s="163">
        <v>7</v>
      </c>
      <c r="D55" s="170" t="s">
        <v>7</v>
      </c>
      <c r="E55" s="114"/>
      <c r="F55" s="114"/>
      <c r="G55" s="114" t="s">
        <v>134</v>
      </c>
      <c r="H55" s="114"/>
      <c r="I55" s="114"/>
      <c r="J55" s="114"/>
      <c r="K55" s="115"/>
      <c r="L55" s="107"/>
    </row>
    <row r="56" spans="2:12" ht="42.75">
      <c r="B56" s="106"/>
      <c r="C56" s="164" t="s">
        <v>135</v>
      </c>
      <c r="D56" s="174" t="s">
        <v>136</v>
      </c>
      <c r="E56" s="9" t="s">
        <v>121</v>
      </c>
      <c r="F56" s="9" t="s">
        <v>79</v>
      </c>
      <c r="G56" s="8" t="s">
        <v>137</v>
      </c>
      <c r="H56" s="9" t="s">
        <v>44</v>
      </c>
      <c r="I56" s="3">
        <v>20.32</v>
      </c>
      <c r="J56" s="4"/>
      <c r="K56" s="5">
        <f t="shared" ref="K56:K67" si="6">J56*I56</f>
        <v>0</v>
      </c>
      <c r="L56" s="107"/>
    </row>
    <row r="57" spans="2:12" ht="42.75">
      <c r="B57" s="106"/>
      <c r="C57" s="164" t="s">
        <v>138</v>
      </c>
      <c r="D57" s="174" t="s">
        <v>139</v>
      </c>
      <c r="E57" s="9" t="s">
        <v>121</v>
      </c>
      <c r="F57" s="9" t="s">
        <v>79</v>
      </c>
      <c r="G57" s="8" t="s">
        <v>140</v>
      </c>
      <c r="H57" s="9" t="s">
        <v>44</v>
      </c>
      <c r="I57" s="3">
        <v>10</v>
      </c>
      <c r="J57" s="4"/>
      <c r="K57" s="5">
        <f t="shared" si="6"/>
        <v>0</v>
      </c>
      <c r="L57" s="107"/>
    </row>
    <row r="58" spans="2:12" ht="42.75">
      <c r="B58" s="106"/>
      <c r="C58" s="164" t="s">
        <v>141</v>
      </c>
      <c r="D58" s="174" t="s">
        <v>142</v>
      </c>
      <c r="E58" s="9" t="s">
        <v>121</v>
      </c>
      <c r="F58" s="9" t="s">
        <v>79</v>
      </c>
      <c r="G58" s="8" t="s">
        <v>143</v>
      </c>
      <c r="H58" s="9" t="s">
        <v>44</v>
      </c>
      <c r="I58" s="3">
        <v>9.85</v>
      </c>
      <c r="J58" s="4"/>
      <c r="K58" s="5">
        <f t="shared" si="6"/>
        <v>0</v>
      </c>
      <c r="L58" s="107"/>
    </row>
    <row r="59" spans="2:12" ht="42.75">
      <c r="B59" s="106"/>
      <c r="C59" s="164" t="s">
        <v>144</v>
      </c>
      <c r="D59" s="174" t="s">
        <v>145</v>
      </c>
      <c r="E59" s="9" t="s">
        <v>146</v>
      </c>
      <c r="F59" s="9" t="s">
        <v>79</v>
      </c>
      <c r="G59" s="8" t="s">
        <v>147</v>
      </c>
      <c r="H59" s="9" t="s">
        <v>148</v>
      </c>
      <c r="I59" s="3">
        <v>20</v>
      </c>
      <c r="J59" s="4"/>
      <c r="K59" s="5">
        <f t="shared" si="6"/>
        <v>0</v>
      </c>
      <c r="L59" s="107"/>
    </row>
    <row r="60" spans="2:12" ht="42.75">
      <c r="B60" s="106"/>
      <c r="C60" s="164" t="s">
        <v>149</v>
      </c>
      <c r="D60" s="174" t="s">
        <v>150</v>
      </c>
      <c r="E60" s="9" t="s">
        <v>151</v>
      </c>
      <c r="F60" s="9" t="s">
        <v>79</v>
      </c>
      <c r="G60" s="8" t="s">
        <v>152</v>
      </c>
      <c r="H60" s="9" t="s">
        <v>44</v>
      </c>
      <c r="I60" s="3">
        <v>44</v>
      </c>
      <c r="J60" s="4"/>
      <c r="K60" s="5">
        <f t="shared" si="6"/>
        <v>0</v>
      </c>
      <c r="L60" s="107"/>
    </row>
    <row r="61" spans="2:12" ht="42.75">
      <c r="B61" s="106"/>
      <c r="C61" s="164" t="s">
        <v>153</v>
      </c>
      <c r="D61" s="174" t="s">
        <v>154</v>
      </c>
      <c r="E61" s="9" t="s">
        <v>151</v>
      </c>
      <c r="F61" s="9" t="s">
        <v>79</v>
      </c>
      <c r="G61" s="8" t="s">
        <v>155</v>
      </c>
      <c r="H61" s="9" t="s">
        <v>44</v>
      </c>
      <c r="I61" s="3">
        <v>9</v>
      </c>
      <c r="J61" s="4"/>
      <c r="K61" s="5">
        <f t="shared" si="6"/>
        <v>0</v>
      </c>
      <c r="L61" s="107"/>
    </row>
    <row r="62" spans="2:12" ht="42.75">
      <c r="B62" s="106"/>
      <c r="C62" s="164" t="s">
        <v>156</v>
      </c>
      <c r="D62" s="174" t="s">
        <v>157</v>
      </c>
      <c r="E62" s="9" t="s">
        <v>158</v>
      </c>
      <c r="F62" s="9" t="s">
        <v>79</v>
      </c>
      <c r="G62" s="8" t="s">
        <v>159</v>
      </c>
      <c r="H62" s="9" t="s">
        <v>148</v>
      </c>
      <c r="I62" s="3">
        <v>8</v>
      </c>
      <c r="J62" s="4"/>
      <c r="K62" s="5">
        <f t="shared" si="6"/>
        <v>0</v>
      </c>
      <c r="L62" s="107"/>
    </row>
    <row r="63" spans="2:12" ht="42.75">
      <c r="B63" s="106"/>
      <c r="C63" s="164" t="s">
        <v>160</v>
      </c>
      <c r="D63" s="174" t="s">
        <v>161</v>
      </c>
      <c r="E63" s="9" t="s">
        <v>158</v>
      </c>
      <c r="F63" s="9" t="s">
        <v>79</v>
      </c>
      <c r="G63" s="8" t="s">
        <v>162</v>
      </c>
      <c r="H63" s="9" t="s">
        <v>148</v>
      </c>
      <c r="I63" s="3">
        <v>2</v>
      </c>
      <c r="J63" s="4"/>
      <c r="K63" s="5">
        <f t="shared" si="6"/>
        <v>0</v>
      </c>
      <c r="L63" s="107"/>
    </row>
    <row r="64" spans="2:12" ht="42.75">
      <c r="B64" s="106"/>
      <c r="C64" s="164" t="s">
        <v>163</v>
      </c>
      <c r="D64" s="174" t="s">
        <v>164</v>
      </c>
      <c r="E64" s="9" t="s">
        <v>165</v>
      </c>
      <c r="F64" s="9" t="s">
        <v>79</v>
      </c>
      <c r="G64" s="8" t="s">
        <v>166</v>
      </c>
      <c r="H64" s="9" t="s">
        <v>148</v>
      </c>
      <c r="I64" s="3">
        <v>4</v>
      </c>
      <c r="J64" s="4"/>
      <c r="K64" s="5">
        <f t="shared" si="6"/>
        <v>0</v>
      </c>
      <c r="L64" s="107"/>
    </row>
    <row r="65" spans="2:12" ht="42.75">
      <c r="B65" s="106"/>
      <c r="C65" s="164" t="s">
        <v>167</v>
      </c>
      <c r="D65" s="174" t="s">
        <v>168</v>
      </c>
      <c r="E65" s="9" t="s">
        <v>169</v>
      </c>
      <c r="F65" s="9" t="s">
        <v>79</v>
      </c>
      <c r="G65" s="8" t="s">
        <v>170</v>
      </c>
      <c r="H65" s="9" t="s">
        <v>148</v>
      </c>
      <c r="I65" s="3">
        <v>56</v>
      </c>
      <c r="J65" s="4"/>
      <c r="K65" s="5">
        <f t="shared" si="6"/>
        <v>0</v>
      </c>
      <c r="L65" s="107"/>
    </row>
    <row r="66" spans="2:12" ht="42.75">
      <c r="B66" s="106"/>
      <c r="C66" s="164" t="s">
        <v>171</v>
      </c>
      <c r="D66" s="174" t="s">
        <v>172</v>
      </c>
      <c r="E66" s="9" t="s">
        <v>158</v>
      </c>
      <c r="F66" s="9" t="s">
        <v>79</v>
      </c>
      <c r="G66" s="8" t="s">
        <v>173</v>
      </c>
      <c r="H66" s="9" t="s">
        <v>148</v>
      </c>
      <c r="I66" s="3">
        <v>13</v>
      </c>
      <c r="J66" s="4"/>
      <c r="K66" s="5">
        <f t="shared" si="6"/>
        <v>0</v>
      </c>
      <c r="L66" s="107"/>
    </row>
    <row r="67" spans="2:12" ht="42.75">
      <c r="B67" s="106"/>
      <c r="C67" s="164" t="s">
        <v>174</v>
      </c>
      <c r="D67" s="174" t="s">
        <v>175</v>
      </c>
      <c r="E67" s="9" t="s">
        <v>158</v>
      </c>
      <c r="F67" s="9" t="s">
        <v>79</v>
      </c>
      <c r="G67" s="8" t="s">
        <v>176</v>
      </c>
      <c r="H67" s="9" t="s">
        <v>148</v>
      </c>
      <c r="I67" s="3">
        <v>3</v>
      </c>
      <c r="J67" s="4"/>
      <c r="K67" s="5">
        <f t="shared" si="6"/>
        <v>0</v>
      </c>
      <c r="L67" s="107"/>
    </row>
    <row r="68" spans="2:12" ht="15" thickBot="1">
      <c r="B68" s="106"/>
      <c r="C68" s="165" t="s">
        <v>65</v>
      </c>
      <c r="D68" s="176" t="s">
        <v>7</v>
      </c>
      <c r="E68" s="123"/>
      <c r="F68" s="123"/>
      <c r="G68" s="12"/>
      <c r="H68" s="124"/>
      <c r="I68" s="3"/>
      <c r="J68" s="7"/>
      <c r="K68" s="118">
        <f>SUM(K56:K67)</f>
        <v>0</v>
      </c>
      <c r="L68" s="107"/>
    </row>
    <row r="69" spans="2:12" ht="15" thickBot="1">
      <c r="B69" s="106"/>
      <c r="C69" s="163">
        <v>8</v>
      </c>
      <c r="D69" s="170" t="s">
        <v>7</v>
      </c>
      <c r="E69" s="114"/>
      <c r="F69" s="114"/>
      <c r="G69" s="114" t="s">
        <v>177</v>
      </c>
      <c r="H69" s="114"/>
      <c r="I69" s="114"/>
      <c r="J69" s="114"/>
      <c r="K69" s="115"/>
      <c r="L69" s="107"/>
    </row>
    <row r="70" spans="2:12" ht="42.75">
      <c r="B70" s="106"/>
      <c r="C70" s="164" t="s">
        <v>178</v>
      </c>
      <c r="D70" s="174" t="s">
        <v>179</v>
      </c>
      <c r="E70" s="9" t="s">
        <v>180</v>
      </c>
      <c r="F70" s="9" t="s">
        <v>70</v>
      </c>
      <c r="G70" s="8" t="s">
        <v>181</v>
      </c>
      <c r="H70" s="9" t="s">
        <v>20</v>
      </c>
      <c r="I70" s="3">
        <v>8.0500000000000007</v>
      </c>
      <c r="J70" s="4"/>
      <c r="K70" s="5">
        <f t="shared" ref="K70" si="7">J70*I70</f>
        <v>0</v>
      </c>
      <c r="L70" s="107"/>
    </row>
    <row r="71" spans="2:12" ht="15" thickBot="1">
      <c r="B71" s="106"/>
      <c r="C71" s="166" t="s">
        <v>65</v>
      </c>
      <c r="D71" s="175" t="s">
        <v>7</v>
      </c>
      <c r="E71" s="121"/>
      <c r="F71" s="121"/>
      <c r="G71" s="10"/>
      <c r="H71" s="121"/>
      <c r="I71" s="3"/>
      <c r="J71" s="11"/>
      <c r="K71" s="122">
        <f>SUM(K70)</f>
        <v>0</v>
      </c>
      <c r="L71" s="107"/>
    </row>
    <row r="72" spans="2:12" ht="15" thickBot="1">
      <c r="B72" s="106"/>
      <c r="C72" s="163">
        <v>9</v>
      </c>
      <c r="D72" s="170" t="s">
        <v>7</v>
      </c>
      <c r="E72" s="114"/>
      <c r="F72" s="114"/>
      <c r="G72" s="114" t="s">
        <v>182</v>
      </c>
      <c r="H72" s="114"/>
      <c r="I72" s="114"/>
      <c r="J72" s="114"/>
      <c r="K72" s="115"/>
      <c r="L72" s="107"/>
    </row>
    <row r="73" spans="2:12" ht="42.75">
      <c r="B73" s="106"/>
      <c r="C73" s="164" t="s">
        <v>183</v>
      </c>
      <c r="D73" s="174" t="s">
        <v>184</v>
      </c>
      <c r="E73" s="9" t="s">
        <v>88</v>
      </c>
      <c r="F73" s="9" t="s">
        <v>70</v>
      </c>
      <c r="G73" s="8" t="s">
        <v>185</v>
      </c>
      <c r="H73" s="9" t="s">
        <v>20</v>
      </c>
      <c r="I73" s="3">
        <v>21.8</v>
      </c>
      <c r="J73" s="4"/>
      <c r="K73" s="5">
        <f t="shared" ref="K73" si="8">J73*I73</f>
        <v>0</v>
      </c>
      <c r="L73" s="107"/>
    </row>
    <row r="74" spans="2:12" ht="15" thickBot="1">
      <c r="B74" s="106"/>
      <c r="C74" s="166" t="s">
        <v>65</v>
      </c>
      <c r="D74" s="175" t="s">
        <v>7</v>
      </c>
      <c r="E74" s="121"/>
      <c r="F74" s="121"/>
      <c r="G74" s="10"/>
      <c r="H74" s="121"/>
      <c r="I74" s="3"/>
      <c r="J74" s="11"/>
      <c r="K74" s="122">
        <f>SUM(K73)</f>
        <v>0</v>
      </c>
      <c r="L74" s="107"/>
    </row>
    <row r="75" spans="2:12" ht="15" thickBot="1">
      <c r="B75" s="106"/>
      <c r="C75" s="163">
        <v>10</v>
      </c>
      <c r="D75" s="170" t="s">
        <v>7</v>
      </c>
      <c r="E75" s="114"/>
      <c r="F75" s="114"/>
      <c r="G75" s="114" t="s">
        <v>186</v>
      </c>
      <c r="H75" s="114"/>
      <c r="I75" s="114"/>
      <c r="J75" s="114"/>
      <c r="K75" s="115"/>
      <c r="L75" s="107"/>
    </row>
    <row r="76" spans="2:12" ht="42.75">
      <c r="B76" s="106"/>
      <c r="C76" s="164" t="s">
        <v>187</v>
      </c>
      <c r="D76" s="174" t="s">
        <v>188</v>
      </c>
      <c r="E76" s="9" t="s">
        <v>189</v>
      </c>
      <c r="F76" s="9" t="s">
        <v>190</v>
      </c>
      <c r="G76" s="8" t="s">
        <v>191</v>
      </c>
      <c r="H76" s="9" t="s">
        <v>44</v>
      </c>
      <c r="I76" s="3">
        <v>30</v>
      </c>
      <c r="J76" s="4"/>
      <c r="K76" s="5">
        <f t="shared" ref="K76:K81" si="9">J76*I76</f>
        <v>0</v>
      </c>
      <c r="L76" s="107"/>
    </row>
    <row r="77" spans="2:12" ht="42.75">
      <c r="B77" s="106"/>
      <c r="C77" s="164" t="s">
        <v>192</v>
      </c>
      <c r="D77" s="174" t="s">
        <v>193</v>
      </c>
      <c r="E77" s="9" t="s">
        <v>189</v>
      </c>
      <c r="F77" s="9" t="s">
        <v>79</v>
      </c>
      <c r="G77" s="8" t="s">
        <v>194</v>
      </c>
      <c r="H77" s="9" t="s">
        <v>44</v>
      </c>
      <c r="I77" s="3">
        <v>30</v>
      </c>
      <c r="J77" s="4"/>
      <c r="K77" s="5">
        <f t="shared" si="9"/>
        <v>0</v>
      </c>
      <c r="L77" s="107"/>
    </row>
    <row r="78" spans="2:12" ht="42.75">
      <c r="B78" s="106"/>
      <c r="C78" s="164" t="s">
        <v>195</v>
      </c>
      <c r="D78" s="174" t="s">
        <v>196</v>
      </c>
      <c r="E78" s="9" t="s">
        <v>189</v>
      </c>
      <c r="F78" s="9" t="s">
        <v>190</v>
      </c>
      <c r="G78" s="8" t="s">
        <v>197</v>
      </c>
      <c r="H78" s="9" t="s">
        <v>148</v>
      </c>
      <c r="I78" s="3">
        <v>1</v>
      </c>
      <c r="J78" s="4"/>
      <c r="K78" s="5">
        <f t="shared" si="9"/>
        <v>0</v>
      </c>
      <c r="L78" s="107"/>
    </row>
    <row r="79" spans="2:12" ht="42.75">
      <c r="B79" s="106"/>
      <c r="C79" s="164" t="s">
        <v>198</v>
      </c>
      <c r="D79" s="174" t="s">
        <v>199</v>
      </c>
      <c r="E79" s="9" t="s">
        <v>189</v>
      </c>
      <c r="F79" s="9" t="s">
        <v>190</v>
      </c>
      <c r="G79" s="8" t="s">
        <v>200</v>
      </c>
      <c r="H79" s="9" t="s">
        <v>148</v>
      </c>
      <c r="I79" s="3">
        <v>4</v>
      </c>
      <c r="J79" s="4"/>
      <c r="K79" s="5">
        <f t="shared" si="9"/>
        <v>0</v>
      </c>
      <c r="L79" s="107"/>
    </row>
    <row r="80" spans="2:12" ht="42.75">
      <c r="B80" s="106"/>
      <c r="C80" s="164" t="s">
        <v>201</v>
      </c>
      <c r="D80" s="174" t="s">
        <v>202</v>
      </c>
      <c r="E80" s="9" t="s">
        <v>203</v>
      </c>
      <c r="F80" s="9" t="s">
        <v>190</v>
      </c>
      <c r="G80" s="8" t="s">
        <v>204</v>
      </c>
      <c r="H80" s="9" t="s">
        <v>148</v>
      </c>
      <c r="I80" s="3">
        <v>2</v>
      </c>
      <c r="J80" s="4"/>
      <c r="K80" s="5">
        <f t="shared" si="9"/>
        <v>0</v>
      </c>
      <c r="L80" s="107"/>
    </row>
    <row r="81" spans="2:12" ht="42.75">
      <c r="B81" s="106"/>
      <c r="C81" s="164" t="s">
        <v>205</v>
      </c>
      <c r="D81" s="174" t="s">
        <v>206</v>
      </c>
      <c r="E81" s="9" t="s">
        <v>189</v>
      </c>
      <c r="F81" s="9" t="s">
        <v>190</v>
      </c>
      <c r="G81" s="8" t="s">
        <v>207</v>
      </c>
      <c r="H81" s="9" t="s">
        <v>148</v>
      </c>
      <c r="I81" s="3">
        <v>3</v>
      </c>
      <c r="J81" s="4"/>
      <c r="K81" s="5">
        <f t="shared" si="9"/>
        <v>0</v>
      </c>
      <c r="L81" s="107"/>
    </row>
    <row r="82" spans="2:12" ht="15" thickBot="1">
      <c r="B82" s="106"/>
      <c r="C82" s="165" t="s">
        <v>65</v>
      </c>
      <c r="D82" s="176" t="s">
        <v>7</v>
      </c>
      <c r="E82" s="123"/>
      <c r="F82" s="123"/>
      <c r="G82" s="12"/>
      <c r="H82" s="124"/>
      <c r="I82" s="3"/>
      <c r="J82" s="7"/>
      <c r="K82" s="118">
        <f>SUM(K76:K81)</f>
        <v>0</v>
      </c>
      <c r="L82" s="107"/>
    </row>
    <row r="83" spans="2:12" s="128" customFormat="1" ht="15" thickBot="1">
      <c r="B83" s="125"/>
      <c r="C83" s="226" t="s">
        <v>208</v>
      </c>
      <c r="D83" s="227"/>
      <c r="E83" s="228"/>
      <c r="F83" s="228"/>
      <c r="G83" s="228"/>
      <c r="H83" s="228"/>
      <c r="I83" s="228"/>
      <c r="J83" s="229"/>
      <c r="K83" s="126">
        <f>ROUND(K28+K32+K35+K40+K45+K54+K68+K71+K74+K82,0)</f>
        <v>0</v>
      </c>
      <c r="L83" s="127"/>
    </row>
    <row r="84" spans="2:12" ht="29.25" thickBot="1">
      <c r="B84" s="106"/>
      <c r="C84" s="162" t="s">
        <v>7</v>
      </c>
      <c r="D84" s="169" t="s">
        <v>7</v>
      </c>
      <c r="E84" s="112"/>
      <c r="F84" s="112"/>
      <c r="G84" s="112" t="s">
        <v>209</v>
      </c>
      <c r="H84" s="112"/>
      <c r="I84" s="112"/>
      <c r="J84" s="112"/>
      <c r="K84" s="113"/>
      <c r="L84" s="107"/>
    </row>
    <row r="85" spans="2:12" ht="15" thickBot="1">
      <c r="B85" s="106"/>
      <c r="C85" s="163">
        <v>1</v>
      </c>
      <c r="D85" s="170" t="s">
        <v>7</v>
      </c>
      <c r="E85" s="114"/>
      <c r="F85" s="114"/>
      <c r="G85" s="114" t="s">
        <v>14</v>
      </c>
      <c r="H85" s="114"/>
      <c r="I85" s="114"/>
      <c r="J85" s="114"/>
      <c r="K85" s="115"/>
      <c r="L85" s="107"/>
    </row>
    <row r="86" spans="2:12" ht="28.5">
      <c r="B86" s="106"/>
      <c r="C86" s="164" t="s">
        <v>15</v>
      </c>
      <c r="D86" s="171" t="s">
        <v>210</v>
      </c>
      <c r="E86" s="116" t="s">
        <v>17</v>
      </c>
      <c r="F86" s="116" t="s">
        <v>211</v>
      </c>
      <c r="G86" s="2" t="s">
        <v>19</v>
      </c>
      <c r="H86" s="116" t="s">
        <v>20</v>
      </c>
      <c r="I86" s="3">
        <v>33.049999999999997</v>
      </c>
      <c r="J86" s="4"/>
      <c r="K86" s="5">
        <f>J86*I86</f>
        <v>0</v>
      </c>
      <c r="L86" s="107"/>
    </row>
    <row r="87" spans="2:12" ht="42.75">
      <c r="B87" s="106"/>
      <c r="C87" s="164" t="s">
        <v>21</v>
      </c>
      <c r="D87" s="171" t="s">
        <v>212</v>
      </c>
      <c r="E87" s="116" t="s">
        <v>23</v>
      </c>
      <c r="F87" s="116" t="s">
        <v>211</v>
      </c>
      <c r="G87" s="2" t="s">
        <v>24</v>
      </c>
      <c r="H87" s="116" t="s">
        <v>20</v>
      </c>
      <c r="I87" s="3">
        <v>15.56</v>
      </c>
      <c r="J87" s="4"/>
      <c r="K87" s="5">
        <f t="shared" ref="K87:K99" si="10">J87*I87</f>
        <v>0</v>
      </c>
      <c r="L87" s="107"/>
    </row>
    <row r="88" spans="2:12" ht="42.75">
      <c r="B88" s="106"/>
      <c r="C88" s="164" t="s">
        <v>25</v>
      </c>
      <c r="D88" s="171" t="s">
        <v>213</v>
      </c>
      <c r="E88" s="116" t="s">
        <v>23</v>
      </c>
      <c r="F88" s="116" t="s">
        <v>211</v>
      </c>
      <c r="G88" s="2" t="s">
        <v>30</v>
      </c>
      <c r="H88" s="116" t="s">
        <v>31</v>
      </c>
      <c r="I88" s="3">
        <v>18.322500000000002</v>
      </c>
      <c r="J88" s="4"/>
      <c r="K88" s="5">
        <f t="shared" si="10"/>
        <v>0</v>
      </c>
      <c r="L88" s="107"/>
    </row>
    <row r="89" spans="2:12" ht="42.75">
      <c r="B89" s="106"/>
      <c r="C89" s="164" t="s">
        <v>28</v>
      </c>
      <c r="D89" s="171" t="s">
        <v>214</v>
      </c>
      <c r="E89" s="116" t="s">
        <v>23</v>
      </c>
      <c r="F89" s="116" t="s">
        <v>211</v>
      </c>
      <c r="G89" s="2" t="s">
        <v>34</v>
      </c>
      <c r="H89" s="116" t="s">
        <v>20</v>
      </c>
      <c r="I89" s="3">
        <v>45.515000000000001</v>
      </c>
      <c r="J89" s="4"/>
      <c r="K89" s="5">
        <f t="shared" si="10"/>
        <v>0</v>
      </c>
      <c r="L89" s="107"/>
    </row>
    <row r="90" spans="2:12" ht="42.75">
      <c r="B90" s="106"/>
      <c r="C90" s="164" t="s">
        <v>32</v>
      </c>
      <c r="D90" s="171" t="s">
        <v>215</v>
      </c>
      <c r="E90" s="116" t="s">
        <v>37</v>
      </c>
      <c r="F90" s="116" t="s">
        <v>211</v>
      </c>
      <c r="G90" s="2" t="s">
        <v>38</v>
      </c>
      <c r="H90" s="116" t="s">
        <v>39</v>
      </c>
      <c r="I90" s="3">
        <v>100</v>
      </c>
      <c r="J90" s="4"/>
      <c r="K90" s="5">
        <f t="shared" si="10"/>
        <v>0</v>
      </c>
      <c r="L90" s="107"/>
    </row>
    <row r="91" spans="2:12" ht="28.5">
      <c r="B91" s="106"/>
      <c r="C91" s="164" t="s">
        <v>35</v>
      </c>
      <c r="D91" s="171" t="s">
        <v>216</v>
      </c>
      <c r="E91" s="116" t="s">
        <v>42</v>
      </c>
      <c r="F91" s="116" t="s">
        <v>211</v>
      </c>
      <c r="G91" s="2" t="s">
        <v>43</v>
      </c>
      <c r="H91" s="116" t="s">
        <v>44</v>
      </c>
      <c r="I91" s="3">
        <v>16.799999999999997</v>
      </c>
      <c r="J91" s="4"/>
      <c r="K91" s="5">
        <f t="shared" si="10"/>
        <v>0</v>
      </c>
      <c r="L91" s="107"/>
    </row>
    <row r="92" spans="2:12" ht="28.5">
      <c r="B92" s="106"/>
      <c r="C92" s="164" t="s">
        <v>40</v>
      </c>
      <c r="D92" s="171" t="s">
        <v>217</v>
      </c>
      <c r="E92" s="116" t="s">
        <v>47</v>
      </c>
      <c r="F92" s="116" t="s">
        <v>211</v>
      </c>
      <c r="G92" s="2" t="s">
        <v>48</v>
      </c>
      <c r="H92" s="116" t="s">
        <v>44</v>
      </c>
      <c r="I92" s="3">
        <v>100</v>
      </c>
      <c r="J92" s="4"/>
      <c r="K92" s="5">
        <f t="shared" si="10"/>
        <v>0</v>
      </c>
      <c r="L92" s="107"/>
    </row>
    <row r="93" spans="2:12" ht="42.75">
      <c r="B93" s="106"/>
      <c r="C93" s="164" t="s">
        <v>45</v>
      </c>
      <c r="D93" s="171" t="s">
        <v>218</v>
      </c>
      <c r="E93" s="116" t="s">
        <v>23</v>
      </c>
      <c r="F93" s="116" t="s">
        <v>211</v>
      </c>
      <c r="G93" s="2" t="s">
        <v>219</v>
      </c>
      <c r="H93" s="116" t="s">
        <v>44</v>
      </c>
      <c r="I93" s="3">
        <v>17.43</v>
      </c>
      <c r="J93" s="4"/>
      <c r="K93" s="5">
        <f t="shared" si="10"/>
        <v>0</v>
      </c>
      <c r="L93" s="107"/>
    </row>
    <row r="94" spans="2:12" ht="42.75">
      <c r="B94" s="106"/>
      <c r="C94" s="164" t="s">
        <v>49</v>
      </c>
      <c r="D94" s="171" t="s">
        <v>220</v>
      </c>
      <c r="E94" s="116" t="s">
        <v>23</v>
      </c>
      <c r="F94" s="116" t="s">
        <v>211</v>
      </c>
      <c r="G94" s="2" t="s">
        <v>221</v>
      </c>
      <c r="H94" s="116" t="s">
        <v>44</v>
      </c>
      <c r="I94" s="3">
        <v>18.47</v>
      </c>
      <c r="J94" s="4"/>
      <c r="K94" s="5">
        <f t="shared" si="10"/>
        <v>0</v>
      </c>
      <c r="L94" s="107"/>
    </row>
    <row r="95" spans="2:12" ht="42.75">
      <c r="B95" s="106"/>
      <c r="C95" s="164" t="s">
        <v>52</v>
      </c>
      <c r="D95" s="171" t="s">
        <v>222</v>
      </c>
      <c r="E95" s="116" t="s">
        <v>23</v>
      </c>
      <c r="F95" s="116" t="s">
        <v>211</v>
      </c>
      <c r="G95" s="2" t="s">
        <v>54</v>
      </c>
      <c r="H95" s="116" t="s">
        <v>20</v>
      </c>
      <c r="I95" s="3">
        <v>33.049999999999997</v>
      </c>
      <c r="J95" s="4"/>
      <c r="K95" s="5">
        <f t="shared" si="10"/>
        <v>0</v>
      </c>
      <c r="L95" s="107"/>
    </row>
    <row r="96" spans="2:12" ht="42.75">
      <c r="B96" s="106"/>
      <c r="C96" s="164" t="s">
        <v>55</v>
      </c>
      <c r="D96" s="171" t="s">
        <v>223</v>
      </c>
      <c r="E96" s="116" t="s">
        <v>23</v>
      </c>
      <c r="F96" s="116" t="s">
        <v>211</v>
      </c>
      <c r="G96" s="2" t="s">
        <v>224</v>
      </c>
      <c r="H96" s="116" t="s">
        <v>20</v>
      </c>
      <c r="I96" s="3">
        <v>4.4000000000000004</v>
      </c>
      <c r="J96" s="4"/>
      <c r="K96" s="5">
        <f t="shared" si="10"/>
        <v>0</v>
      </c>
      <c r="L96" s="107"/>
    </row>
    <row r="97" spans="2:12" ht="42.75">
      <c r="B97" s="106"/>
      <c r="C97" s="164" t="s">
        <v>58</v>
      </c>
      <c r="D97" s="171" t="s">
        <v>225</v>
      </c>
      <c r="E97" s="116" t="s">
        <v>23</v>
      </c>
      <c r="F97" s="116" t="s">
        <v>211</v>
      </c>
      <c r="G97" s="2" t="s">
        <v>60</v>
      </c>
      <c r="H97" s="116" t="s">
        <v>61</v>
      </c>
      <c r="I97" s="3">
        <v>6</v>
      </c>
      <c r="J97" s="4"/>
      <c r="K97" s="5">
        <f t="shared" si="10"/>
        <v>0</v>
      </c>
      <c r="L97" s="107"/>
    </row>
    <row r="98" spans="2:12" ht="42.75">
      <c r="B98" s="106"/>
      <c r="C98" s="164" t="s">
        <v>62</v>
      </c>
      <c r="D98" s="171" t="s">
        <v>226</v>
      </c>
      <c r="E98" s="116" t="s">
        <v>23</v>
      </c>
      <c r="F98" s="116" t="s">
        <v>211</v>
      </c>
      <c r="G98" s="2" t="s">
        <v>227</v>
      </c>
      <c r="H98" s="116" t="s">
        <v>61</v>
      </c>
      <c r="I98" s="3">
        <v>6</v>
      </c>
      <c r="J98" s="4"/>
      <c r="K98" s="5">
        <f t="shared" si="10"/>
        <v>0</v>
      </c>
      <c r="L98" s="107"/>
    </row>
    <row r="99" spans="2:12" ht="42.75">
      <c r="B99" s="106"/>
      <c r="C99" s="164" t="s">
        <v>228</v>
      </c>
      <c r="D99" s="171" t="s">
        <v>229</v>
      </c>
      <c r="E99" s="116" t="s">
        <v>23</v>
      </c>
      <c r="F99" s="116" t="s">
        <v>211</v>
      </c>
      <c r="G99" s="2" t="s">
        <v>64</v>
      </c>
      <c r="H99" s="116" t="s">
        <v>31</v>
      </c>
      <c r="I99" s="3">
        <v>14</v>
      </c>
      <c r="J99" s="4"/>
      <c r="K99" s="5">
        <f t="shared" si="10"/>
        <v>0</v>
      </c>
      <c r="L99" s="107"/>
    </row>
    <row r="100" spans="2:12" ht="15" thickBot="1">
      <c r="B100" s="106"/>
      <c r="C100" s="165" t="s">
        <v>65</v>
      </c>
      <c r="D100" s="172" t="s">
        <v>7</v>
      </c>
      <c r="E100" s="117"/>
      <c r="F100" s="117"/>
      <c r="G100" s="6"/>
      <c r="H100" s="117"/>
      <c r="I100" s="3"/>
      <c r="J100" s="7"/>
      <c r="K100" s="118">
        <f>SUM(K86:K99)</f>
        <v>0</v>
      </c>
      <c r="L100" s="107"/>
    </row>
    <row r="101" spans="2:12" ht="15" thickBot="1">
      <c r="B101" s="106"/>
      <c r="C101" s="163">
        <v>2</v>
      </c>
      <c r="D101" s="170" t="s">
        <v>7</v>
      </c>
      <c r="E101" s="114"/>
      <c r="F101" s="114"/>
      <c r="G101" s="114" t="s">
        <v>66</v>
      </c>
      <c r="H101" s="114"/>
      <c r="I101" s="114"/>
      <c r="J101" s="114"/>
      <c r="K101" s="115"/>
      <c r="L101" s="107"/>
    </row>
    <row r="102" spans="2:12" ht="57">
      <c r="B102" s="106"/>
      <c r="C102" s="164" t="s">
        <v>67</v>
      </c>
      <c r="D102" s="171" t="s">
        <v>230</v>
      </c>
      <c r="E102" s="116" t="s">
        <v>69</v>
      </c>
      <c r="F102" s="116" t="s">
        <v>231</v>
      </c>
      <c r="G102" s="2" t="s">
        <v>481</v>
      </c>
      <c r="H102" s="116" t="s">
        <v>71</v>
      </c>
      <c r="I102" s="3">
        <v>42.055200000000006</v>
      </c>
      <c r="J102" s="4"/>
      <c r="K102" s="5">
        <f t="shared" ref="K102:K106" si="11">J102*I102</f>
        <v>0</v>
      </c>
      <c r="L102" s="107"/>
    </row>
    <row r="103" spans="2:12" ht="57">
      <c r="B103" s="106"/>
      <c r="C103" s="164" t="s">
        <v>72</v>
      </c>
      <c r="D103" s="171" t="s">
        <v>232</v>
      </c>
      <c r="E103" s="116" t="s">
        <v>74</v>
      </c>
      <c r="F103" s="116" t="s">
        <v>231</v>
      </c>
      <c r="G103" s="2" t="s">
        <v>233</v>
      </c>
      <c r="H103" s="116" t="s">
        <v>20</v>
      </c>
      <c r="I103" s="3">
        <v>4.16</v>
      </c>
      <c r="J103" s="4"/>
      <c r="K103" s="5">
        <f t="shared" si="11"/>
        <v>0</v>
      </c>
      <c r="L103" s="107"/>
    </row>
    <row r="104" spans="2:12" ht="57">
      <c r="B104" s="106"/>
      <c r="C104" s="164" t="s">
        <v>234</v>
      </c>
      <c r="D104" s="171" t="s">
        <v>235</v>
      </c>
      <c r="E104" s="116" t="s">
        <v>74</v>
      </c>
      <c r="F104" s="116" t="s">
        <v>231</v>
      </c>
      <c r="G104" s="2" t="s">
        <v>236</v>
      </c>
      <c r="H104" s="116" t="s">
        <v>20</v>
      </c>
      <c r="I104" s="3">
        <v>11.4</v>
      </c>
      <c r="J104" s="4"/>
      <c r="K104" s="5">
        <f t="shared" si="11"/>
        <v>0</v>
      </c>
      <c r="L104" s="107"/>
    </row>
    <row r="105" spans="2:12" ht="57">
      <c r="B105" s="106"/>
      <c r="C105" s="164" t="s">
        <v>237</v>
      </c>
      <c r="D105" s="171" t="s">
        <v>238</v>
      </c>
      <c r="E105" s="116" t="s">
        <v>74</v>
      </c>
      <c r="F105" s="116" t="s">
        <v>231</v>
      </c>
      <c r="G105" s="2" t="s">
        <v>239</v>
      </c>
      <c r="H105" s="116" t="s">
        <v>44</v>
      </c>
      <c r="I105" s="3">
        <v>3.15</v>
      </c>
      <c r="J105" s="4"/>
      <c r="K105" s="5">
        <f t="shared" si="11"/>
        <v>0</v>
      </c>
      <c r="L105" s="107"/>
    </row>
    <row r="106" spans="2:12" ht="57">
      <c r="B106" s="106"/>
      <c r="C106" s="164" t="s">
        <v>240</v>
      </c>
      <c r="D106" s="171" t="s">
        <v>241</v>
      </c>
      <c r="E106" s="116" t="s">
        <v>128</v>
      </c>
      <c r="F106" s="116" t="s">
        <v>231</v>
      </c>
      <c r="G106" s="2" t="s">
        <v>242</v>
      </c>
      <c r="H106" s="116" t="s">
        <v>148</v>
      </c>
      <c r="I106" s="3">
        <v>20</v>
      </c>
      <c r="J106" s="4"/>
      <c r="K106" s="5">
        <f t="shared" si="11"/>
        <v>0</v>
      </c>
      <c r="L106" s="107"/>
    </row>
    <row r="107" spans="2:12" ht="15" thickBot="1">
      <c r="B107" s="106"/>
      <c r="C107" s="165" t="s">
        <v>65</v>
      </c>
      <c r="D107" s="173" t="s">
        <v>7</v>
      </c>
      <c r="E107" s="120"/>
      <c r="F107" s="119"/>
      <c r="G107" s="119"/>
      <c r="H107" s="119"/>
      <c r="I107" s="3"/>
      <c r="J107" s="119"/>
      <c r="K107" s="118">
        <f>SUM(K102:K106)</f>
        <v>0</v>
      </c>
      <c r="L107" s="107"/>
    </row>
    <row r="108" spans="2:12" ht="15" thickBot="1">
      <c r="B108" s="106"/>
      <c r="C108" s="163">
        <v>3</v>
      </c>
      <c r="D108" s="170" t="s">
        <v>7</v>
      </c>
      <c r="E108" s="114"/>
      <c r="F108" s="114"/>
      <c r="G108" s="114" t="s">
        <v>243</v>
      </c>
      <c r="H108" s="114"/>
      <c r="I108" s="114"/>
      <c r="J108" s="114"/>
      <c r="K108" s="115"/>
      <c r="L108" s="107"/>
    </row>
    <row r="109" spans="2:12" ht="42.75">
      <c r="B109" s="106"/>
      <c r="C109" s="164" t="s">
        <v>77</v>
      </c>
      <c r="D109" s="174" t="s">
        <v>244</v>
      </c>
      <c r="E109" s="9" t="s">
        <v>42</v>
      </c>
      <c r="F109" s="9" t="s">
        <v>245</v>
      </c>
      <c r="G109" s="8" t="s">
        <v>246</v>
      </c>
      <c r="H109" s="9" t="s">
        <v>20</v>
      </c>
      <c r="I109" s="3">
        <v>30.175000000000001</v>
      </c>
      <c r="J109" s="4"/>
      <c r="K109" s="5">
        <f t="shared" ref="K109:K113" si="12">J109*I109</f>
        <v>0</v>
      </c>
      <c r="L109" s="107"/>
    </row>
    <row r="110" spans="2:12" ht="42.75">
      <c r="B110" s="106"/>
      <c r="C110" s="164" t="s">
        <v>247</v>
      </c>
      <c r="D110" s="174" t="s">
        <v>248</v>
      </c>
      <c r="E110" s="9" t="s">
        <v>42</v>
      </c>
      <c r="F110" s="9" t="s">
        <v>249</v>
      </c>
      <c r="G110" s="8" t="s">
        <v>250</v>
      </c>
      <c r="H110" s="9" t="s">
        <v>44</v>
      </c>
      <c r="I110" s="3">
        <v>16.799999999999997</v>
      </c>
      <c r="J110" s="4"/>
      <c r="K110" s="5">
        <f t="shared" si="12"/>
        <v>0</v>
      </c>
      <c r="L110" s="107"/>
    </row>
    <row r="111" spans="2:12" ht="42.75">
      <c r="B111" s="106"/>
      <c r="C111" s="164" t="s">
        <v>251</v>
      </c>
      <c r="D111" s="174" t="s">
        <v>252</v>
      </c>
      <c r="E111" s="9" t="s">
        <v>42</v>
      </c>
      <c r="F111" s="9" t="s">
        <v>245</v>
      </c>
      <c r="G111" s="8" t="s">
        <v>253</v>
      </c>
      <c r="H111" s="9" t="s">
        <v>44</v>
      </c>
      <c r="I111" s="3">
        <v>10</v>
      </c>
      <c r="J111" s="4"/>
      <c r="K111" s="5">
        <f t="shared" si="12"/>
        <v>0</v>
      </c>
      <c r="L111" s="107"/>
    </row>
    <row r="112" spans="2:12" ht="57">
      <c r="B112" s="106"/>
      <c r="C112" s="164" t="s">
        <v>254</v>
      </c>
      <c r="D112" s="174" t="s">
        <v>255</v>
      </c>
      <c r="E112" s="9" t="s">
        <v>256</v>
      </c>
      <c r="F112" s="9" t="s">
        <v>231</v>
      </c>
      <c r="G112" s="8" t="s">
        <v>257</v>
      </c>
      <c r="H112" s="9" t="s">
        <v>20</v>
      </c>
      <c r="I112" s="3">
        <v>3.33</v>
      </c>
      <c r="J112" s="4"/>
      <c r="K112" s="5">
        <f t="shared" si="12"/>
        <v>0</v>
      </c>
      <c r="L112" s="107"/>
    </row>
    <row r="113" spans="2:12" ht="42.75">
      <c r="B113" s="106"/>
      <c r="C113" s="164" t="s">
        <v>258</v>
      </c>
      <c r="D113" s="174" t="s">
        <v>259</v>
      </c>
      <c r="E113" s="9" t="s">
        <v>260</v>
      </c>
      <c r="F113" s="9" t="s">
        <v>249</v>
      </c>
      <c r="G113" s="8" t="s">
        <v>261</v>
      </c>
      <c r="H113" s="9" t="s">
        <v>44</v>
      </c>
      <c r="I113" s="3">
        <v>3.17</v>
      </c>
      <c r="J113" s="4"/>
      <c r="K113" s="5">
        <f t="shared" si="12"/>
        <v>0</v>
      </c>
      <c r="L113" s="107"/>
    </row>
    <row r="114" spans="2:12" ht="15" thickBot="1">
      <c r="B114" s="106"/>
      <c r="C114" s="166" t="s">
        <v>65</v>
      </c>
      <c r="D114" s="175" t="s">
        <v>7</v>
      </c>
      <c r="E114" s="121"/>
      <c r="F114" s="121"/>
      <c r="G114" s="10"/>
      <c r="H114" s="121"/>
      <c r="I114" s="3"/>
      <c r="J114" s="11"/>
      <c r="K114" s="122">
        <f>SUM(K109:K113)</f>
        <v>0</v>
      </c>
      <c r="L114" s="107"/>
    </row>
    <row r="115" spans="2:12" ht="15" thickBot="1">
      <c r="B115" s="106"/>
      <c r="C115" s="163">
        <v>4</v>
      </c>
      <c r="D115" s="170" t="s">
        <v>7</v>
      </c>
      <c r="E115" s="114"/>
      <c r="F115" s="114"/>
      <c r="G115" s="114" t="s">
        <v>81</v>
      </c>
      <c r="H115" s="114"/>
      <c r="I115" s="114"/>
      <c r="J115" s="114"/>
      <c r="K115" s="115"/>
      <c r="L115" s="107"/>
    </row>
    <row r="116" spans="2:12" ht="42.75">
      <c r="B116" s="106"/>
      <c r="C116" s="164" t="s">
        <v>82</v>
      </c>
      <c r="D116" s="174" t="s">
        <v>262</v>
      </c>
      <c r="E116" s="9" t="s">
        <v>88</v>
      </c>
      <c r="F116" s="9" t="s">
        <v>245</v>
      </c>
      <c r="G116" s="8" t="s">
        <v>263</v>
      </c>
      <c r="H116" s="9" t="s">
        <v>20</v>
      </c>
      <c r="I116" s="3">
        <v>45.515000000000001</v>
      </c>
      <c r="J116" s="4"/>
      <c r="K116" s="5">
        <f t="shared" ref="K116:K118" si="13">J116*I116</f>
        <v>0</v>
      </c>
      <c r="L116" s="107"/>
    </row>
    <row r="117" spans="2:12" ht="42.75">
      <c r="B117" s="106"/>
      <c r="C117" s="164" t="s">
        <v>86</v>
      </c>
      <c r="D117" s="174" t="s">
        <v>264</v>
      </c>
      <c r="E117" s="9" t="s">
        <v>88</v>
      </c>
      <c r="F117" s="9" t="s">
        <v>245</v>
      </c>
      <c r="G117" s="8" t="s">
        <v>89</v>
      </c>
      <c r="H117" s="9" t="s">
        <v>44</v>
      </c>
      <c r="I117" s="3">
        <v>10</v>
      </c>
      <c r="J117" s="4"/>
      <c r="K117" s="5">
        <f t="shared" si="13"/>
        <v>0</v>
      </c>
      <c r="L117" s="107"/>
    </row>
    <row r="118" spans="2:12" ht="42.75">
      <c r="B118" s="106"/>
      <c r="C118" s="164" t="s">
        <v>90</v>
      </c>
      <c r="D118" s="174" t="s">
        <v>265</v>
      </c>
      <c r="E118" s="9" t="s">
        <v>132</v>
      </c>
      <c r="F118" s="9" t="s">
        <v>249</v>
      </c>
      <c r="G118" s="8" t="s">
        <v>266</v>
      </c>
      <c r="H118" s="9" t="s">
        <v>148</v>
      </c>
      <c r="I118" s="3">
        <v>1</v>
      </c>
      <c r="J118" s="4"/>
      <c r="K118" s="5">
        <f t="shared" si="13"/>
        <v>0</v>
      </c>
      <c r="L118" s="107"/>
    </row>
    <row r="119" spans="2:12" ht="15" thickBot="1">
      <c r="B119" s="106"/>
      <c r="C119" s="165" t="s">
        <v>65</v>
      </c>
      <c r="D119" s="176" t="s">
        <v>7</v>
      </c>
      <c r="E119" s="123"/>
      <c r="F119" s="123"/>
      <c r="G119" s="12"/>
      <c r="H119" s="124"/>
      <c r="I119" s="3"/>
      <c r="J119" s="7"/>
      <c r="K119" s="118">
        <f>SUM(K116:K118)</f>
        <v>0</v>
      </c>
      <c r="L119" s="107"/>
    </row>
    <row r="120" spans="2:12" ht="15" thickBot="1">
      <c r="B120" s="106"/>
      <c r="C120" s="163">
        <v>5</v>
      </c>
      <c r="D120" s="170" t="s">
        <v>7</v>
      </c>
      <c r="E120" s="114"/>
      <c r="F120" s="114"/>
      <c r="G120" s="114" t="s">
        <v>93</v>
      </c>
      <c r="H120" s="114"/>
      <c r="I120" s="114"/>
      <c r="J120" s="114"/>
      <c r="K120" s="115"/>
      <c r="L120" s="107"/>
    </row>
    <row r="121" spans="2:12" ht="42.75">
      <c r="B121" s="106"/>
      <c r="C121" s="164" t="s">
        <v>94</v>
      </c>
      <c r="D121" s="174" t="s">
        <v>267</v>
      </c>
      <c r="E121" s="9" t="s">
        <v>42</v>
      </c>
      <c r="F121" s="9" t="s">
        <v>245</v>
      </c>
      <c r="G121" s="8" t="s">
        <v>96</v>
      </c>
      <c r="H121" s="9" t="s">
        <v>20</v>
      </c>
      <c r="I121" s="3">
        <v>31.860499999999998</v>
      </c>
      <c r="J121" s="4"/>
      <c r="K121" s="5">
        <f t="shared" ref="K121" si="14">J121*I121</f>
        <v>0</v>
      </c>
      <c r="L121" s="107"/>
    </row>
    <row r="122" spans="2:12" ht="15" thickBot="1">
      <c r="B122" s="106"/>
      <c r="C122" s="165" t="s">
        <v>65</v>
      </c>
      <c r="D122" s="176" t="s">
        <v>7</v>
      </c>
      <c r="E122" s="123"/>
      <c r="F122" s="123"/>
      <c r="G122" s="12"/>
      <c r="H122" s="124"/>
      <c r="I122" s="3"/>
      <c r="J122" s="7"/>
      <c r="K122" s="118">
        <f>SUM(K121:K121)</f>
        <v>0</v>
      </c>
      <c r="L122" s="107"/>
    </row>
    <row r="123" spans="2:12" ht="29.25" thickBot="1">
      <c r="B123" s="106"/>
      <c r="C123" s="163">
        <v>6</v>
      </c>
      <c r="D123" s="170" t="s">
        <v>7</v>
      </c>
      <c r="E123" s="114"/>
      <c r="F123" s="114"/>
      <c r="G123" s="114" t="s">
        <v>105</v>
      </c>
      <c r="H123" s="114"/>
      <c r="I123" s="114"/>
      <c r="J123" s="114"/>
      <c r="K123" s="115"/>
      <c r="L123" s="107"/>
    </row>
    <row r="124" spans="2:12" ht="85.5">
      <c r="B124" s="106"/>
      <c r="C124" s="164" t="s">
        <v>106</v>
      </c>
      <c r="D124" s="174" t="s">
        <v>268</v>
      </c>
      <c r="E124" s="9" t="s">
        <v>108</v>
      </c>
      <c r="F124" s="9" t="s">
        <v>249</v>
      </c>
      <c r="G124" s="8" t="s">
        <v>269</v>
      </c>
      <c r="H124" s="9" t="s">
        <v>110</v>
      </c>
      <c r="I124" s="3">
        <v>1</v>
      </c>
      <c r="J124" s="4"/>
      <c r="K124" s="5">
        <f t="shared" ref="K124:K131" si="15">J124*I124</f>
        <v>0</v>
      </c>
      <c r="L124" s="107"/>
    </row>
    <row r="125" spans="2:12" ht="42.75">
      <c r="B125" s="106"/>
      <c r="C125" s="164" t="s">
        <v>111</v>
      </c>
      <c r="D125" s="174" t="s">
        <v>270</v>
      </c>
      <c r="E125" s="9" t="s">
        <v>113</v>
      </c>
      <c r="F125" s="9" t="s">
        <v>249</v>
      </c>
      <c r="G125" s="8" t="s">
        <v>114</v>
      </c>
      <c r="H125" s="9" t="s">
        <v>110</v>
      </c>
      <c r="I125" s="3">
        <v>2</v>
      </c>
      <c r="J125" s="4"/>
      <c r="K125" s="5">
        <f t="shared" si="15"/>
        <v>0</v>
      </c>
      <c r="L125" s="107"/>
    </row>
    <row r="126" spans="2:12" ht="42.75">
      <c r="B126" s="106"/>
      <c r="C126" s="164" t="s">
        <v>115</v>
      </c>
      <c r="D126" s="174" t="s">
        <v>271</v>
      </c>
      <c r="E126" s="9" t="s">
        <v>117</v>
      </c>
      <c r="F126" s="9" t="s">
        <v>249</v>
      </c>
      <c r="G126" s="8" t="s">
        <v>118</v>
      </c>
      <c r="H126" s="9" t="s">
        <v>110</v>
      </c>
      <c r="I126" s="3">
        <v>2</v>
      </c>
      <c r="J126" s="4"/>
      <c r="K126" s="5">
        <f t="shared" si="15"/>
        <v>0</v>
      </c>
      <c r="L126" s="107"/>
    </row>
    <row r="127" spans="2:12" ht="28.5">
      <c r="B127" s="106"/>
      <c r="C127" s="164" t="s">
        <v>119</v>
      </c>
      <c r="D127" s="174" t="s">
        <v>272</v>
      </c>
      <c r="E127" s="9" t="s">
        <v>121</v>
      </c>
      <c r="F127" s="9" t="s">
        <v>273</v>
      </c>
      <c r="G127" s="8" t="s">
        <v>274</v>
      </c>
      <c r="H127" s="9" t="s">
        <v>110</v>
      </c>
      <c r="I127" s="3">
        <v>1</v>
      </c>
      <c r="J127" s="4"/>
      <c r="K127" s="5">
        <f t="shared" si="15"/>
        <v>0</v>
      </c>
      <c r="L127" s="107"/>
    </row>
    <row r="128" spans="2:12" ht="28.5">
      <c r="B128" s="106"/>
      <c r="C128" s="164" t="s">
        <v>123</v>
      </c>
      <c r="D128" s="174" t="s">
        <v>275</v>
      </c>
      <c r="E128" s="9" t="s">
        <v>121</v>
      </c>
      <c r="F128" s="9" t="s">
        <v>273</v>
      </c>
      <c r="G128" s="8" t="s">
        <v>276</v>
      </c>
      <c r="H128" s="9" t="s">
        <v>110</v>
      </c>
      <c r="I128" s="3">
        <v>1</v>
      </c>
      <c r="J128" s="4"/>
      <c r="K128" s="5">
        <f t="shared" si="15"/>
        <v>0</v>
      </c>
      <c r="L128" s="107"/>
    </row>
    <row r="129" spans="2:12" ht="28.5">
      <c r="B129" s="106"/>
      <c r="C129" s="164" t="s">
        <v>126</v>
      </c>
      <c r="D129" s="174" t="s">
        <v>277</v>
      </c>
      <c r="E129" s="9" t="s">
        <v>121</v>
      </c>
      <c r="F129" s="9" t="s">
        <v>273</v>
      </c>
      <c r="G129" s="8" t="s">
        <v>278</v>
      </c>
      <c r="H129" s="9" t="s">
        <v>61</v>
      </c>
      <c r="I129" s="3">
        <v>1</v>
      </c>
      <c r="J129" s="4"/>
      <c r="K129" s="5">
        <f t="shared" si="15"/>
        <v>0</v>
      </c>
      <c r="L129" s="107"/>
    </row>
    <row r="130" spans="2:12" ht="42.75">
      <c r="B130" s="106"/>
      <c r="C130" s="164" t="s">
        <v>130</v>
      </c>
      <c r="D130" s="174" t="s">
        <v>279</v>
      </c>
      <c r="E130" s="9" t="s">
        <v>128</v>
      </c>
      <c r="F130" s="9" t="s">
        <v>249</v>
      </c>
      <c r="G130" s="8" t="s">
        <v>280</v>
      </c>
      <c r="H130" s="9" t="s">
        <v>110</v>
      </c>
      <c r="I130" s="3">
        <v>1</v>
      </c>
      <c r="J130" s="4"/>
      <c r="K130" s="5">
        <f t="shared" si="15"/>
        <v>0</v>
      </c>
      <c r="L130" s="107"/>
    </row>
    <row r="131" spans="2:12" ht="42.75">
      <c r="B131" s="106"/>
      <c r="C131" s="164" t="s">
        <v>281</v>
      </c>
      <c r="D131" s="174" t="s">
        <v>282</v>
      </c>
      <c r="E131" s="9" t="s">
        <v>132</v>
      </c>
      <c r="F131" s="9" t="s">
        <v>249</v>
      </c>
      <c r="G131" s="8" t="s">
        <v>283</v>
      </c>
      <c r="H131" s="9" t="s">
        <v>110</v>
      </c>
      <c r="I131" s="3">
        <v>1</v>
      </c>
      <c r="J131" s="4"/>
      <c r="K131" s="5">
        <f t="shared" si="15"/>
        <v>0</v>
      </c>
      <c r="L131" s="107"/>
    </row>
    <row r="132" spans="2:12" ht="15" thickBot="1">
      <c r="B132" s="106"/>
      <c r="C132" s="165" t="s">
        <v>65</v>
      </c>
      <c r="D132" s="176" t="s">
        <v>7</v>
      </c>
      <c r="E132" s="123"/>
      <c r="F132" s="123"/>
      <c r="G132" s="12"/>
      <c r="H132" s="124"/>
      <c r="I132" s="3"/>
      <c r="J132" s="7"/>
      <c r="K132" s="118">
        <f>SUM(K124:K131)</f>
        <v>0</v>
      </c>
      <c r="L132" s="107"/>
    </row>
    <row r="133" spans="2:12" ht="29.25" thickBot="1">
      <c r="B133" s="106"/>
      <c r="C133" s="163">
        <v>7</v>
      </c>
      <c r="D133" s="170" t="s">
        <v>7</v>
      </c>
      <c r="E133" s="114"/>
      <c r="F133" s="114"/>
      <c r="G133" s="114" t="s">
        <v>134</v>
      </c>
      <c r="H133" s="114"/>
      <c r="I133" s="114"/>
      <c r="J133" s="114"/>
      <c r="K133" s="115"/>
      <c r="L133" s="107"/>
    </row>
    <row r="134" spans="2:12" ht="42.75">
      <c r="B134" s="106"/>
      <c r="C134" s="164" t="s">
        <v>135</v>
      </c>
      <c r="D134" s="174" t="s">
        <v>284</v>
      </c>
      <c r="E134" s="9" t="s">
        <v>121</v>
      </c>
      <c r="F134" s="9" t="s">
        <v>249</v>
      </c>
      <c r="G134" s="8" t="s">
        <v>137</v>
      </c>
      <c r="H134" s="9" t="s">
        <v>44</v>
      </c>
      <c r="I134" s="3">
        <v>8</v>
      </c>
      <c r="J134" s="4"/>
      <c r="K134" s="5">
        <f t="shared" ref="K134:K150" si="16">J134*I134</f>
        <v>0</v>
      </c>
      <c r="L134" s="107"/>
    </row>
    <row r="135" spans="2:12" ht="42.75">
      <c r="B135" s="106"/>
      <c r="C135" s="164" t="s">
        <v>138</v>
      </c>
      <c r="D135" s="174" t="s">
        <v>285</v>
      </c>
      <c r="E135" s="9" t="s">
        <v>121</v>
      </c>
      <c r="F135" s="9" t="s">
        <v>249</v>
      </c>
      <c r="G135" s="8" t="s">
        <v>286</v>
      </c>
      <c r="H135" s="9" t="s">
        <v>44</v>
      </c>
      <c r="I135" s="3">
        <v>5.2</v>
      </c>
      <c r="J135" s="4"/>
      <c r="K135" s="5">
        <f t="shared" si="16"/>
        <v>0</v>
      </c>
      <c r="L135" s="107"/>
    </row>
    <row r="136" spans="2:12" ht="42.75">
      <c r="B136" s="106"/>
      <c r="C136" s="164" t="s">
        <v>141</v>
      </c>
      <c r="D136" s="174" t="s">
        <v>287</v>
      </c>
      <c r="E136" s="9" t="s">
        <v>169</v>
      </c>
      <c r="F136" s="9" t="s">
        <v>249</v>
      </c>
      <c r="G136" s="8" t="s">
        <v>288</v>
      </c>
      <c r="H136" s="9" t="s">
        <v>44</v>
      </c>
      <c r="I136" s="3">
        <v>18.559999999999999</v>
      </c>
      <c r="J136" s="4"/>
      <c r="K136" s="5">
        <f t="shared" si="16"/>
        <v>0</v>
      </c>
      <c r="L136" s="107"/>
    </row>
    <row r="137" spans="2:12" ht="42.75">
      <c r="B137" s="106"/>
      <c r="C137" s="164" t="s">
        <v>144</v>
      </c>
      <c r="D137" s="174" t="s">
        <v>289</v>
      </c>
      <c r="E137" s="9" t="s">
        <v>121</v>
      </c>
      <c r="F137" s="9" t="s">
        <v>249</v>
      </c>
      <c r="G137" s="8" t="s">
        <v>290</v>
      </c>
      <c r="H137" s="9" t="s">
        <v>44</v>
      </c>
      <c r="I137" s="3">
        <v>18.47</v>
      </c>
      <c r="J137" s="4"/>
      <c r="K137" s="5">
        <f t="shared" si="16"/>
        <v>0</v>
      </c>
      <c r="L137" s="107"/>
    </row>
    <row r="138" spans="2:12" ht="42.75">
      <c r="B138" s="106"/>
      <c r="C138" s="164" t="s">
        <v>149</v>
      </c>
      <c r="D138" s="174" t="s">
        <v>291</v>
      </c>
      <c r="E138" s="9" t="s">
        <v>146</v>
      </c>
      <c r="F138" s="9" t="s">
        <v>249</v>
      </c>
      <c r="G138" s="8" t="s">
        <v>147</v>
      </c>
      <c r="H138" s="9" t="s">
        <v>148</v>
      </c>
      <c r="I138" s="3">
        <v>8</v>
      </c>
      <c r="J138" s="4"/>
      <c r="K138" s="5">
        <f t="shared" si="16"/>
        <v>0</v>
      </c>
      <c r="L138" s="107"/>
    </row>
    <row r="139" spans="2:12" ht="42.75">
      <c r="B139" s="106"/>
      <c r="C139" s="164" t="s">
        <v>153</v>
      </c>
      <c r="D139" s="174" t="s">
        <v>292</v>
      </c>
      <c r="E139" s="9" t="s">
        <v>151</v>
      </c>
      <c r="F139" s="9" t="s">
        <v>249</v>
      </c>
      <c r="G139" s="8" t="s">
        <v>152</v>
      </c>
      <c r="H139" s="9" t="s">
        <v>44</v>
      </c>
      <c r="I139" s="3">
        <v>47.5</v>
      </c>
      <c r="J139" s="4"/>
      <c r="K139" s="5">
        <f t="shared" si="16"/>
        <v>0</v>
      </c>
      <c r="L139" s="107"/>
    </row>
    <row r="140" spans="2:12" ht="42.75">
      <c r="B140" s="106"/>
      <c r="C140" s="164" t="s">
        <v>156</v>
      </c>
      <c r="D140" s="174" t="s">
        <v>293</v>
      </c>
      <c r="E140" s="9" t="s">
        <v>151</v>
      </c>
      <c r="F140" s="9" t="s">
        <v>249</v>
      </c>
      <c r="G140" s="8" t="s">
        <v>155</v>
      </c>
      <c r="H140" s="9" t="s">
        <v>44</v>
      </c>
      <c r="I140" s="3">
        <v>12</v>
      </c>
      <c r="J140" s="4"/>
      <c r="K140" s="5">
        <f t="shared" si="16"/>
        <v>0</v>
      </c>
      <c r="L140" s="107"/>
    </row>
    <row r="141" spans="2:12" ht="42.75">
      <c r="B141" s="106"/>
      <c r="C141" s="164" t="s">
        <v>160</v>
      </c>
      <c r="D141" s="174" t="s">
        <v>294</v>
      </c>
      <c r="E141" s="9" t="s">
        <v>158</v>
      </c>
      <c r="F141" s="9" t="s">
        <v>249</v>
      </c>
      <c r="G141" s="8" t="s">
        <v>162</v>
      </c>
      <c r="H141" s="9" t="s">
        <v>148</v>
      </c>
      <c r="I141" s="3">
        <v>3</v>
      </c>
      <c r="J141" s="4"/>
      <c r="K141" s="5">
        <f t="shared" si="16"/>
        <v>0</v>
      </c>
      <c r="L141" s="107"/>
    </row>
    <row r="142" spans="2:12" ht="42.75">
      <c r="B142" s="106"/>
      <c r="C142" s="164" t="s">
        <v>163</v>
      </c>
      <c r="D142" s="174" t="s">
        <v>295</v>
      </c>
      <c r="E142" s="9" t="s">
        <v>158</v>
      </c>
      <c r="F142" s="9" t="s">
        <v>249</v>
      </c>
      <c r="G142" s="8" t="s">
        <v>173</v>
      </c>
      <c r="H142" s="9" t="s">
        <v>148</v>
      </c>
      <c r="I142" s="3">
        <v>11</v>
      </c>
      <c r="J142" s="4"/>
      <c r="K142" s="5">
        <f t="shared" si="16"/>
        <v>0</v>
      </c>
      <c r="L142" s="107"/>
    </row>
    <row r="143" spans="2:12" ht="42.75">
      <c r="B143" s="106"/>
      <c r="C143" s="164" t="s">
        <v>167</v>
      </c>
      <c r="D143" s="174" t="s">
        <v>296</v>
      </c>
      <c r="E143" s="9" t="s">
        <v>158</v>
      </c>
      <c r="F143" s="9" t="s">
        <v>249</v>
      </c>
      <c r="G143" s="8" t="s">
        <v>176</v>
      </c>
      <c r="H143" s="9" t="s">
        <v>148</v>
      </c>
      <c r="I143" s="3">
        <v>3</v>
      </c>
      <c r="J143" s="4"/>
      <c r="K143" s="5">
        <f t="shared" si="16"/>
        <v>0</v>
      </c>
      <c r="L143" s="107"/>
    </row>
    <row r="144" spans="2:12" ht="42.75">
      <c r="B144" s="106"/>
      <c r="C144" s="164" t="s">
        <v>171</v>
      </c>
      <c r="D144" s="174" t="s">
        <v>297</v>
      </c>
      <c r="E144" s="9" t="s">
        <v>165</v>
      </c>
      <c r="F144" s="9" t="s">
        <v>249</v>
      </c>
      <c r="G144" s="8" t="s">
        <v>298</v>
      </c>
      <c r="H144" s="9" t="s">
        <v>148</v>
      </c>
      <c r="I144" s="3">
        <v>2</v>
      </c>
      <c r="J144" s="4"/>
      <c r="K144" s="5">
        <f t="shared" si="16"/>
        <v>0</v>
      </c>
      <c r="L144" s="107"/>
    </row>
    <row r="145" spans="2:12" ht="42.75">
      <c r="B145" s="106"/>
      <c r="C145" s="164" t="s">
        <v>174</v>
      </c>
      <c r="D145" s="174" t="s">
        <v>299</v>
      </c>
      <c r="E145" s="9" t="s">
        <v>300</v>
      </c>
      <c r="F145" s="9" t="s">
        <v>249</v>
      </c>
      <c r="G145" s="8" t="s">
        <v>301</v>
      </c>
      <c r="H145" s="9" t="s">
        <v>148</v>
      </c>
      <c r="I145" s="3">
        <v>2</v>
      </c>
      <c r="J145" s="4"/>
      <c r="K145" s="5">
        <f t="shared" si="16"/>
        <v>0</v>
      </c>
      <c r="L145" s="107"/>
    </row>
    <row r="146" spans="2:12" ht="42.75">
      <c r="B146" s="106"/>
      <c r="C146" s="164" t="s">
        <v>302</v>
      </c>
      <c r="D146" s="174" t="s">
        <v>303</v>
      </c>
      <c r="E146" s="9" t="s">
        <v>304</v>
      </c>
      <c r="F146" s="9" t="s">
        <v>249</v>
      </c>
      <c r="G146" s="8" t="s">
        <v>305</v>
      </c>
      <c r="H146" s="9" t="s">
        <v>148</v>
      </c>
      <c r="I146" s="3">
        <v>2</v>
      </c>
      <c r="J146" s="4"/>
      <c r="K146" s="5">
        <f t="shared" si="16"/>
        <v>0</v>
      </c>
      <c r="L146" s="107"/>
    </row>
    <row r="147" spans="2:12" ht="42.75">
      <c r="B147" s="106"/>
      <c r="C147" s="164" t="s">
        <v>306</v>
      </c>
      <c r="D147" s="174" t="s">
        <v>307</v>
      </c>
      <c r="E147" s="9" t="s">
        <v>169</v>
      </c>
      <c r="F147" s="9" t="s">
        <v>249</v>
      </c>
      <c r="G147" s="8" t="s">
        <v>308</v>
      </c>
      <c r="H147" s="9" t="s">
        <v>148</v>
      </c>
      <c r="I147" s="3">
        <v>2</v>
      </c>
      <c r="J147" s="4"/>
      <c r="K147" s="5">
        <f t="shared" si="16"/>
        <v>0</v>
      </c>
      <c r="L147" s="107"/>
    </row>
    <row r="148" spans="2:12" ht="42.75">
      <c r="B148" s="106"/>
      <c r="C148" s="164" t="s">
        <v>309</v>
      </c>
      <c r="D148" s="174" t="s">
        <v>310</v>
      </c>
      <c r="E148" s="9" t="s">
        <v>169</v>
      </c>
      <c r="F148" s="9" t="s">
        <v>249</v>
      </c>
      <c r="G148" s="8" t="s">
        <v>311</v>
      </c>
      <c r="H148" s="9" t="s">
        <v>148</v>
      </c>
      <c r="I148" s="3">
        <v>2</v>
      </c>
      <c r="J148" s="4"/>
      <c r="K148" s="5">
        <f t="shared" si="16"/>
        <v>0</v>
      </c>
      <c r="L148" s="107"/>
    </row>
    <row r="149" spans="2:12" ht="42.75">
      <c r="B149" s="106"/>
      <c r="C149" s="164" t="s">
        <v>312</v>
      </c>
      <c r="D149" s="174" t="s">
        <v>313</v>
      </c>
      <c r="E149" s="9" t="s">
        <v>169</v>
      </c>
      <c r="F149" s="9" t="s">
        <v>249</v>
      </c>
      <c r="G149" s="8" t="s">
        <v>314</v>
      </c>
      <c r="H149" s="9" t="s">
        <v>148</v>
      </c>
      <c r="I149" s="3">
        <v>2</v>
      </c>
      <c r="J149" s="4"/>
      <c r="K149" s="5">
        <f t="shared" si="16"/>
        <v>0</v>
      </c>
      <c r="L149" s="107"/>
    </row>
    <row r="150" spans="2:12" ht="42.75">
      <c r="B150" s="106"/>
      <c r="C150" s="164" t="s">
        <v>315</v>
      </c>
      <c r="D150" s="174" t="s">
        <v>316</v>
      </c>
      <c r="E150" s="9" t="s">
        <v>132</v>
      </c>
      <c r="F150" s="9" t="s">
        <v>249</v>
      </c>
      <c r="G150" s="8" t="s">
        <v>266</v>
      </c>
      <c r="H150" s="9" t="s">
        <v>148</v>
      </c>
      <c r="I150" s="3">
        <v>1</v>
      </c>
      <c r="J150" s="4"/>
      <c r="K150" s="5">
        <f t="shared" si="16"/>
        <v>0</v>
      </c>
      <c r="L150" s="107"/>
    </row>
    <row r="151" spans="2:12" ht="15" thickBot="1">
      <c r="B151" s="106"/>
      <c r="C151" s="165" t="s">
        <v>65</v>
      </c>
      <c r="D151" s="176" t="s">
        <v>7</v>
      </c>
      <c r="E151" s="123"/>
      <c r="F151" s="123"/>
      <c r="G151" s="12"/>
      <c r="H151" s="124"/>
      <c r="I151" s="3"/>
      <c r="J151" s="7"/>
      <c r="K151" s="118">
        <f>SUM(K134:K150)</f>
        <v>0</v>
      </c>
      <c r="L151" s="107"/>
    </row>
    <row r="152" spans="2:12" ht="15" thickBot="1">
      <c r="B152" s="106"/>
      <c r="C152" s="163">
        <v>8</v>
      </c>
      <c r="D152" s="170" t="s">
        <v>7</v>
      </c>
      <c r="E152" s="114"/>
      <c r="F152" s="114"/>
      <c r="G152" s="114" t="s">
        <v>177</v>
      </c>
      <c r="H152" s="114"/>
      <c r="I152" s="114"/>
      <c r="J152" s="114"/>
      <c r="K152" s="115"/>
      <c r="L152" s="107"/>
    </row>
    <row r="153" spans="2:12" ht="42.75">
      <c r="B153" s="106"/>
      <c r="C153" s="164" t="s">
        <v>178</v>
      </c>
      <c r="D153" s="174" t="s">
        <v>317</v>
      </c>
      <c r="E153" s="9" t="s">
        <v>42</v>
      </c>
      <c r="F153" s="9" t="s">
        <v>245</v>
      </c>
      <c r="G153" s="8" t="s">
        <v>318</v>
      </c>
      <c r="H153" s="9" t="s">
        <v>20</v>
      </c>
      <c r="I153" s="3">
        <v>2</v>
      </c>
      <c r="J153" s="4"/>
      <c r="K153" s="5">
        <f t="shared" ref="K153" si="17">J153*I153</f>
        <v>0</v>
      </c>
      <c r="L153" s="107"/>
    </row>
    <row r="154" spans="2:12" ht="15" thickBot="1">
      <c r="B154" s="106"/>
      <c r="C154" s="166" t="s">
        <v>65</v>
      </c>
      <c r="D154" s="175" t="s">
        <v>7</v>
      </c>
      <c r="E154" s="121"/>
      <c r="F154" s="121"/>
      <c r="G154" s="10"/>
      <c r="H154" s="121"/>
      <c r="I154" s="3"/>
      <c r="J154" s="11"/>
      <c r="K154" s="122">
        <f>SUM(K153)</f>
        <v>0</v>
      </c>
      <c r="L154" s="107"/>
    </row>
    <row r="155" spans="2:12" ht="15" thickBot="1">
      <c r="B155" s="106"/>
      <c r="C155" s="163">
        <v>9</v>
      </c>
      <c r="D155" s="170" t="s">
        <v>7</v>
      </c>
      <c r="E155" s="114"/>
      <c r="F155" s="114"/>
      <c r="G155" s="114" t="s">
        <v>186</v>
      </c>
      <c r="H155" s="114"/>
      <c r="I155" s="114"/>
      <c r="J155" s="114"/>
      <c r="K155" s="115"/>
      <c r="L155" s="107"/>
    </row>
    <row r="156" spans="2:12" ht="42.75">
      <c r="B156" s="106"/>
      <c r="C156" s="164" t="s">
        <v>183</v>
      </c>
      <c r="D156" s="174" t="s">
        <v>319</v>
      </c>
      <c r="E156" s="9" t="s">
        <v>189</v>
      </c>
      <c r="F156" s="9" t="s">
        <v>320</v>
      </c>
      <c r="G156" s="8" t="s">
        <v>191</v>
      </c>
      <c r="H156" s="9" t="s">
        <v>44</v>
      </c>
      <c r="I156" s="3">
        <v>32</v>
      </c>
      <c r="J156" s="4"/>
      <c r="K156" s="5">
        <f t="shared" ref="K156:K163" si="18">J156*I156</f>
        <v>0</v>
      </c>
      <c r="L156" s="107"/>
    </row>
    <row r="157" spans="2:12" ht="42.75">
      <c r="B157" s="106"/>
      <c r="C157" s="164" t="s">
        <v>321</v>
      </c>
      <c r="D157" s="174" t="s">
        <v>322</v>
      </c>
      <c r="E157" s="9" t="s">
        <v>189</v>
      </c>
      <c r="F157" s="9" t="s">
        <v>249</v>
      </c>
      <c r="G157" s="8" t="s">
        <v>194</v>
      </c>
      <c r="H157" s="9" t="s">
        <v>44</v>
      </c>
      <c r="I157" s="3">
        <v>32</v>
      </c>
      <c r="J157" s="4"/>
      <c r="K157" s="5">
        <f t="shared" si="18"/>
        <v>0</v>
      </c>
      <c r="L157" s="107"/>
    </row>
    <row r="158" spans="2:12" ht="42.75">
      <c r="B158" s="106"/>
      <c r="C158" s="164" t="s">
        <v>323</v>
      </c>
      <c r="D158" s="174" t="s">
        <v>324</v>
      </c>
      <c r="E158" s="9" t="s">
        <v>189</v>
      </c>
      <c r="F158" s="9" t="s">
        <v>320</v>
      </c>
      <c r="G158" s="8" t="s">
        <v>197</v>
      </c>
      <c r="H158" s="9" t="s">
        <v>148</v>
      </c>
      <c r="I158" s="3">
        <v>1</v>
      </c>
      <c r="J158" s="4"/>
      <c r="K158" s="5">
        <f t="shared" si="18"/>
        <v>0</v>
      </c>
      <c r="L158" s="107"/>
    </row>
    <row r="159" spans="2:12" ht="42.75">
      <c r="B159" s="106"/>
      <c r="C159" s="164" t="s">
        <v>325</v>
      </c>
      <c r="D159" s="174" t="s">
        <v>326</v>
      </c>
      <c r="E159" s="9" t="s">
        <v>189</v>
      </c>
      <c r="F159" s="9" t="s">
        <v>320</v>
      </c>
      <c r="G159" s="8" t="s">
        <v>200</v>
      </c>
      <c r="H159" s="9" t="s">
        <v>148</v>
      </c>
      <c r="I159" s="3">
        <v>4</v>
      </c>
      <c r="J159" s="4"/>
      <c r="K159" s="5">
        <f t="shared" si="18"/>
        <v>0</v>
      </c>
      <c r="L159" s="107"/>
    </row>
    <row r="160" spans="2:12" ht="42.75">
      <c r="B160" s="106"/>
      <c r="C160" s="164" t="s">
        <v>327</v>
      </c>
      <c r="D160" s="174" t="s">
        <v>328</v>
      </c>
      <c r="E160" s="9" t="s">
        <v>203</v>
      </c>
      <c r="F160" s="9" t="s">
        <v>320</v>
      </c>
      <c r="G160" s="8" t="s">
        <v>329</v>
      </c>
      <c r="H160" s="9" t="s">
        <v>148</v>
      </c>
      <c r="I160" s="3">
        <v>3</v>
      </c>
      <c r="J160" s="4"/>
      <c r="K160" s="5">
        <f t="shared" si="18"/>
        <v>0</v>
      </c>
      <c r="L160" s="107"/>
    </row>
    <row r="161" spans="2:12" ht="42.75">
      <c r="B161" s="106"/>
      <c r="C161" s="164" t="s">
        <v>330</v>
      </c>
      <c r="D161" s="174" t="s">
        <v>331</v>
      </c>
      <c r="E161" s="9" t="s">
        <v>203</v>
      </c>
      <c r="F161" s="9" t="s">
        <v>320</v>
      </c>
      <c r="G161" s="8" t="s">
        <v>204</v>
      </c>
      <c r="H161" s="9" t="s">
        <v>148</v>
      </c>
      <c r="I161" s="3">
        <v>1</v>
      </c>
      <c r="J161" s="4"/>
      <c r="K161" s="5">
        <f t="shared" si="18"/>
        <v>0</v>
      </c>
      <c r="L161" s="107"/>
    </row>
    <row r="162" spans="2:12" ht="42.75">
      <c r="B162" s="106"/>
      <c r="C162" s="164" t="s">
        <v>332</v>
      </c>
      <c r="D162" s="174" t="s">
        <v>333</v>
      </c>
      <c r="E162" s="9" t="s">
        <v>189</v>
      </c>
      <c r="F162" s="9" t="s">
        <v>320</v>
      </c>
      <c r="G162" s="8" t="s">
        <v>207</v>
      </c>
      <c r="H162" s="9" t="s">
        <v>148</v>
      </c>
      <c r="I162" s="3">
        <v>4</v>
      </c>
      <c r="J162" s="4"/>
      <c r="K162" s="5">
        <f t="shared" si="18"/>
        <v>0</v>
      </c>
      <c r="L162" s="107"/>
    </row>
    <row r="163" spans="2:12" ht="42.75">
      <c r="B163" s="106"/>
      <c r="C163" s="164" t="s">
        <v>334</v>
      </c>
      <c r="D163" s="174" t="s">
        <v>335</v>
      </c>
      <c r="E163" s="9" t="s">
        <v>189</v>
      </c>
      <c r="F163" s="9" t="s">
        <v>249</v>
      </c>
      <c r="G163" s="8" t="s">
        <v>336</v>
      </c>
      <c r="H163" s="9" t="s">
        <v>148</v>
      </c>
      <c r="I163" s="3">
        <v>1</v>
      </c>
      <c r="J163" s="4"/>
      <c r="K163" s="5">
        <f t="shared" si="18"/>
        <v>0</v>
      </c>
      <c r="L163" s="107"/>
    </row>
    <row r="164" spans="2:12" ht="15" thickBot="1">
      <c r="B164" s="106"/>
      <c r="C164" s="165" t="s">
        <v>65</v>
      </c>
      <c r="D164" s="176" t="s">
        <v>7</v>
      </c>
      <c r="E164" s="123"/>
      <c r="F164" s="123"/>
      <c r="G164" s="12"/>
      <c r="H164" s="124"/>
      <c r="I164" s="3"/>
      <c r="J164" s="7"/>
      <c r="K164" s="118">
        <f>SUM(K156:K163)</f>
        <v>0</v>
      </c>
      <c r="L164" s="107"/>
    </row>
    <row r="165" spans="2:12" s="128" customFormat="1" ht="15" customHeight="1" thickBot="1">
      <c r="B165" s="125"/>
      <c r="C165" s="226" t="s">
        <v>337</v>
      </c>
      <c r="D165" s="227"/>
      <c r="E165" s="228"/>
      <c r="F165" s="228"/>
      <c r="G165" s="228"/>
      <c r="H165" s="228"/>
      <c r="I165" s="228"/>
      <c r="J165" s="229"/>
      <c r="K165" s="126">
        <f>ROUND(K100+K107+K114+K119+K122+K132+K151+K154+K164,0)</f>
        <v>0</v>
      </c>
      <c r="L165" s="127"/>
    </row>
    <row r="166" spans="2:12" ht="29.25" thickBot="1">
      <c r="B166" s="106"/>
      <c r="C166" s="162" t="s">
        <v>7</v>
      </c>
      <c r="D166" s="169" t="s">
        <v>7</v>
      </c>
      <c r="E166" s="112"/>
      <c r="F166" s="112"/>
      <c r="G166" s="112" t="s">
        <v>338</v>
      </c>
      <c r="H166" s="112"/>
      <c r="I166" s="112"/>
      <c r="J166" s="112"/>
      <c r="K166" s="113"/>
      <c r="L166" s="107"/>
    </row>
    <row r="167" spans="2:12" ht="15" thickBot="1">
      <c r="B167" s="106"/>
      <c r="C167" s="180">
        <v>1</v>
      </c>
      <c r="D167" s="170" t="s">
        <v>7</v>
      </c>
      <c r="E167" s="114"/>
      <c r="F167" s="114"/>
      <c r="G167" s="114" t="s">
        <v>14</v>
      </c>
      <c r="H167" s="114"/>
      <c r="I167" s="114"/>
      <c r="J167" s="114"/>
      <c r="K167" s="115"/>
      <c r="L167" s="107"/>
    </row>
    <row r="168" spans="2:12" ht="28.5">
      <c r="B168" s="106"/>
      <c r="C168" s="164" t="s">
        <v>15</v>
      </c>
      <c r="D168" s="171" t="s">
        <v>339</v>
      </c>
      <c r="E168" s="116" t="s">
        <v>17</v>
      </c>
      <c r="F168" s="116" t="s">
        <v>340</v>
      </c>
      <c r="G168" s="2" t="s">
        <v>19</v>
      </c>
      <c r="H168" s="116" t="s">
        <v>20</v>
      </c>
      <c r="I168" s="3">
        <v>39.050000000000004</v>
      </c>
      <c r="J168" s="4"/>
      <c r="K168" s="5">
        <f>J168*I168</f>
        <v>0</v>
      </c>
      <c r="L168" s="107"/>
    </row>
    <row r="169" spans="2:12" ht="42.75">
      <c r="B169" s="106"/>
      <c r="C169" s="164" t="s">
        <v>21</v>
      </c>
      <c r="D169" s="171" t="s">
        <v>341</v>
      </c>
      <c r="E169" s="116" t="s">
        <v>23</v>
      </c>
      <c r="F169" s="116" t="s">
        <v>340</v>
      </c>
      <c r="G169" s="2" t="s">
        <v>24</v>
      </c>
      <c r="H169" s="116" t="s">
        <v>20</v>
      </c>
      <c r="I169" s="3">
        <v>7.91</v>
      </c>
      <c r="J169" s="4"/>
      <c r="K169" s="5">
        <f t="shared" ref="K169:K181" si="19">J169*I169</f>
        <v>0</v>
      </c>
      <c r="L169" s="107"/>
    </row>
    <row r="170" spans="2:12" ht="42.75">
      <c r="B170" s="106"/>
      <c r="C170" s="164" t="s">
        <v>25</v>
      </c>
      <c r="D170" s="171" t="s">
        <v>342</v>
      </c>
      <c r="E170" s="116" t="s">
        <v>23</v>
      </c>
      <c r="F170" s="116" t="s">
        <v>340</v>
      </c>
      <c r="G170" s="2" t="s">
        <v>30</v>
      </c>
      <c r="H170" s="116" t="s">
        <v>31</v>
      </c>
      <c r="I170" s="3">
        <v>9.822000000000001</v>
      </c>
      <c r="J170" s="4"/>
      <c r="K170" s="5">
        <f t="shared" si="19"/>
        <v>0</v>
      </c>
      <c r="L170" s="107"/>
    </row>
    <row r="171" spans="2:12" ht="42.75">
      <c r="B171" s="106"/>
      <c r="C171" s="164" t="s">
        <v>28</v>
      </c>
      <c r="D171" s="171" t="s">
        <v>343</v>
      </c>
      <c r="E171" s="116" t="s">
        <v>23</v>
      </c>
      <c r="F171" s="116" t="s">
        <v>340</v>
      </c>
      <c r="G171" s="2" t="s">
        <v>34</v>
      </c>
      <c r="H171" s="116" t="s">
        <v>20</v>
      </c>
      <c r="I171" s="3">
        <v>41.2</v>
      </c>
      <c r="J171" s="4"/>
      <c r="K171" s="5">
        <f t="shared" si="19"/>
        <v>0</v>
      </c>
      <c r="L171" s="107"/>
    </row>
    <row r="172" spans="2:12" ht="42.75">
      <c r="B172" s="106"/>
      <c r="C172" s="164" t="s">
        <v>32</v>
      </c>
      <c r="D172" s="171" t="s">
        <v>344</v>
      </c>
      <c r="E172" s="116" t="s">
        <v>37</v>
      </c>
      <c r="F172" s="116" t="s">
        <v>340</v>
      </c>
      <c r="G172" s="2" t="s">
        <v>38</v>
      </c>
      <c r="H172" s="116" t="s">
        <v>39</v>
      </c>
      <c r="I172" s="3">
        <v>20</v>
      </c>
      <c r="J172" s="4"/>
      <c r="K172" s="5">
        <f t="shared" si="19"/>
        <v>0</v>
      </c>
      <c r="L172" s="107"/>
    </row>
    <row r="173" spans="2:12" ht="28.5">
      <c r="B173" s="106"/>
      <c r="C173" s="164" t="s">
        <v>35</v>
      </c>
      <c r="D173" s="171" t="s">
        <v>345</v>
      </c>
      <c r="E173" s="116" t="s">
        <v>42</v>
      </c>
      <c r="F173" s="116" t="s">
        <v>340</v>
      </c>
      <c r="G173" s="2" t="s">
        <v>43</v>
      </c>
      <c r="H173" s="116" t="s">
        <v>44</v>
      </c>
      <c r="I173" s="3">
        <v>25</v>
      </c>
      <c r="J173" s="4"/>
      <c r="K173" s="5">
        <f t="shared" si="19"/>
        <v>0</v>
      </c>
      <c r="L173" s="107"/>
    </row>
    <row r="174" spans="2:12" ht="28.5">
      <c r="B174" s="106"/>
      <c r="C174" s="164" t="s">
        <v>40</v>
      </c>
      <c r="D174" s="171" t="s">
        <v>346</v>
      </c>
      <c r="E174" s="116" t="s">
        <v>47</v>
      </c>
      <c r="F174" s="116" t="s">
        <v>340</v>
      </c>
      <c r="G174" s="2" t="s">
        <v>48</v>
      </c>
      <c r="H174" s="116" t="s">
        <v>44</v>
      </c>
      <c r="I174" s="3">
        <v>100</v>
      </c>
      <c r="J174" s="4"/>
      <c r="K174" s="5">
        <f t="shared" si="19"/>
        <v>0</v>
      </c>
      <c r="L174" s="107"/>
    </row>
    <row r="175" spans="2:12" ht="42.75">
      <c r="B175" s="106"/>
      <c r="C175" s="164" t="s">
        <v>45</v>
      </c>
      <c r="D175" s="171" t="s">
        <v>347</v>
      </c>
      <c r="E175" s="116" t="s">
        <v>23</v>
      </c>
      <c r="F175" s="116" t="s">
        <v>340</v>
      </c>
      <c r="G175" s="2" t="s">
        <v>219</v>
      </c>
      <c r="H175" s="116" t="s">
        <v>44</v>
      </c>
      <c r="I175" s="3">
        <v>5</v>
      </c>
      <c r="J175" s="4"/>
      <c r="K175" s="5">
        <f t="shared" si="19"/>
        <v>0</v>
      </c>
      <c r="L175" s="107"/>
    </row>
    <row r="176" spans="2:12" ht="42.75">
      <c r="B176" s="106"/>
      <c r="C176" s="164" t="s">
        <v>49</v>
      </c>
      <c r="D176" s="171" t="s">
        <v>348</v>
      </c>
      <c r="E176" s="116" t="s">
        <v>23</v>
      </c>
      <c r="F176" s="116" t="s">
        <v>340</v>
      </c>
      <c r="G176" s="2" t="s">
        <v>54</v>
      </c>
      <c r="H176" s="116" t="s">
        <v>20</v>
      </c>
      <c r="I176" s="3">
        <v>39.050000000000004</v>
      </c>
      <c r="J176" s="4"/>
      <c r="K176" s="5">
        <f t="shared" si="19"/>
        <v>0</v>
      </c>
      <c r="L176" s="107"/>
    </row>
    <row r="177" spans="2:12" ht="42.75">
      <c r="B177" s="106"/>
      <c r="C177" s="164" t="s">
        <v>52</v>
      </c>
      <c r="D177" s="171" t="s">
        <v>349</v>
      </c>
      <c r="E177" s="116" t="s">
        <v>23</v>
      </c>
      <c r="F177" s="116" t="s">
        <v>340</v>
      </c>
      <c r="G177" s="2" t="s">
        <v>224</v>
      </c>
      <c r="H177" s="116" t="s">
        <v>20</v>
      </c>
      <c r="I177" s="3">
        <v>0</v>
      </c>
      <c r="J177" s="4"/>
      <c r="K177" s="5">
        <f t="shared" si="19"/>
        <v>0</v>
      </c>
      <c r="L177" s="107"/>
    </row>
    <row r="178" spans="2:12" ht="42.75">
      <c r="B178" s="106"/>
      <c r="C178" s="164" t="s">
        <v>55</v>
      </c>
      <c r="D178" s="171" t="s">
        <v>350</v>
      </c>
      <c r="E178" s="116" t="s">
        <v>23</v>
      </c>
      <c r="F178" s="116" t="s">
        <v>340</v>
      </c>
      <c r="G178" s="2" t="s">
        <v>60</v>
      </c>
      <c r="H178" s="116" t="s">
        <v>61</v>
      </c>
      <c r="I178" s="3">
        <v>10</v>
      </c>
      <c r="J178" s="4"/>
      <c r="K178" s="5">
        <f t="shared" si="19"/>
        <v>0</v>
      </c>
      <c r="L178" s="107"/>
    </row>
    <row r="179" spans="2:12" ht="42.75">
      <c r="B179" s="106"/>
      <c r="C179" s="164" t="s">
        <v>58</v>
      </c>
      <c r="D179" s="171" t="s">
        <v>351</v>
      </c>
      <c r="E179" s="116" t="s">
        <v>23</v>
      </c>
      <c r="F179" s="116" t="s">
        <v>340</v>
      </c>
      <c r="G179" s="2" t="s">
        <v>227</v>
      </c>
      <c r="H179" s="116" t="s">
        <v>61</v>
      </c>
      <c r="I179" s="3">
        <v>2</v>
      </c>
      <c r="J179" s="4"/>
      <c r="K179" s="5">
        <f t="shared" si="19"/>
        <v>0</v>
      </c>
      <c r="L179" s="107"/>
    </row>
    <row r="180" spans="2:12" ht="42.75">
      <c r="B180" s="106"/>
      <c r="C180" s="164" t="s">
        <v>62</v>
      </c>
      <c r="D180" s="171" t="s">
        <v>352</v>
      </c>
      <c r="E180" s="116" t="s">
        <v>23</v>
      </c>
      <c r="F180" s="116" t="s">
        <v>340</v>
      </c>
      <c r="G180" s="2" t="s">
        <v>64</v>
      </c>
      <c r="H180" s="116" t="s">
        <v>31</v>
      </c>
      <c r="I180" s="3">
        <v>7</v>
      </c>
      <c r="J180" s="4"/>
      <c r="K180" s="5">
        <f t="shared" si="19"/>
        <v>0</v>
      </c>
      <c r="L180" s="107"/>
    </row>
    <row r="181" spans="2:12" ht="42.75">
      <c r="B181" s="106"/>
      <c r="C181" s="164" t="s">
        <v>228</v>
      </c>
      <c r="D181" s="171" t="s">
        <v>353</v>
      </c>
      <c r="E181" s="116" t="s">
        <v>23</v>
      </c>
      <c r="F181" s="116" t="s">
        <v>340</v>
      </c>
      <c r="G181" s="2" t="s">
        <v>27</v>
      </c>
      <c r="H181" s="116" t="s">
        <v>20</v>
      </c>
      <c r="I181" s="3">
        <v>3.75</v>
      </c>
      <c r="J181" s="4"/>
      <c r="K181" s="5">
        <f t="shared" si="19"/>
        <v>0</v>
      </c>
      <c r="L181" s="107"/>
    </row>
    <row r="182" spans="2:12" ht="15" thickBot="1">
      <c r="B182" s="106"/>
      <c r="C182" s="181" t="s">
        <v>65</v>
      </c>
      <c r="D182" s="172" t="s">
        <v>7</v>
      </c>
      <c r="E182" s="117"/>
      <c r="F182" s="117"/>
      <c r="G182" s="6"/>
      <c r="H182" s="117"/>
      <c r="I182" s="3"/>
      <c r="J182" s="7"/>
      <c r="K182" s="118">
        <f>SUM(K168:K181)</f>
        <v>0</v>
      </c>
      <c r="L182" s="107"/>
    </row>
    <row r="183" spans="2:12" ht="15" thickBot="1">
      <c r="B183" s="106"/>
      <c r="C183" s="180">
        <v>2</v>
      </c>
      <c r="D183" s="170" t="s">
        <v>7</v>
      </c>
      <c r="E183" s="114"/>
      <c r="F183" s="114"/>
      <c r="G183" s="114" t="s">
        <v>66</v>
      </c>
      <c r="H183" s="114"/>
      <c r="I183" s="114"/>
      <c r="J183" s="114"/>
      <c r="K183" s="115"/>
      <c r="L183" s="107"/>
    </row>
    <row r="184" spans="2:12" ht="57">
      <c r="B184" s="106"/>
      <c r="C184" s="164" t="s">
        <v>67</v>
      </c>
      <c r="D184" s="171" t="s">
        <v>354</v>
      </c>
      <c r="E184" s="116" t="s">
        <v>69</v>
      </c>
      <c r="F184" s="116" t="s">
        <v>355</v>
      </c>
      <c r="G184" s="2" t="s">
        <v>481</v>
      </c>
      <c r="H184" s="116" t="s">
        <v>71</v>
      </c>
      <c r="I184" s="3">
        <v>44.847000000000001</v>
      </c>
      <c r="J184" s="4"/>
      <c r="K184" s="5">
        <f t="shared" ref="K184:K185" si="20">J184*I184</f>
        <v>0</v>
      </c>
      <c r="L184" s="107"/>
    </row>
    <row r="185" spans="2:12" ht="57">
      <c r="B185" s="106"/>
      <c r="C185" s="164" t="s">
        <v>72</v>
      </c>
      <c r="D185" s="171" t="s">
        <v>356</v>
      </c>
      <c r="E185" s="116" t="s">
        <v>74</v>
      </c>
      <c r="F185" s="116" t="s">
        <v>355</v>
      </c>
      <c r="G185" s="2" t="s">
        <v>482</v>
      </c>
      <c r="H185" s="116" t="s">
        <v>20</v>
      </c>
      <c r="I185" s="3">
        <v>7.55</v>
      </c>
      <c r="J185" s="4"/>
      <c r="K185" s="5">
        <f t="shared" si="20"/>
        <v>0</v>
      </c>
      <c r="L185" s="107"/>
    </row>
    <row r="186" spans="2:12" ht="15" thickBot="1">
      <c r="B186" s="106"/>
      <c r="C186" s="181" t="s">
        <v>65</v>
      </c>
      <c r="D186" s="173" t="s">
        <v>7</v>
      </c>
      <c r="E186" s="120"/>
      <c r="F186" s="119"/>
      <c r="G186" s="119"/>
      <c r="H186" s="119"/>
      <c r="I186" s="3"/>
      <c r="J186" s="119"/>
      <c r="K186" s="118">
        <f>SUM(K184:K185)</f>
        <v>0</v>
      </c>
      <c r="L186" s="107"/>
    </row>
    <row r="187" spans="2:12" ht="15" thickBot="1">
      <c r="B187" s="106"/>
      <c r="C187" s="180">
        <v>3</v>
      </c>
      <c r="D187" s="170" t="s">
        <v>7</v>
      </c>
      <c r="E187" s="114"/>
      <c r="F187" s="114"/>
      <c r="G187" s="114" t="s">
        <v>243</v>
      </c>
      <c r="H187" s="114"/>
      <c r="I187" s="114"/>
      <c r="J187" s="114"/>
      <c r="K187" s="115"/>
      <c r="L187" s="107"/>
    </row>
    <row r="188" spans="2:12" ht="42.75">
      <c r="B188" s="106"/>
      <c r="C188" s="164" t="s">
        <v>77</v>
      </c>
      <c r="D188" s="174" t="s">
        <v>357</v>
      </c>
      <c r="E188" s="9" t="s">
        <v>42</v>
      </c>
      <c r="F188" s="9" t="s">
        <v>358</v>
      </c>
      <c r="G188" s="8" t="s">
        <v>246</v>
      </c>
      <c r="H188" s="9" t="s">
        <v>20</v>
      </c>
      <c r="I188" s="3">
        <v>41.2</v>
      </c>
      <c r="J188" s="4"/>
      <c r="K188" s="5">
        <f t="shared" ref="K188:K192" si="21">J188*I188</f>
        <v>0</v>
      </c>
      <c r="L188" s="107"/>
    </row>
    <row r="189" spans="2:12" ht="42.75">
      <c r="B189" s="106"/>
      <c r="C189" s="164" t="s">
        <v>247</v>
      </c>
      <c r="D189" s="174" t="s">
        <v>359</v>
      </c>
      <c r="E189" s="9" t="s">
        <v>42</v>
      </c>
      <c r="F189" s="9" t="s">
        <v>360</v>
      </c>
      <c r="G189" s="8" t="s">
        <v>250</v>
      </c>
      <c r="H189" s="9" t="s">
        <v>44</v>
      </c>
      <c r="I189" s="3">
        <v>25</v>
      </c>
      <c r="J189" s="4"/>
      <c r="K189" s="5">
        <f t="shared" si="21"/>
        <v>0</v>
      </c>
      <c r="L189" s="107"/>
    </row>
    <row r="190" spans="2:12" ht="42.75">
      <c r="B190" s="106"/>
      <c r="C190" s="164" t="s">
        <v>251</v>
      </c>
      <c r="D190" s="174" t="s">
        <v>361</v>
      </c>
      <c r="E190" s="9" t="s">
        <v>42</v>
      </c>
      <c r="F190" s="9" t="s">
        <v>358</v>
      </c>
      <c r="G190" s="8" t="s">
        <v>253</v>
      </c>
      <c r="H190" s="9" t="s">
        <v>44</v>
      </c>
      <c r="I190" s="3">
        <v>10</v>
      </c>
      <c r="J190" s="4"/>
      <c r="K190" s="5">
        <f t="shared" si="21"/>
        <v>0</v>
      </c>
      <c r="L190" s="107"/>
    </row>
    <row r="191" spans="2:12" ht="42.75">
      <c r="B191" s="106"/>
      <c r="C191" s="164" t="s">
        <v>254</v>
      </c>
      <c r="D191" s="174" t="s">
        <v>362</v>
      </c>
      <c r="E191" s="9" t="s">
        <v>103</v>
      </c>
      <c r="F191" s="9" t="s">
        <v>358</v>
      </c>
      <c r="G191" s="8" t="s">
        <v>104</v>
      </c>
      <c r="H191" s="9" t="s">
        <v>20</v>
      </c>
      <c r="I191" s="3">
        <v>14.279999999999998</v>
      </c>
      <c r="J191" s="4"/>
      <c r="K191" s="5">
        <f t="shared" si="21"/>
        <v>0</v>
      </c>
      <c r="L191" s="107"/>
    </row>
    <row r="192" spans="2:12" ht="42.75">
      <c r="B192" s="106"/>
      <c r="C192" s="164" t="s">
        <v>258</v>
      </c>
      <c r="D192" s="174" t="s">
        <v>363</v>
      </c>
      <c r="E192" s="9" t="s">
        <v>103</v>
      </c>
      <c r="F192" s="9" t="s">
        <v>358</v>
      </c>
      <c r="G192" s="8" t="s">
        <v>364</v>
      </c>
      <c r="H192" s="9" t="s">
        <v>20</v>
      </c>
      <c r="I192" s="3">
        <v>10.5</v>
      </c>
      <c r="J192" s="4"/>
      <c r="K192" s="5">
        <f t="shared" si="21"/>
        <v>0</v>
      </c>
      <c r="L192" s="107"/>
    </row>
    <row r="193" spans="2:12" ht="15" thickBot="1">
      <c r="B193" s="106"/>
      <c r="C193" s="182" t="s">
        <v>65</v>
      </c>
      <c r="D193" s="175" t="s">
        <v>7</v>
      </c>
      <c r="E193" s="121"/>
      <c r="F193" s="121"/>
      <c r="G193" s="10"/>
      <c r="H193" s="121"/>
      <c r="I193" s="3"/>
      <c r="J193" s="11"/>
      <c r="K193" s="122">
        <f>SUM(K188:K192)</f>
        <v>0</v>
      </c>
      <c r="L193" s="107"/>
    </row>
    <row r="194" spans="2:12" ht="15" thickBot="1">
      <c r="B194" s="106"/>
      <c r="C194" s="180">
        <v>4</v>
      </c>
      <c r="D194" s="170" t="s">
        <v>7</v>
      </c>
      <c r="E194" s="114"/>
      <c r="F194" s="114"/>
      <c r="G194" s="114" t="s">
        <v>81</v>
      </c>
      <c r="H194" s="114"/>
      <c r="I194" s="114"/>
      <c r="J194" s="114"/>
      <c r="K194" s="115"/>
      <c r="L194" s="107"/>
    </row>
    <row r="195" spans="2:12" ht="42.75">
      <c r="B195" s="106"/>
      <c r="C195" s="164" t="s">
        <v>82</v>
      </c>
      <c r="D195" s="174" t="s">
        <v>365</v>
      </c>
      <c r="E195" s="9" t="s">
        <v>88</v>
      </c>
      <c r="F195" s="9" t="s">
        <v>358</v>
      </c>
      <c r="G195" s="8" t="s">
        <v>263</v>
      </c>
      <c r="H195" s="9" t="s">
        <v>20</v>
      </c>
      <c r="I195" s="3">
        <v>41.2</v>
      </c>
      <c r="J195" s="4"/>
      <c r="K195" s="5">
        <f t="shared" ref="K195:K197" si="22">J195*I195</f>
        <v>0</v>
      </c>
      <c r="L195" s="107"/>
    </row>
    <row r="196" spans="2:12" ht="42.75">
      <c r="B196" s="106"/>
      <c r="C196" s="164" t="s">
        <v>86</v>
      </c>
      <c r="D196" s="174" t="s">
        <v>366</v>
      </c>
      <c r="E196" s="9" t="s">
        <v>88</v>
      </c>
      <c r="F196" s="9" t="s">
        <v>358</v>
      </c>
      <c r="G196" s="8" t="s">
        <v>89</v>
      </c>
      <c r="H196" s="9" t="s">
        <v>44</v>
      </c>
      <c r="I196" s="3">
        <v>10</v>
      </c>
      <c r="J196" s="4"/>
      <c r="K196" s="5">
        <f t="shared" si="22"/>
        <v>0</v>
      </c>
      <c r="L196" s="107"/>
    </row>
    <row r="197" spans="2:12" ht="42.75">
      <c r="B197" s="106"/>
      <c r="C197" s="164" t="s">
        <v>90</v>
      </c>
      <c r="D197" s="174" t="s">
        <v>367</v>
      </c>
      <c r="E197" s="9" t="s">
        <v>132</v>
      </c>
      <c r="F197" s="9" t="s">
        <v>360</v>
      </c>
      <c r="G197" s="8" t="s">
        <v>483</v>
      </c>
      <c r="H197" s="9" t="s">
        <v>148</v>
      </c>
      <c r="I197" s="3">
        <v>1</v>
      </c>
      <c r="J197" s="4"/>
      <c r="K197" s="5">
        <f t="shared" si="22"/>
        <v>0</v>
      </c>
      <c r="L197" s="107"/>
    </row>
    <row r="198" spans="2:12" ht="15" thickBot="1">
      <c r="B198" s="106"/>
      <c r="C198" s="181" t="s">
        <v>65</v>
      </c>
      <c r="D198" s="176" t="s">
        <v>7</v>
      </c>
      <c r="E198" s="123"/>
      <c r="F198" s="123"/>
      <c r="G198" s="12"/>
      <c r="H198" s="124"/>
      <c r="I198" s="3"/>
      <c r="J198" s="7"/>
      <c r="K198" s="118">
        <f>SUM(K195:K197)</f>
        <v>0</v>
      </c>
      <c r="L198" s="107"/>
    </row>
    <row r="199" spans="2:12" ht="15" thickBot="1">
      <c r="B199" s="106"/>
      <c r="C199" s="180">
        <v>5</v>
      </c>
      <c r="D199" s="170" t="s">
        <v>7</v>
      </c>
      <c r="E199" s="114"/>
      <c r="F199" s="114"/>
      <c r="G199" s="114" t="s">
        <v>93</v>
      </c>
      <c r="H199" s="114"/>
      <c r="I199" s="114"/>
      <c r="J199" s="114"/>
      <c r="K199" s="115"/>
      <c r="L199" s="107"/>
    </row>
    <row r="200" spans="2:12" ht="42.75">
      <c r="B200" s="106"/>
      <c r="C200" s="164" t="s">
        <v>94</v>
      </c>
      <c r="D200" s="174" t="s">
        <v>368</v>
      </c>
      <c r="E200" s="9" t="s">
        <v>42</v>
      </c>
      <c r="F200" s="9" t="s">
        <v>358</v>
      </c>
      <c r="G200" s="8" t="s">
        <v>96</v>
      </c>
      <c r="H200" s="9" t="s">
        <v>20</v>
      </c>
      <c r="I200" s="3">
        <v>28.279999999999998</v>
      </c>
      <c r="J200" s="4"/>
      <c r="K200" s="5">
        <f t="shared" ref="K200" si="23">J200*I200</f>
        <v>0</v>
      </c>
      <c r="L200" s="107"/>
    </row>
    <row r="201" spans="2:12" ht="15" thickBot="1">
      <c r="B201" s="106"/>
      <c r="C201" s="181" t="s">
        <v>65</v>
      </c>
      <c r="D201" s="176" t="s">
        <v>7</v>
      </c>
      <c r="E201" s="123"/>
      <c r="F201" s="123"/>
      <c r="G201" s="12"/>
      <c r="H201" s="124"/>
      <c r="I201" s="3"/>
      <c r="J201" s="7"/>
      <c r="K201" s="118">
        <f>SUM(K200:K200)</f>
        <v>0</v>
      </c>
      <c r="L201" s="107"/>
    </row>
    <row r="202" spans="2:12" ht="29.25" thickBot="1">
      <c r="B202" s="106"/>
      <c r="C202" s="180">
        <v>6</v>
      </c>
      <c r="D202" s="170" t="s">
        <v>7</v>
      </c>
      <c r="E202" s="114"/>
      <c r="F202" s="114"/>
      <c r="G202" s="114" t="s">
        <v>105</v>
      </c>
      <c r="H202" s="114"/>
      <c r="I202" s="114"/>
      <c r="J202" s="114"/>
      <c r="K202" s="115"/>
      <c r="L202" s="107"/>
    </row>
    <row r="203" spans="2:12" ht="85.5">
      <c r="B203" s="106"/>
      <c r="C203" s="164" t="s">
        <v>106</v>
      </c>
      <c r="D203" s="174" t="s">
        <v>369</v>
      </c>
      <c r="E203" s="9" t="s">
        <v>108</v>
      </c>
      <c r="F203" s="9" t="s">
        <v>360</v>
      </c>
      <c r="G203" s="8" t="s">
        <v>484</v>
      </c>
      <c r="H203" s="9" t="s">
        <v>110</v>
      </c>
      <c r="I203" s="3">
        <v>1</v>
      </c>
      <c r="J203" s="4"/>
      <c r="K203" s="5">
        <f t="shared" ref="K203:K209" si="24">J203*I203</f>
        <v>0</v>
      </c>
      <c r="L203" s="107"/>
    </row>
    <row r="204" spans="2:12" ht="42.75">
      <c r="B204" s="106"/>
      <c r="C204" s="164" t="s">
        <v>111</v>
      </c>
      <c r="D204" s="174" t="s">
        <v>370</v>
      </c>
      <c r="E204" s="9" t="s">
        <v>113</v>
      </c>
      <c r="F204" s="9" t="s">
        <v>360</v>
      </c>
      <c r="G204" s="8" t="s">
        <v>114</v>
      </c>
      <c r="H204" s="9" t="s">
        <v>110</v>
      </c>
      <c r="I204" s="3">
        <v>2</v>
      </c>
      <c r="J204" s="4"/>
      <c r="K204" s="5">
        <f t="shared" si="24"/>
        <v>0</v>
      </c>
      <c r="L204" s="107"/>
    </row>
    <row r="205" spans="2:12" ht="42.75">
      <c r="B205" s="106"/>
      <c r="C205" s="164" t="s">
        <v>115</v>
      </c>
      <c r="D205" s="174" t="s">
        <v>371</v>
      </c>
      <c r="E205" s="9" t="s">
        <v>117</v>
      </c>
      <c r="F205" s="9" t="s">
        <v>360</v>
      </c>
      <c r="G205" s="8" t="s">
        <v>118</v>
      </c>
      <c r="H205" s="9" t="s">
        <v>110</v>
      </c>
      <c r="I205" s="3">
        <v>3</v>
      </c>
      <c r="J205" s="4"/>
      <c r="K205" s="5">
        <f t="shared" si="24"/>
        <v>0</v>
      </c>
      <c r="L205" s="107"/>
    </row>
    <row r="206" spans="2:12" ht="28.5">
      <c r="B206" s="106"/>
      <c r="C206" s="164" t="s">
        <v>119</v>
      </c>
      <c r="D206" s="174" t="s">
        <v>372</v>
      </c>
      <c r="E206" s="9" t="s">
        <v>121</v>
      </c>
      <c r="F206" s="9" t="s">
        <v>273</v>
      </c>
      <c r="G206" s="8" t="s">
        <v>274</v>
      </c>
      <c r="H206" s="9" t="s">
        <v>110</v>
      </c>
      <c r="I206" s="3">
        <v>3</v>
      </c>
      <c r="J206" s="4"/>
      <c r="K206" s="5">
        <f t="shared" si="24"/>
        <v>0</v>
      </c>
      <c r="L206" s="107"/>
    </row>
    <row r="207" spans="2:12" ht="28.5">
      <c r="B207" s="106"/>
      <c r="C207" s="164" t="s">
        <v>123</v>
      </c>
      <c r="D207" s="174" t="s">
        <v>373</v>
      </c>
      <c r="E207" s="9" t="s">
        <v>121</v>
      </c>
      <c r="F207" s="9" t="s">
        <v>273</v>
      </c>
      <c r="G207" s="8" t="s">
        <v>276</v>
      </c>
      <c r="H207" s="9" t="s">
        <v>110</v>
      </c>
      <c r="I207" s="3">
        <v>1</v>
      </c>
      <c r="J207" s="4"/>
      <c r="K207" s="5">
        <f t="shared" si="24"/>
        <v>0</v>
      </c>
      <c r="L207" s="107"/>
    </row>
    <row r="208" spans="2:12" ht="42.75">
      <c r="B208" s="106"/>
      <c r="C208" s="164" t="s">
        <v>126</v>
      </c>
      <c r="D208" s="174" t="s">
        <v>374</v>
      </c>
      <c r="E208" s="9" t="s">
        <v>128</v>
      </c>
      <c r="F208" s="9" t="s">
        <v>360</v>
      </c>
      <c r="G208" s="8" t="s">
        <v>485</v>
      </c>
      <c r="H208" s="9" t="s">
        <v>110</v>
      </c>
      <c r="I208" s="3">
        <v>1</v>
      </c>
      <c r="J208" s="4"/>
      <c r="K208" s="5">
        <f t="shared" si="24"/>
        <v>0</v>
      </c>
      <c r="L208" s="107"/>
    </row>
    <row r="209" spans="2:12" ht="42.75">
      <c r="B209" s="106"/>
      <c r="C209" s="164" t="s">
        <v>130</v>
      </c>
      <c r="D209" s="174" t="s">
        <v>375</v>
      </c>
      <c r="E209" s="9" t="s">
        <v>132</v>
      </c>
      <c r="F209" s="9" t="s">
        <v>360</v>
      </c>
      <c r="G209" s="8" t="s">
        <v>486</v>
      </c>
      <c r="H209" s="9" t="s">
        <v>110</v>
      </c>
      <c r="I209" s="3">
        <v>1</v>
      </c>
      <c r="J209" s="4"/>
      <c r="K209" s="5">
        <f t="shared" si="24"/>
        <v>0</v>
      </c>
      <c r="L209" s="107"/>
    </row>
    <row r="210" spans="2:12" ht="15" thickBot="1">
      <c r="B210" s="106"/>
      <c r="C210" s="181" t="s">
        <v>65</v>
      </c>
      <c r="D210" s="176" t="s">
        <v>7</v>
      </c>
      <c r="E210" s="123"/>
      <c r="F210" s="123"/>
      <c r="G210" s="12"/>
      <c r="H210" s="124"/>
      <c r="I210" s="3"/>
      <c r="J210" s="7"/>
      <c r="K210" s="118">
        <f>SUM(K203:K209)</f>
        <v>0</v>
      </c>
      <c r="L210" s="107"/>
    </row>
    <row r="211" spans="2:12" ht="29.25" thickBot="1">
      <c r="B211" s="106"/>
      <c r="C211" s="180">
        <v>7</v>
      </c>
      <c r="D211" s="170" t="s">
        <v>7</v>
      </c>
      <c r="E211" s="114"/>
      <c r="F211" s="114"/>
      <c r="G211" s="114" t="s">
        <v>134</v>
      </c>
      <c r="H211" s="114"/>
      <c r="I211" s="114"/>
      <c r="J211" s="114"/>
      <c r="K211" s="115"/>
      <c r="L211" s="107"/>
    </row>
    <row r="212" spans="2:12" ht="42.75">
      <c r="B212" s="106"/>
      <c r="C212" s="164" t="s">
        <v>135</v>
      </c>
      <c r="D212" s="174" t="s">
        <v>376</v>
      </c>
      <c r="E212" s="9" t="s">
        <v>121</v>
      </c>
      <c r="F212" s="9" t="s">
        <v>360</v>
      </c>
      <c r="G212" s="8" t="s">
        <v>137</v>
      </c>
      <c r="H212" s="9" t="s">
        <v>44</v>
      </c>
      <c r="I212" s="3">
        <v>8.1</v>
      </c>
      <c r="J212" s="4"/>
      <c r="K212" s="5">
        <f t="shared" ref="K212:K221" si="25">J212*I212</f>
        <v>0</v>
      </c>
      <c r="L212" s="107"/>
    </row>
    <row r="213" spans="2:12" ht="42.75">
      <c r="B213" s="106"/>
      <c r="C213" s="164" t="s">
        <v>138</v>
      </c>
      <c r="D213" s="174" t="s">
        <v>377</v>
      </c>
      <c r="E213" s="9" t="s">
        <v>121</v>
      </c>
      <c r="F213" s="9" t="s">
        <v>360</v>
      </c>
      <c r="G213" s="8" t="s">
        <v>286</v>
      </c>
      <c r="H213" s="9" t="s">
        <v>44</v>
      </c>
      <c r="I213" s="3">
        <v>7.83</v>
      </c>
      <c r="J213" s="4"/>
      <c r="K213" s="5">
        <f t="shared" si="25"/>
        <v>0</v>
      </c>
      <c r="L213" s="107"/>
    </row>
    <row r="214" spans="2:12" ht="42.75">
      <c r="B214" s="106"/>
      <c r="C214" s="164" t="s">
        <v>141</v>
      </c>
      <c r="D214" s="174" t="s">
        <v>378</v>
      </c>
      <c r="E214" s="9" t="s">
        <v>146</v>
      </c>
      <c r="F214" s="9" t="s">
        <v>360</v>
      </c>
      <c r="G214" s="8" t="s">
        <v>379</v>
      </c>
      <c r="H214" s="9" t="s">
        <v>148</v>
      </c>
      <c r="I214" s="3">
        <v>7</v>
      </c>
      <c r="J214" s="4"/>
      <c r="K214" s="5">
        <f t="shared" si="25"/>
        <v>0</v>
      </c>
      <c r="L214" s="107"/>
    </row>
    <row r="215" spans="2:12" ht="42.75">
      <c r="B215" s="106"/>
      <c r="C215" s="164" t="s">
        <v>144</v>
      </c>
      <c r="D215" s="174" t="s">
        <v>380</v>
      </c>
      <c r="E215" s="9" t="s">
        <v>146</v>
      </c>
      <c r="F215" s="9" t="s">
        <v>360</v>
      </c>
      <c r="G215" s="8" t="s">
        <v>147</v>
      </c>
      <c r="H215" s="9" t="s">
        <v>148</v>
      </c>
      <c r="I215" s="3">
        <v>3</v>
      </c>
      <c r="J215" s="4"/>
      <c r="K215" s="5">
        <f t="shared" si="25"/>
        <v>0</v>
      </c>
      <c r="L215" s="107"/>
    </row>
    <row r="216" spans="2:12" ht="42.75">
      <c r="B216" s="106"/>
      <c r="C216" s="164" t="s">
        <v>149</v>
      </c>
      <c r="D216" s="174" t="s">
        <v>381</v>
      </c>
      <c r="E216" s="9" t="s">
        <v>151</v>
      </c>
      <c r="F216" s="9" t="s">
        <v>360</v>
      </c>
      <c r="G216" s="8" t="s">
        <v>152</v>
      </c>
      <c r="H216" s="9" t="s">
        <v>44</v>
      </c>
      <c r="I216" s="3">
        <v>26.05</v>
      </c>
      <c r="J216" s="4"/>
      <c r="K216" s="5">
        <f t="shared" si="25"/>
        <v>0</v>
      </c>
      <c r="L216" s="107"/>
    </row>
    <row r="217" spans="2:12" ht="42.75">
      <c r="B217" s="106"/>
      <c r="C217" s="164" t="s">
        <v>153</v>
      </c>
      <c r="D217" s="174" t="s">
        <v>382</v>
      </c>
      <c r="E217" s="9" t="s">
        <v>151</v>
      </c>
      <c r="F217" s="9" t="s">
        <v>360</v>
      </c>
      <c r="G217" s="8" t="s">
        <v>155</v>
      </c>
      <c r="H217" s="9" t="s">
        <v>44</v>
      </c>
      <c r="I217" s="3">
        <v>6.81</v>
      </c>
      <c r="J217" s="4"/>
      <c r="K217" s="5">
        <f t="shared" si="25"/>
        <v>0</v>
      </c>
      <c r="L217" s="107"/>
    </row>
    <row r="218" spans="2:12" ht="42.75">
      <c r="B218" s="106"/>
      <c r="C218" s="164" t="s">
        <v>156</v>
      </c>
      <c r="D218" s="174" t="s">
        <v>383</v>
      </c>
      <c r="E218" s="9" t="s">
        <v>151</v>
      </c>
      <c r="F218" s="9" t="s">
        <v>360</v>
      </c>
      <c r="G218" s="8" t="s">
        <v>467</v>
      </c>
      <c r="H218" s="9" t="s">
        <v>44</v>
      </c>
      <c r="I218" s="3">
        <v>39.17</v>
      </c>
      <c r="J218" s="4"/>
      <c r="K218" s="5">
        <f t="shared" si="25"/>
        <v>0</v>
      </c>
      <c r="L218" s="107"/>
    </row>
    <row r="219" spans="2:12" ht="42.75">
      <c r="B219" s="106"/>
      <c r="C219" s="164" t="s">
        <v>160</v>
      </c>
      <c r="D219" s="174" t="s">
        <v>384</v>
      </c>
      <c r="E219" s="9" t="s">
        <v>158</v>
      </c>
      <c r="F219" s="9" t="s">
        <v>360</v>
      </c>
      <c r="G219" s="8" t="s">
        <v>487</v>
      </c>
      <c r="H219" s="9" t="s">
        <v>148</v>
      </c>
      <c r="I219" s="3">
        <v>11</v>
      </c>
      <c r="J219" s="4"/>
      <c r="K219" s="5">
        <f t="shared" si="25"/>
        <v>0</v>
      </c>
      <c r="L219" s="107"/>
    </row>
    <row r="220" spans="2:12" ht="42.75">
      <c r="B220" s="106"/>
      <c r="C220" s="164" t="s">
        <v>163</v>
      </c>
      <c r="D220" s="174" t="s">
        <v>385</v>
      </c>
      <c r="E220" s="9" t="s">
        <v>158</v>
      </c>
      <c r="F220" s="9" t="s">
        <v>360</v>
      </c>
      <c r="G220" s="8" t="s">
        <v>488</v>
      </c>
      <c r="H220" s="9" t="s">
        <v>148</v>
      </c>
      <c r="I220" s="3">
        <v>5</v>
      </c>
      <c r="J220" s="4"/>
      <c r="K220" s="5">
        <f t="shared" si="25"/>
        <v>0</v>
      </c>
      <c r="L220" s="107"/>
    </row>
    <row r="221" spans="2:12" ht="42.75">
      <c r="B221" s="106"/>
      <c r="C221" s="164" t="s">
        <v>167</v>
      </c>
      <c r="D221" s="174" t="s">
        <v>386</v>
      </c>
      <c r="E221" s="9" t="s">
        <v>158</v>
      </c>
      <c r="F221" s="9" t="s">
        <v>360</v>
      </c>
      <c r="G221" s="8" t="s">
        <v>489</v>
      </c>
      <c r="H221" s="9" t="s">
        <v>148</v>
      </c>
      <c r="I221" s="3">
        <v>3</v>
      </c>
      <c r="J221" s="4"/>
      <c r="K221" s="5">
        <f t="shared" si="25"/>
        <v>0</v>
      </c>
      <c r="L221" s="107"/>
    </row>
    <row r="222" spans="2:12" ht="42.75">
      <c r="B222" s="106"/>
      <c r="C222" s="164" t="s">
        <v>171</v>
      </c>
      <c r="D222" s="174" t="s">
        <v>468</v>
      </c>
      <c r="E222" s="9" t="s">
        <v>169</v>
      </c>
      <c r="F222" s="9" t="s">
        <v>360</v>
      </c>
      <c r="G222" s="8" t="s">
        <v>490</v>
      </c>
      <c r="H222" s="9" t="s">
        <v>148</v>
      </c>
      <c r="I222" s="3">
        <v>44</v>
      </c>
      <c r="J222" s="4"/>
      <c r="K222" s="5">
        <f>J222*I222</f>
        <v>0</v>
      </c>
      <c r="L222" s="107"/>
    </row>
    <row r="223" spans="2:12" ht="42.75">
      <c r="B223" s="106"/>
      <c r="C223" s="164" t="s">
        <v>174</v>
      </c>
      <c r="D223" s="174" t="s">
        <v>469</v>
      </c>
      <c r="E223" s="9" t="s">
        <v>300</v>
      </c>
      <c r="F223" s="9" t="s">
        <v>360</v>
      </c>
      <c r="G223" s="8" t="s">
        <v>387</v>
      </c>
      <c r="H223" s="9" t="s">
        <v>148</v>
      </c>
      <c r="I223" s="3">
        <v>2</v>
      </c>
      <c r="J223" s="4"/>
      <c r="K223" s="5">
        <f>J223*I223</f>
        <v>0</v>
      </c>
      <c r="L223" s="107"/>
    </row>
    <row r="224" spans="2:12" ht="42.75">
      <c r="B224" s="106"/>
      <c r="C224" s="164" t="s">
        <v>302</v>
      </c>
      <c r="D224" s="174" t="s">
        <v>470</v>
      </c>
      <c r="E224" s="9" t="s">
        <v>132</v>
      </c>
      <c r="F224" s="9" t="s">
        <v>360</v>
      </c>
      <c r="G224" s="8" t="s">
        <v>483</v>
      </c>
      <c r="H224" s="9" t="s">
        <v>148</v>
      </c>
      <c r="I224" s="3">
        <v>1</v>
      </c>
      <c r="J224" s="4"/>
      <c r="K224" s="5">
        <f>J224*I224</f>
        <v>0</v>
      </c>
      <c r="L224" s="107"/>
    </row>
    <row r="225" spans="2:12" ht="15" thickBot="1">
      <c r="B225" s="106"/>
      <c r="C225" s="181" t="s">
        <v>65</v>
      </c>
      <c r="D225" s="176" t="s">
        <v>7</v>
      </c>
      <c r="E225" s="123"/>
      <c r="F225" s="123"/>
      <c r="G225" s="12"/>
      <c r="H225" s="124"/>
      <c r="I225" s="3"/>
      <c r="J225" s="7"/>
      <c r="K225" s="118">
        <f>SUM(K212:K224)</f>
        <v>0</v>
      </c>
      <c r="L225" s="107"/>
    </row>
    <row r="226" spans="2:12" ht="15" thickBot="1">
      <c r="B226" s="106"/>
      <c r="C226" s="180">
        <v>8</v>
      </c>
      <c r="D226" s="170" t="s">
        <v>7</v>
      </c>
      <c r="E226" s="114"/>
      <c r="F226" s="114"/>
      <c r="G226" s="114" t="s">
        <v>177</v>
      </c>
      <c r="H226" s="114"/>
      <c r="I226" s="114"/>
      <c r="J226" s="114"/>
      <c r="K226" s="115"/>
      <c r="L226" s="107"/>
    </row>
    <row r="227" spans="2:12" ht="42.75">
      <c r="B227" s="106"/>
      <c r="C227" s="164" t="s">
        <v>178</v>
      </c>
      <c r="D227" s="174" t="s">
        <v>388</v>
      </c>
      <c r="E227" s="9" t="s">
        <v>180</v>
      </c>
      <c r="F227" s="9" t="s">
        <v>358</v>
      </c>
      <c r="G227" s="8" t="s">
        <v>181</v>
      </c>
      <c r="H227" s="9" t="s">
        <v>20</v>
      </c>
      <c r="I227" s="3">
        <v>2.9700000000000006</v>
      </c>
      <c r="J227" s="4"/>
      <c r="K227" s="5">
        <f t="shared" ref="K227" si="26">J227*I227</f>
        <v>0</v>
      </c>
      <c r="L227" s="107"/>
    </row>
    <row r="228" spans="2:12" ht="15" thickBot="1">
      <c r="B228" s="106"/>
      <c r="C228" s="182" t="s">
        <v>65</v>
      </c>
      <c r="D228" s="175" t="s">
        <v>7</v>
      </c>
      <c r="E228" s="121"/>
      <c r="F228" s="121"/>
      <c r="G228" s="10"/>
      <c r="H228" s="121"/>
      <c r="I228" s="3"/>
      <c r="J228" s="11"/>
      <c r="K228" s="122">
        <f>SUM(K227)</f>
        <v>0</v>
      </c>
      <c r="L228" s="107"/>
    </row>
    <row r="229" spans="2:12" ht="15" thickBot="1">
      <c r="B229" s="106"/>
      <c r="C229" s="180">
        <v>9</v>
      </c>
      <c r="D229" s="170" t="s">
        <v>7</v>
      </c>
      <c r="E229" s="114"/>
      <c r="F229" s="114"/>
      <c r="G229" s="114" t="s">
        <v>186</v>
      </c>
      <c r="H229" s="114"/>
      <c r="I229" s="114"/>
      <c r="J229" s="114"/>
      <c r="K229" s="115"/>
      <c r="L229" s="107"/>
    </row>
    <row r="230" spans="2:12" ht="42.75">
      <c r="B230" s="106"/>
      <c r="C230" s="164" t="s">
        <v>183</v>
      </c>
      <c r="D230" s="174" t="s">
        <v>471</v>
      </c>
      <c r="E230" s="9" t="s">
        <v>189</v>
      </c>
      <c r="F230" s="9" t="s">
        <v>472</v>
      </c>
      <c r="G230" s="8" t="s">
        <v>191</v>
      </c>
      <c r="H230" s="9" t="s">
        <v>473</v>
      </c>
      <c r="I230" s="3">
        <v>25</v>
      </c>
      <c r="J230" s="4"/>
      <c r="K230" s="5">
        <f t="shared" ref="K230:K235" si="27">J230*I230</f>
        <v>0</v>
      </c>
      <c r="L230" s="107"/>
    </row>
    <row r="231" spans="2:12" ht="42.75">
      <c r="B231" s="106"/>
      <c r="C231" s="164" t="s">
        <v>321</v>
      </c>
      <c r="D231" s="174" t="s">
        <v>474</v>
      </c>
      <c r="E231" s="9" t="s">
        <v>189</v>
      </c>
      <c r="F231" s="9" t="s">
        <v>472</v>
      </c>
      <c r="G231" s="8" t="s">
        <v>475</v>
      </c>
      <c r="H231" s="9" t="s">
        <v>473</v>
      </c>
      <c r="I231" s="3">
        <v>25</v>
      </c>
      <c r="J231" s="4"/>
      <c r="K231" s="5">
        <f t="shared" si="27"/>
        <v>0</v>
      </c>
      <c r="L231" s="107"/>
    </row>
    <row r="232" spans="2:12" ht="42.75">
      <c r="B232" s="106"/>
      <c r="C232" s="164" t="s">
        <v>323</v>
      </c>
      <c r="D232" s="174" t="s">
        <v>476</v>
      </c>
      <c r="E232" s="9" t="s">
        <v>189</v>
      </c>
      <c r="F232" s="9" t="s">
        <v>472</v>
      </c>
      <c r="G232" s="8" t="s">
        <v>197</v>
      </c>
      <c r="H232" s="9" t="s">
        <v>148</v>
      </c>
      <c r="I232" s="3">
        <v>1</v>
      </c>
      <c r="J232" s="4"/>
      <c r="K232" s="5">
        <f t="shared" si="27"/>
        <v>0</v>
      </c>
      <c r="L232" s="107"/>
    </row>
    <row r="233" spans="2:12" ht="42.75">
      <c r="B233" s="106"/>
      <c r="C233" s="164" t="s">
        <v>325</v>
      </c>
      <c r="D233" s="174" t="s">
        <v>477</v>
      </c>
      <c r="E233" s="9" t="s">
        <v>189</v>
      </c>
      <c r="F233" s="9" t="s">
        <v>472</v>
      </c>
      <c r="G233" s="8" t="s">
        <v>200</v>
      </c>
      <c r="H233" s="9" t="s">
        <v>478</v>
      </c>
      <c r="I233" s="3">
        <v>4</v>
      </c>
      <c r="J233" s="4"/>
      <c r="K233" s="5">
        <f t="shared" si="27"/>
        <v>0</v>
      </c>
      <c r="L233" s="107"/>
    </row>
    <row r="234" spans="2:12" ht="42.75">
      <c r="B234" s="106"/>
      <c r="C234" s="164" t="s">
        <v>327</v>
      </c>
      <c r="D234" s="174" t="s">
        <v>479</v>
      </c>
      <c r="E234" s="9" t="s">
        <v>189</v>
      </c>
      <c r="F234" s="9" t="s">
        <v>472</v>
      </c>
      <c r="G234" s="8" t="s">
        <v>207</v>
      </c>
      <c r="H234" s="9" t="s">
        <v>478</v>
      </c>
      <c r="I234" s="3">
        <v>3</v>
      </c>
      <c r="J234" s="4"/>
      <c r="K234" s="5">
        <f t="shared" si="27"/>
        <v>0</v>
      </c>
      <c r="L234" s="107"/>
    </row>
    <row r="235" spans="2:12" ht="42.75">
      <c r="B235" s="106"/>
      <c r="C235" s="164" t="s">
        <v>330</v>
      </c>
      <c r="D235" s="174" t="s">
        <v>480</v>
      </c>
      <c r="E235" s="9" t="s">
        <v>203</v>
      </c>
      <c r="F235" s="9" t="s">
        <v>472</v>
      </c>
      <c r="G235" s="8" t="s">
        <v>204</v>
      </c>
      <c r="H235" s="9" t="s">
        <v>478</v>
      </c>
      <c r="I235" s="3">
        <v>1</v>
      </c>
      <c r="J235" s="4"/>
      <c r="K235" s="5">
        <f t="shared" si="27"/>
        <v>0</v>
      </c>
      <c r="L235" s="107"/>
    </row>
    <row r="236" spans="2:12" ht="15" thickBot="1">
      <c r="B236" s="106"/>
      <c r="C236" s="181" t="s">
        <v>65</v>
      </c>
      <c r="D236" s="176" t="s">
        <v>7</v>
      </c>
      <c r="E236" s="123"/>
      <c r="F236" s="123"/>
      <c r="G236" s="12"/>
      <c r="H236" s="124"/>
      <c r="I236" s="3"/>
      <c r="J236" s="7"/>
      <c r="K236" s="118">
        <f>SUM(K230:K235)</f>
        <v>0</v>
      </c>
      <c r="L236" s="107"/>
    </row>
    <row r="237" spans="2:12" s="128" customFormat="1" ht="15" thickBot="1">
      <c r="B237" s="125"/>
      <c r="C237" s="226" t="s">
        <v>389</v>
      </c>
      <c r="D237" s="227"/>
      <c r="E237" s="228"/>
      <c r="F237" s="228"/>
      <c r="G237" s="228"/>
      <c r="H237" s="228"/>
      <c r="I237" s="228"/>
      <c r="J237" s="229"/>
      <c r="K237" s="126">
        <f>ROUND(K182+K186+K193+K198+K201+K210+K225+K228+K236,0)</f>
        <v>0</v>
      </c>
      <c r="L237" s="127"/>
    </row>
    <row r="238" spans="2:12" s="128" customFormat="1" ht="15" thickBot="1">
      <c r="B238" s="125"/>
      <c r="C238" s="230" t="s">
        <v>390</v>
      </c>
      <c r="D238" s="231"/>
      <c r="E238" s="231"/>
      <c r="F238" s="231"/>
      <c r="G238" s="231"/>
      <c r="H238" s="231"/>
      <c r="I238" s="231"/>
      <c r="J238" s="232"/>
      <c r="K238" s="160">
        <f>ROUND(K83+K165+K237,0)</f>
        <v>0</v>
      </c>
      <c r="L238" s="127"/>
    </row>
    <row r="239" spans="2:12" s="128" customFormat="1" ht="15" thickBot="1">
      <c r="B239" s="125"/>
      <c r="C239" s="129"/>
      <c r="D239" s="129"/>
      <c r="E239" s="129"/>
      <c r="F239" s="129"/>
      <c r="G239" s="129"/>
      <c r="H239" s="129"/>
      <c r="I239" s="129"/>
      <c r="J239" s="129"/>
      <c r="K239" s="130"/>
      <c r="L239" s="127"/>
    </row>
    <row r="240" spans="2:12" s="128" customFormat="1">
      <c r="B240" s="125"/>
      <c r="C240" s="131"/>
      <c r="D240" s="132"/>
      <c r="E240" s="131"/>
      <c r="F240" s="131"/>
      <c r="G240" s="13" t="s">
        <v>391</v>
      </c>
      <c r="H240" s="134"/>
      <c r="I240" s="135"/>
      <c r="J240" s="136"/>
      <c r="K240" s="133">
        <f>ROUND(K238/(1+K251),0)</f>
        <v>0</v>
      </c>
      <c r="L240" s="127"/>
    </row>
    <row r="241" spans="2:12" s="128" customFormat="1" ht="28.5">
      <c r="B241" s="125"/>
      <c r="C241" s="131"/>
      <c r="D241" s="132"/>
      <c r="E241" s="131"/>
      <c r="F241" s="131"/>
      <c r="G241" s="13" t="s">
        <v>392</v>
      </c>
      <c r="H241" s="134"/>
      <c r="I241" s="135"/>
      <c r="J241" s="161" t="str">
        <f>K248</f>
        <v>[Ofrecimiento del Proponente]</v>
      </c>
      <c r="K241" s="137" t="e">
        <f>ROUND(K240*J241,0)</f>
        <v>#VALUE!</v>
      </c>
      <c r="L241" s="127"/>
    </row>
    <row r="242" spans="2:12" s="128" customFormat="1" ht="28.5">
      <c r="B242" s="125"/>
      <c r="C242" s="131"/>
      <c r="D242" s="138"/>
      <c r="E242" s="138"/>
      <c r="F242" s="138"/>
      <c r="G242" s="13" t="s">
        <v>393</v>
      </c>
      <c r="H242" s="139"/>
      <c r="I242" s="140"/>
      <c r="J242" s="161" t="str">
        <f>K250</f>
        <v>[Ofrecimiento del Proponente]</v>
      </c>
      <c r="K242" s="137" t="e">
        <f>ROUND(K240*J242,0)</f>
        <v>#VALUE!</v>
      </c>
      <c r="L242" s="127"/>
    </row>
    <row r="243" spans="2:12" s="128" customFormat="1" ht="15" thickBot="1">
      <c r="B243" s="125"/>
      <c r="C243" s="131"/>
      <c r="D243" s="138"/>
      <c r="E243" s="138"/>
      <c r="F243" s="138"/>
      <c r="G243" s="13" t="s">
        <v>394</v>
      </c>
      <c r="H243" s="139"/>
      <c r="I243" s="140"/>
      <c r="J243" s="161">
        <v>0.19</v>
      </c>
      <c r="K243" s="137" t="e">
        <f>ROUND(K242*J243,0)</f>
        <v>#VALUE!</v>
      </c>
      <c r="L243" s="127"/>
    </row>
    <row r="244" spans="2:12" s="128" customFormat="1" ht="15" thickBot="1">
      <c r="B244" s="125"/>
      <c r="C244" s="131"/>
      <c r="D244" s="132"/>
      <c r="E244" s="131"/>
      <c r="F244" s="131"/>
      <c r="G244" s="141" t="s">
        <v>395</v>
      </c>
      <c r="H244" s="142"/>
      <c r="I244" s="143"/>
      <c r="J244" s="144"/>
      <c r="K244" s="126" t="e">
        <f>SUM(K240:K243)</f>
        <v>#VALUE!</v>
      </c>
      <c r="L244" s="127"/>
    </row>
    <row r="245" spans="2:12" s="128" customFormat="1" ht="15" thickBot="1">
      <c r="B245" s="125"/>
      <c r="C245" s="131"/>
      <c r="D245" s="132"/>
      <c r="E245" s="132"/>
      <c r="F245" s="132"/>
      <c r="G245" s="131"/>
      <c r="H245" s="131"/>
      <c r="I245" s="145"/>
      <c r="J245" s="146"/>
      <c r="K245" s="147"/>
      <c r="L245" s="127"/>
    </row>
    <row r="246" spans="2:12" s="128" customFormat="1">
      <c r="B246" s="125"/>
      <c r="C246" s="148"/>
      <c r="D246" s="201"/>
      <c r="E246" s="201"/>
      <c r="F246" s="201"/>
      <c r="G246" s="201"/>
      <c r="H246" s="201"/>
      <c r="I246" s="201"/>
      <c r="J246" s="201"/>
      <c r="K246" s="202"/>
      <c r="L246" s="149"/>
    </row>
    <row r="247" spans="2:12" s="128" customFormat="1" ht="46.5" customHeight="1">
      <c r="B247" s="125"/>
      <c r="C247" s="235" t="s">
        <v>396</v>
      </c>
      <c r="D247" s="236"/>
      <c r="E247" s="236"/>
      <c r="F247" s="236"/>
      <c r="G247" s="236"/>
      <c r="H247" s="237" t="s">
        <v>8</v>
      </c>
      <c r="I247" s="237"/>
      <c r="J247" s="237"/>
      <c r="K247" s="150" t="s">
        <v>397</v>
      </c>
      <c r="L247" s="151"/>
    </row>
    <row r="248" spans="2:12" s="128" customFormat="1" ht="32.25" customHeight="1">
      <c r="B248" s="125"/>
      <c r="C248" s="235" t="s">
        <v>398</v>
      </c>
      <c r="D248" s="236"/>
      <c r="E248" s="236"/>
      <c r="F248" s="236"/>
      <c r="G248" s="236"/>
      <c r="H248" s="200" t="s">
        <v>392</v>
      </c>
      <c r="I248" s="200"/>
      <c r="J248" s="152" t="s">
        <v>399</v>
      </c>
      <c r="K248" s="192" t="s">
        <v>410</v>
      </c>
      <c r="L248" s="151"/>
    </row>
    <row r="249" spans="2:12" s="128" customFormat="1" ht="30" customHeight="1">
      <c r="B249" s="125"/>
      <c r="C249" s="235" t="s">
        <v>400</v>
      </c>
      <c r="D249" s="236"/>
      <c r="E249" s="236"/>
      <c r="F249" s="236"/>
      <c r="G249" s="236"/>
      <c r="H249" s="238" t="s">
        <v>401</v>
      </c>
      <c r="I249" s="238"/>
      <c r="J249" s="152" t="s">
        <v>402</v>
      </c>
      <c r="K249" s="192" t="s">
        <v>410</v>
      </c>
      <c r="L249" s="151"/>
    </row>
    <row r="250" spans="2:12" s="128" customFormat="1" ht="58.5" customHeight="1">
      <c r="B250" s="125"/>
      <c r="C250" s="239"/>
      <c r="D250" s="240"/>
      <c r="E250" s="240"/>
      <c r="F250" s="240"/>
      <c r="G250" s="241"/>
      <c r="H250" s="200" t="s">
        <v>403</v>
      </c>
      <c r="I250" s="200"/>
      <c r="J250" s="152" t="s">
        <v>404</v>
      </c>
      <c r="K250" s="192" t="s">
        <v>410</v>
      </c>
      <c r="L250" s="127"/>
    </row>
    <row r="251" spans="2:12" ht="39" customHeight="1">
      <c r="B251" s="106"/>
      <c r="C251" s="242"/>
      <c r="D251" s="243"/>
      <c r="E251" s="243"/>
      <c r="F251" s="243"/>
      <c r="G251" s="244"/>
      <c r="H251" s="200" t="s">
        <v>405</v>
      </c>
      <c r="I251" s="200"/>
      <c r="J251" s="152" t="s">
        <v>406</v>
      </c>
      <c r="K251" s="192">
        <f>SUM(K248:K250)</f>
        <v>0</v>
      </c>
      <c r="L251" s="107"/>
    </row>
    <row r="252" spans="2:12" ht="47.25" customHeight="1" thickBot="1">
      <c r="B252" s="106"/>
      <c r="C252" s="245"/>
      <c r="D252" s="246"/>
      <c r="E252" s="246"/>
      <c r="F252" s="246"/>
      <c r="G252" s="247"/>
      <c r="H252" s="233"/>
      <c r="I252" s="233"/>
      <c r="J252" s="233"/>
      <c r="K252" s="234"/>
      <c r="L252" s="107"/>
    </row>
    <row r="253" spans="2:12" ht="47.25" customHeight="1">
      <c r="B253" s="106"/>
      <c r="C253" s="15"/>
      <c r="D253" s="15"/>
      <c r="E253" s="15"/>
      <c r="F253" s="15"/>
      <c r="G253" s="15"/>
      <c r="H253" s="15"/>
      <c r="I253" s="15"/>
      <c r="K253" s="15"/>
      <c r="L253" s="107"/>
    </row>
    <row r="254" spans="2:12" ht="47.25" customHeight="1">
      <c r="B254" s="106"/>
      <c r="C254" s="15"/>
      <c r="D254" s="15"/>
      <c r="E254" s="15"/>
      <c r="F254" s="15"/>
      <c r="G254" s="16" t="s">
        <v>411</v>
      </c>
      <c r="H254" s="15"/>
      <c r="I254" s="15"/>
      <c r="K254" s="15"/>
      <c r="L254" s="107"/>
    </row>
    <row r="255" spans="2:12" ht="15" thickBot="1">
      <c r="B255" s="154"/>
      <c r="C255" s="155"/>
      <c r="D255" s="155"/>
      <c r="E255" s="156"/>
      <c r="F255" s="155"/>
      <c r="G255" s="157"/>
      <c r="H255" s="155"/>
      <c r="I255" s="155"/>
      <c r="K255" s="155"/>
      <c r="L255" s="158"/>
    </row>
    <row r="256" spans="2:12" ht="15" thickTop="1"/>
  </sheetData>
  <mergeCells count="31">
    <mergeCell ref="H252:K252"/>
    <mergeCell ref="C247:G247"/>
    <mergeCell ref="H247:J247"/>
    <mergeCell ref="C248:G248"/>
    <mergeCell ref="H248:I248"/>
    <mergeCell ref="C249:G249"/>
    <mergeCell ref="H249:I249"/>
    <mergeCell ref="C250:G252"/>
    <mergeCell ref="J11:J12"/>
    <mergeCell ref="K11:K12"/>
    <mergeCell ref="H251:I251"/>
    <mergeCell ref="C83:J83"/>
    <mergeCell ref="C165:J165"/>
    <mergeCell ref="C237:J237"/>
    <mergeCell ref="C238:J238"/>
    <mergeCell ref="B1:G1"/>
    <mergeCell ref="B2:E2"/>
    <mergeCell ref="C5:K5"/>
    <mergeCell ref="B4:L4"/>
    <mergeCell ref="H250:I250"/>
    <mergeCell ref="D246:K246"/>
    <mergeCell ref="C6:K6"/>
    <mergeCell ref="C7:K8"/>
    <mergeCell ref="C9:K9"/>
    <mergeCell ref="C10:K10"/>
    <mergeCell ref="C11:C12"/>
    <mergeCell ref="D11:D12"/>
    <mergeCell ref="E11:F11"/>
    <mergeCell ref="G11:G12"/>
    <mergeCell ref="H11:H12"/>
    <mergeCell ref="I11:I12"/>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2578125" defaultRowHeight="14.25"/>
  <cols>
    <col min="1" max="2" width="3.140625" style="17" customWidth="1"/>
    <col min="3" max="3" width="14.7109375" style="17" customWidth="1"/>
    <col min="4" max="4" width="13" style="17" customWidth="1"/>
    <col min="5" max="11" width="11.42578125" style="17"/>
    <col min="12" max="12" width="12.85546875" style="17" customWidth="1"/>
    <col min="13" max="14" width="11.42578125" style="17"/>
    <col min="15" max="15" width="18.7109375" style="17" customWidth="1"/>
    <col min="16" max="17" width="3.140625" style="17" customWidth="1"/>
    <col min="18" max="16384" width="11.42578125" style="17"/>
  </cols>
  <sheetData>
    <row r="1" spans="2:16">
      <c r="B1" s="261" t="s">
        <v>412</v>
      </c>
      <c r="C1" s="261"/>
      <c r="D1" s="261"/>
      <c r="E1" s="261"/>
      <c r="F1" s="261"/>
      <c r="G1" s="261"/>
      <c r="H1" s="261"/>
      <c r="I1" s="261"/>
      <c r="J1" s="261"/>
      <c r="K1" s="261"/>
      <c r="L1" s="261"/>
    </row>
    <row r="2" spans="2:16">
      <c r="B2" s="261" t="s">
        <v>1</v>
      </c>
      <c r="C2" s="261"/>
      <c r="D2" s="261"/>
      <c r="E2" s="261"/>
    </row>
    <row r="3" spans="2:16" ht="15" thickBot="1"/>
    <row r="4" spans="2:16" ht="25.5" customHeight="1" thickTop="1">
      <c r="B4" s="262"/>
      <c r="C4" s="263"/>
      <c r="D4" s="263"/>
      <c r="E4" s="263"/>
      <c r="F4" s="263"/>
      <c r="G4" s="263"/>
      <c r="H4" s="263"/>
      <c r="I4" s="263"/>
      <c r="J4" s="263"/>
      <c r="K4" s="263"/>
      <c r="L4" s="263"/>
      <c r="M4" s="263"/>
      <c r="N4" s="263"/>
      <c r="O4" s="263"/>
      <c r="P4" s="264"/>
    </row>
    <row r="5" spans="2:16" ht="36.75" customHeight="1">
      <c r="B5" s="19"/>
      <c r="C5" s="358" t="s">
        <v>413</v>
      </c>
      <c r="D5" s="358"/>
      <c r="E5" s="358"/>
      <c r="F5" s="358"/>
      <c r="G5" s="358"/>
      <c r="H5" s="358"/>
      <c r="I5" s="358"/>
      <c r="J5" s="358"/>
      <c r="K5" s="358"/>
      <c r="L5" s="358"/>
      <c r="M5" s="358"/>
      <c r="N5" s="358"/>
      <c r="O5" s="358"/>
      <c r="P5" s="18"/>
    </row>
    <row r="6" spans="2:16" ht="15" thickBot="1">
      <c r="B6" s="19"/>
      <c r="P6" s="18"/>
    </row>
    <row r="7" spans="2:16">
      <c r="B7" s="19"/>
      <c r="C7" s="362"/>
      <c r="D7" s="364"/>
      <c r="E7" s="365"/>
      <c r="F7" s="365"/>
      <c r="G7" s="365"/>
      <c r="H7" s="365"/>
      <c r="I7" s="365"/>
      <c r="J7" s="365"/>
      <c r="K7" s="366"/>
      <c r="L7" s="333"/>
      <c r="M7" s="334"/>
      <c r="N7" s="334"/>
      <c r="O7" s="335"/>
      <c r="P7" s="18"/>
    </row>
    <row r="8" spans="2:16">
      <c r="B8" s="19"/>
      <c r="C8" s="363"/>
      <c r="D8" s="345" t="s">
        <v>414</v>
      </c>
      <c r="E8" s="346"/>
      <c r="F8" s="346"/>
      <c r="G8" s="346"/>
      <c r="H8" s="346"/>
      <c r="I8" s="346"/>
      <c r="J8" s="346"/>
      <c r="K8" s="347"/>
      <c r="L8" s="336"/>
      <c r="M8" s="337"/>
      <c r="N8" s="337"/>
      <c r="O8" s="338"/>
      <c r="P8" s="18"/>
    </row>
    <row r="9" spans="2:16">
      <c r="B9" s="19"/>
      <c r="C9" s="363"/>
      <c r="D9" s="345"/>
      <c r="E9" s="346"/>
      <c r="F9" s="346"/>
      <c r="G9" s="346"/>
      <c r="H9" s="346"/>
      <c r="I9" s="346"/>
      <c r="J9" s="346"/>
      <c r="K9" s="347"/>
      <c r="L9" s="348" t="s">
        <v>415</v>
      </c>
      <c r="M9" s="339"/>
      <c r="N9" s="340"/>
      <c r="O9" s="341"/>
      <c r="P9" s="18"/>
    </row>
    <row r="10" spans="2:16">
      <c r="B10" s="19"/>
      <c r="C10" s="363"/>
      <c r="D10" s="345" t="s">
        <v>416</v>
      </c>
      <c r="E10" s="346"/>
      <c r="F10" s="346"/>
      <c r="G10" s="346"/>
      <c r="H10" s="346"/>
      <c r="I10" s="346"/>
      <c r="J10" s="346"/>
      <c r="K10" s="347"/>
      <c r="L10" s="367"/>
      <c r="M10" s="342"/>
      <c r="N10" s="343"/>
      <c r="O10" s="344"/>
      <c r="P10" s="18"/>
    </row>
    <row r="11" spans="2:16" ht="12.75" customHeight="1">
      <c r="B11" s="19"/>
      <c r="C11" s="363"/>
      <c r="D11" s="359"/>
      <c r="E11" s="360"/>
      <c r="F11" s="360"/>
      <c r="G11" s="360"/>
      <c r="H11" s="360"/>
      <c r="I11" s="360"/>
      <c r="J11" s="360"/>
      <c r="K11" s="361"/>
      <c r="L11" s="348" t="s">
        <v>417</v>
      </c>
      <c r="M11" s="348">
        <v>1</v>
      </c>
      <c r="N11" s="348" t="s">
        <v>418</v>
      </c>
      <c r="O11" s="331">
        <v>1</v>
      </c>
      <c r="P11" s="18"/>
    </row>
    <row r="12" spans="2:16">
      <c r="B12" s="19"/>
      <c r="C12" s="363"/>
      <c r="D12" s="359"/>
      <c r="E12" s="360"/>
      <c r="F12" s="360"/>
      <c r="G12" s="360"/>
      <c r="H12" s="360"/>
      <c r="I12" s="360"/>
      <c r="J12" s="360"/>
      <c r="K12" s="361"/>
      <c r="L12" s="349"/>
      <c r="M12" s="349"/>
      <c r="N12" s="349"/>
      <c r="O12" s="332"/>
      <c r="P12" s="18"/>
    </row>
    <row r="13" spans="2:16">
      <c r="B13" s="19"/>
      <c r="C13" s="363"/>
      <c r="D13" s="345" t="s">
        <v>419</v>
      </c>
      <c r="E13" s="346"/>
      <c r="F13" s="346"/>
      <c r="G13" s="346"/>
      <c r="H13" s="346"/>
      <c r="I13" s="346"/>
      <c r="J13" s="346"/>
      <c r="K13" s="347"/>
      <c r="L13" s="349"/>
      <c r="M13" s="349"/>
      <c r="N13" s="349"/>
      <c r="O13" s="332"/>
      <c r="P13" s="18"/>
    </row>
    <row r="14" spans="2:16" ht="15" thickBot="1">
      <c r="B14" s="19"/>
      <c r="C14" s="22"/>
      <c r="D14" s="23"/>
      <c r="E14" s="23"/>
      <c r="F14" s="23"/>
      <c r="G14" s="23"/>
      <c r="H14" s="23"/>
      <c r="I14" s="23"/>
      <c r="J14" s="23"/>
      <c r="K14" s="23"/>
      <c r="L14" s="23"/>
      <c r="M14" s="24"/>
      <c r="N14" s="24"/>
      <c r="O14" s="25"/>
      <c r="P14" s="18"/>
    </row>
    <row r="15" spans="2:16">
      <c r="B15" s="19"/>
      <c r="C15" s="26"/>
      <c r="D15" s="20"/>
      <c r="E15" s="20"/>
      <c r="F15" s="20"/>
      <c r="G15" s="20"/>
      <c r="H15" s="20"/>
      <c r="I15" s="20"/>
      <c r="J15" s="20"/>
      <c r="K15" s="20"/>
      <c r="L15" s="27" t="s">
        <v>420</v>
      </c>
      <c r="M15" s="28" t="s">
        <v>421</v>
      </c>
      <c r="N15" s="28" t="s">
        <v>422</v>
      </c>
      <c r="O15" s="29" t="s">
        <v>423</v>
      </c>
      <c r="P15" s="18"/>
    </row>
    <row r="16" spans="2:16">
      <c r="B16" s="19"/>
      <c r="C16" s="30"/>
      <c r="D16" s="21"/>
      <c r="E16" s="21"/>
      <c r="F16" s="21"/>
      <c r="G16" s="21"/>
      <c r="H16" s="21"/>
      <c r="I16" s="21"/>
      <c r="J16" s="21"/>
      <c r="K16" s="21"/>
      <c r="L16" s="31"/>
      <c r="M16" s="32"/>
      <c r="N16" s="32"/>
      <c r="O16" s="33"/>
      <c r="P16" s="18"/>
    </row>
    <row r="17" spans="2:16" ht="18" customHeight="1">
      <c r="B17" s="19"/>
      <c r="C17" s="271" t="s">
        <v>424</v>
      </c>
      <c r="D17" s="272"/>
      <c r="E17" s="272"/>
      <c r="F17" s="272"/>
      <c r="G17" s="21"/>
      <c r="H17" s="21"/>
      <c r="I17" s="21" t="s">
        <v>425</v>
      </c>
      <c r="K17" s="21"/>
      <c r="L17" s="31"/>
      <c r="O17" s="34"/>
      <c r="P17" s="18"/>
    </row>
    <row r="18" spans="2:16">
      <c r="B18" s="19"/>
      <c r="C18" s="35"/>
      <c r="D18" s="36"/>
      <c r="E18" s="36"/>
      <c r="F18" s="36"/>
      <c r="G18" s="36"/>
      <c r="H18" s="36"/>
      <c r="I18" s="36"/>
      <c r="J18" s="36"/>
      <c r="K18" s="36"/>
      <c r="L18" s="36"/>
      <c r="M18" s="36"/>
      <c r="N18" s="36"/>
      <c r="O18" s="37"/>
      <c r="P18" s="18"/>
    </row>
    <row r="19" spans="2:16" ht="15" thickBot="1">
      <c r="B19" s="19"/>
      <c r="C19" s="38"/>
      <c r="D19" s="39"/>
      <c r="E19" s="39"/>
      <c r="F19" s="39"/>
      <c r="G19" s="39"/>
      <c r="H19" s="39"/>
      <c r="I19" s="39"/>
      <c r="J19" s="39"/>
      <c r="K19" s="39"/>
      <c r="L19" s="39"/>
      <c r="M19" s="39"/>
      <c r="N19" s="39"/>
      <c r="O19" s="40"/>
      <c r="P19" s="18"/>
    </row>
    <row r="20" spans="2:16" ht="15" thickBot="1">
      <c r="B20" s="19"/>
      <c r="C20" s="41"/>
      <c r="D20" s="42"/>
      <c r="E20" s="42"/>
      <c r="F20" s="42"/>
      <c r="G20" s="42"/>
      <c r="H20" s="42"/>
      <c r="K20" s="42"/>
      <c r="L20" s="42"/>
      <c r="M20" s="42"/>
      <c r="N20" s="42"/>
      <c r="O20" s="43"/>
      <c r="P20" s="18"/>
    </row>
    <row r="21" spans="2:16">
      <c r="B21" s="19"/>
      <c r="C21" s="354" t="s">
        <v>426</v>
      </c>
      <c r="D21" s="355"/>
      <c r="E21" s="355"/>
      <c r="F21" s="355"/>
      <c r="G21" s="355"/>
      <c r="H21" s="355"/>
      <c r="I21" s="355"/>
      <c r="J21" s="355"/>
      <c r="K21" s="355"/>
      <c r="L21" s="355"/>
      <c r="M21" s="355"/>
      <c r="N21" s="355"/>
      <c r="O21" s="356"/>
      <c r="P21" s="18"/>
    </row>
    <row r="22" spans="2:16" ht="15" thickBot="1">
      <c r="B22" s="19"/>
      <c r="C22" s="44"/>
      <c r="O22" s="45"/>
      <c r="P22" s="18"/>
    </row>
    <row r="23" spans="2:16">
      <c r="B23" s="19"/>
      <c r="C23" s="46" t="s">
        <v>427</v>
      </c>
      <c r="D23" s="328" t="s">
        <v>428</v>
      </c>
      <c r="E23" s="329"/>
      <c r="F23" s="329"/>
      <c r="G23" s="329"/>
      <c r="H23" s="329"/>
      <c r="I23" s="329"/>
      <c r="J23" s="329"/>
      <c r="K23" s="329"/>
      <c r="L23" s="330"/>
      <c r="M23" s="352" t="s">
        <v>429</v>
      </c>
      <c r="N23" s="353"/>
      <c r="O23" s="46" t="s">
        <v>10</v>
      </c>
      <c r="P23" s="18"/>
    </row>
    <row r="24" spans="2:16" ht="15" thickBot="1">
      <c r="B24" s="19"/>
      <c r="C24" s="47"/>
      <c r="D24" s="320"/>
      <c r="E24" s="321"/>
      <c r="F24" s="321"/>
      <c r="G24" s="321"/>
      <c r="H24" s="321"/>
      <c r="I24" s="321"/>
      <c r="J24" s="321"/>
      <c r="K24" s="321"/>
      <c r="L24" s="322"/>
      <c r="M24" s="320"/>
      <c r="N24" s="322"/>
      <c r="O24" s="48"/>
      <c r="P24" s="18"/>
    </row>
    <row r="25" spans="2:16">
      <c r="B25" s="19"/>
      <c r="C25" s="295" t="s">
        <v>430</v>
      </c>
      <c r="D25" s="296"/>
      <c r="E25" s="296"/>
      <c r="F25" s="296"/>
      <c r="G25" s="296"/>
      <c r="H25" s="296"/>
      <c r="I25" s="296"/>
      <c r="J25" s="296"/>
      <c r="K25" s="296"/>
      <c r="L25" s="296"/>
      <c r="M25" s="296"/>
      <c r="N25" s="296"/>
      <c r="O25" s="297"/>
      <c r="P25" s="18"/>
    </row>
    <row r="26" spans="2:16">
      <c r="B26" s="19"/>
      <c r="C26" s="298"/>
      <c r="D26" s="299"/>
      <c r="E26" s="299"/>
      <c r="F26" s="299"/>
      <c r="G26" s="299"/>
      <c r="H26" s="299"/>
      <c r="I26" s="299"/>
      <c r="J26" s="299"/>
      <c r="K26" s="299"/>
      <c r="L26" s="299"/>
      <c r="M26" s="299"/>
      <c r="N26" s="299"/>
      <c r="O26" s="300"/>
      <c r="P26" s="18"/>
    </row>
    <row r="27" spans="2:16" ht="15" thickBot="1">
      <c r="B27" s="19"/>
      <c r="C27" s="301"/>
      <c r="D27" s="302"/>
      <c r="E27" s="302"/>
      <c r="F27" s="302"/>
      <c r="G27" s="302"/>
      <c r="H27" s="302"/>
      <c r="I27" s="302"/>
      <c r="J27" s="302"/>
      <c r="K27" s="302"/>
      <c r="L27" s="302"/>
      <c r="M27" s="302"/>
      <c r="N27" s="302"/>
      <c r="O27" s="303"/>
      <c r="P27" s="18"/>
    </row>
    <row r="28" spans="2:16">
      <c r="B28" s="19"/>
      <c r="C28" s="306" t="s">
        <v>428</v>
      </c>
      <c r="D28" s="350"/>
      <c r="E28" s="350"/>
      <c r="F28" s="350"/>
      <c r="G28" s="351"/>
      <c r="H28" s="309" t="s">
        <v>431</v>
      </c>
      <c r="I28" s="350"/>
      <c r="J28" s="318" t="s">
        <v>432</v>
      </c>
      <c r="K28" s="319"/>
      <c r="L28" s="50" t="s">
        <v>433</v>
      </c>
      <c r="M28" s="309" t="s">
        <v>434</v>
      </c>
      <c r="N28" s="308"/>
      <c r="O28" s="51" t="s">
        <v>435</v>
      </c>
      <c r="P28" s="18"/>
    </row>
    <row r="29" spans="2:16">
      <c r="B29" s="19"/>
      <c r="C29" s="279"/>
      <c r="D29" s="280"/>
      <c r="E29" s="280"/>
      <c r="F29" s="280"/>
      <c r="G29" s="305"/>
      <c r="H29" s="357"/>
      <c r="I29" s="305"/>
      <c r="J29" s="357"/>
      <c r="K29" s="305"/>
      <c r="L29" s="53"/>
      <c r="M29" s="326"/>
      <c r="N29" s="327"/>
      <c r="O29" s="54"/>
      <c r="P29" s="18"/>
    </row>
    <row r="30" spans="2:16">
      <c r="B30" s="19"/>
      <c r="C30" s="55"/>
      <c r="D30" s="56"/>
      <c r="E30" s="56"/>
      <c r="F30" s="56"/>
      <c r="G30" s="57"/>
      <c r="H30" s="58"/>
      <c r="I30" s="57"/>
      <c r="J30" s="58"/>
      <c r="K30" s="57"/>
      <c r="L30" s="53"/>
      <c r="M30" s="326"/>
      <c r="N30" s="327"/>
      <c r="O30" s="54"/>
      <c r="P30" s="18"/>
    </row>
    <row r="31" spans="2:16" ht="15" thickBot="1">
      <c r="B31" s="19"/>
      <c r="C31" s="291"/>
      <c r="D31" s="292"/>
      <c r="E31" s="292"/>
      <c r="F31" s="292"/>
      <c r="G31" s="304"/>
      <c r="H31" s="323"/>
      <c r="I31" s="304"/>
      <c r="J31" s="323"/>
      <c r="K31" s="304"/>
      <c r="L31" s="59"/>
      <c r="M31" s="324"/>
      <c r="N31" s="325"/>
      <c r="O31" s="54"/>
      <c r="P31" s="18"/>
    </row>
    <row r="32" spans="2:16" ht="15" thickBot="1">
      <c r="B32" s="19"/>
      <c r="C32" s="285" t="s">
        <v>436</v>
      </c>
      <c r="D32" s="286"/>
      <c r="E32" s="286"/>
      <c r="F32" s="286"/>
      <c r="G32" s="286"/>
      <c r="H32" s="286"/>
      <c r="I32" s="286"/>
      <c r="J32" s="286"/>
      <c r="K32" s="286"/>
      <c r="L32" s="286"/>
      <c r="M32" s="286"/>
      <c r="N32" s="287"/>
      <c r="O32" s="60"/>
      <c r="P32" s="18"/>
    </row>
    <row r="33" spans="2:16" ht="13.5" customHeight="1">
      <c r="B33" s="19"/>
      <c r="C33" s="295" t="s">
        <v>437</v>
      </c>
      <c r="D33" s="296"/>
      <c r="E33" s="296"/>
      <c r="F33" s="296"/>
      <c r="G33" s="296"/>
      <c r="H33" s="296"/>
      <c r="I33" s="296"/>
      <c r="J33" s="296"/>
      <c r="K33" s="296"/>
      <c r="L33" s="296"/>
      <c r="M33" s="296"/>
      <c r="N33" s="296"/>
      <c r="O33" s="297"/>
      <c r="P33" s="18"/>
    </row>
    <row r="34" spans="2:16">
      <c r="B34" s="19"/>
      <c r="C34" s="298"/>
      <c r="D34" s="299"/>
      <c r="E34" s="299"/>
      <c r="F34" s="299"/>
      <c r="G34" s="299"/>
      <c r="H34" s="299"/>
      <c r="I34" s="299"/>
      <c r="J34" s="299"/>
      <c r="K34" s="299"/>
      <c r="L34" s="299"/>
      <c r="M34" s="299"/>
      <c r="N34" s="299"/>
      <c r="O34" s="300"/>
      <c r="P34" s="18"/>
    </row>
    <row r="35" spans="2:16" ht="15" thickBot="1">
      <c r="B35" s="19"/>
      <c r="C35" s="301"/>
      <c r="D35" s="302"/>
      <c r="E35" s="302"/>
      <c r="F35" s="302"/>
      <c r="G35" s="302"/>
      <c r="H35" s="302"/>
      <c r="I35" s="302"/>
      <c r="J35" s="302"/>
      <c r="K35" s="302"/>
      <c r="L35" s="302"/>
      <c r="M35" s="302"/>
      <c r="N35" s="302"/>
      <c r="O35" s="303"/>
      <c r="P35" s="18"/>
    </row>
    <row r="36" spans="2:16">
      <c r="B36" s="19"/>
      <c r="C36" s="306" t="s">
        <v>428</v>
      </c>
      <c r="D36" s="307"/>
      <c r="E36" s="307"/>
      <c r="F36" s="307"/>
      <c r="G36" s="307"/>
      <c r="H36" s="307"/>
      <c r="I36" s="307"/>
      <c r="J36" s="308"/>
      <c r="K36" s="49" t="s">
        <v>429</v>
      </c>
      <c r="L36" s="50" t="s">
        <v>10</v>
      </c>
      <c r="M36" s="309" t="s">
        <v>438</v>
      </c>
      <c r="N36" s="308"/>
      <c r="O36" s="51" t="s">
        <v>435</v>
      </c>
      <c r="P36" s="18"/>
    </row>
    <row r="37" spans="2:16">
      <c r="B37" s="19"/>
      <c r="C37" s="279"/>
      <c r="D37" s="280"/>
      <c r="E37" s="280"/>
      <c r="F37" s="280"/>
      <c r="G37" s="280"/>
      <c r="H37" s="280"/>
      <c r="I37" s="280"/>
      <c r="J37" s="305"/>
      <c r="K37" s="62"/>
      <c r="L37" s="63"/>
      <c r="M37" s="310"/>
      <c r="N37" s="311"/>
      <c r="O37" s="54"/>
      <c r="P37" s="18"/>
    </row>
    <row r="38" spans="2:16" ht="15" thickBot="1">
      <c r="B38" s="19"/>
      <c r="C38" s="291"/>
      <c r="D38" s="292"/>
      <c r="E38" s="292"/>
      <c r="F38" s="292"/>
      <c r="G38" s="292"/>
      <c r="H38" s="292"/>
      <c r="I38" s="292"/>
      <c r="J38" s="304"/>
      <c r="K38" s="56"/>
      <c r="L38" s="64"/>
      <c r="M38" s="293"/>
      <c r="N38" s="294"/>
      <c r="O38" s="65"/>
      <c r="P38" s="18"/>
    </row>
    <row r="39" spans="2:16" ht="15" thickBot="1">
      <c r="B39" s="19"/>
      <c r="C39" s="285" t="s">
        <v>436</v>
      </c>
      <c r="D39" s="286"/>
      <c r="E39" s="286"/>
      <c r="F39" s="286"/>
      <c r="G39" s="286"/>
      <c r="H39" s="286"/>
      <c r="I39" s="286"/>
      <c r="J39" s="286"/>
      <c r="K39" s="286"/>
      <c r="L39" s="286"/>
      <c r="M39" s="286"/>
      <c r="N39" s="287"/>
      <c r="O39" s="66">
        <v>0</v>
      </c>
      <c r="P39" s="18"/>
    </row>
    <row r="40" spans="2:16">
      <c r="B40" s="19"/>
      <c r="C40" s="295" t="s">
        <v>439</v>
      </c>
      <c r="D40" s="296"/>
      <c r="E40" s="296"/>
      <c r="F40" s="296"/>
      <c r="G40" s="296"/>
      <c r="H40" s="296"/>
      <c r="I40" s="296"/>
      <c r="J40" s="296"/>
      <c r="K40" s="296"/>
      <c r="L40" s="296"/>
      <c r="M40" s="296"/>
      <c r="N40" s="296"/>
      <c r="O40" s="297"/>
      <c r="P40" s="18"/>
    </row>
    <row r="41" spans="2:16">
      <c r="B41" s="19"/>
      <c r="C41" s="298"/>
      <c r="D41" s="299"/>
      <c r="E41" s="299"/>
      <c r="F41" s="299"/>
      <c r="G41" s="299"/>
      <c r="H41" s="299"/>
      <c r="I41" s="299"/>
      <c r="J41" s="299"/>
      <c r="K41" s="299"/>
      <c r="L41" s="299"/>
      <c r="M41" s="299"/>
      <c r="N41" s="299"/>
      <c r="O41" s="300"/>
      <c r="P41" s="18"/>
    </row>
    <row r="42" spans="2:16" ht="15" thickBot="1">
      <c r="B42" s="19"/>
      <c r="C42" s="301"/>
      <c r="D42" s="302"/>
      <c r="E42" s="302"/>
      <c r="F42" s="302"/>
      <c r="G42" s="302"/>
      <c r="H42" s="302"/>
      <c r="I42" s="302"/>
      <c r="J42" s="302"/>
      <c r="K42" s="302"/>
      <c r="L42" s="302"/>
      <c r="M42" s="302"/>
      <c r="N42" s="302"/>
      <c r="O42" s="303"/>
      <c r="P42" s="18"/>
    </row>
    <row r="43" spans="2:16" ht="15.75">
      <c r="B43" s="19"/>
      <c r="C43" s="306" t="s">
        <v>440</v>
      </c>
      <c r="D43" s="307"/>
      <c r="E43" s="307"/>
      <c r="F43" s="307"/>
      <c r="G43" s="307"/>
      <c r="H43" s="307"/>
      <c r="I43" s="307"/>
      <c r="J43" s="50" t="s">
        <v>441</v>
      </c>
      <c r="K43" s="61" t="s">
        <v>442</v>
      </c>
      <c r="L43" s="67" t="s">
        <v>443</v>
      </c>
      <c r="M43" s="309" t="s">
        <v>444</v>
      </c>
      <c r="N43" s="308"/>
      <c r="O43" s="51" t="s">
        <v>435</v>
      </c>
      <c r="P43" s="18"/>
    </row>
    <row r="44" spans="2:16">
      <c r="B44" s="19"/>
      <c r="C44" s="279"/>
      <c r="D44" s="280"/>
      <c r="E44" s="280"/>
      <c r="F44" s="280"/>
      <c r="G44" s="280"/>
      <c r="H44" s="280"/>
      <c r="I44" s="280"/>
      <c r="J44" s="68"/>
      <c r="K44" s="69"/>
      <c r="L44" s="68"/>
      <c r="M44" s="314"/>
      <c r="N44" s="315"/>
      <c r="O44" s="54"/>
      <c r="P44" s="18"/>
    </row>
    <row r="45" spans="2:16" ht="15" thickBot="1">
      <c r="B45" s="19"/>
      <c r="C45" s="291"/>
      <c r="D45" s="292"/>
      <c r="E45" s="292"/>
      <c r="F45" s="292"/>
      <c r="G45" s="292"/>
      <c r="H45" s="292"/>
      <c r="I45" s="292"/>
      <c r="J45" s="70"/>
      <c r="K45" s="71"/>
      <c r="L45" s="70"/>
      <c r="M45" s="293"/>
      <c r="N45" s="294"/>
      <c r="O45" s="72"/>
      <c r="P45" s="18"/>
    </row>
    <row r="46" spans="2:16" ht="15" thickBot="1">
      <c r="B46" s="19"/>
      <c r="C46" s="285" t="s">
        <v>436</v>
      </c>
      <c r="D46" s="286"/>
      <c r="E46" s="286"/>
      <c r="F46" s="286"/>
      <c r="G46" s="286"/>
      <c r="H46" s="286"/>
      <c r="I46" s="286"/>
      <c r="J46" s="286"/>
      <c r="K46" s="286"/>
      <c r="L46" s="286"/>
      <c r="M46" s="286"/>
      <c r="N46" s="287"/>
      <c r="O46" s="60"/>
      <c r="P46" s="18"/>
    </row>
    <row r="47" spans="2:16">
      <c r="B47" s="19"/>
      <c r="C47" s="295" t="s">
        <v>445</v>
      </c>
      <c r="D47" s="296"/>
      <c r="E47" s="296"/>
      <c r="F47" s="296"/>
      <c r="G47" s="296"/>
      <c r="H47" s="296"/>
      <c r="I47" s="296"/>
      <c r="J47" s="296"/>
      <c r="K47" s="296"/>
      <c r="L47" s="296"/>
      <c r="M47" s="296"/>
      <c r="N47" s="296"/>
      <c r="O47" s="297"/>
      <c r="P47" s="18"/>
    </row>
    <row r="48" spans="2:16">
      <c r="B48" s="19"/>
      <c r="C48" s="298"/>
      <c r="D48" s="299"/>
      <c r="E48" s="299"/>
      <c r="F48" s="299"/>
      <c r="G48" s="299"/>
      <c r="H48" s="299"/>
      <c r="I48" s="299"/>
      <c r="J48" s="299"/>
      <c r="K48" s="299"/>
      <c r="L48" s="299"/>
      <c r="M48" s="299"/>
      <c r="N48" s="299"/>
      <c r="O48" s="300"/>
      <c r="P48" s="18"/>
    </row>
    <row r="49" spans="2:16" ht="15" thickBot="1">
      <c r="B49" s="19"/>
      <c r="C49" s="301"/>
      <c r="D49" s="302"/>
      <c r="E49" s="302"/>
      <c r="F49" s="302"/>
      <c r="G49" s="302"/>
      <c r="H49" s="302"/>
      <c r="I49" s="302"/>
      <c r="J49" s="302"/>
      <c r="K49" s="302"/>
      <c r="L49" s="302"/>
      <c r="M49" s="302"/>
      <c r="N49" s="302"/>
      <c r="O49" s="303"/>
      <c r="P49" s="18"/>
    </row>
    <row r="50" spans="2:16" ht="31.5" customHeight="1">
      <c r="B50" s="19"/>
      <c r="C50" s="306" t="s">
        <v>446</v>
      </c>
      <c r="D50" s="307"/>
      <c r="E50" s="307"/>
      <c r="F50" s="307"/>
      <c r="G50" s="307"/>
      <c r="H50" s="307"/>
      <c r="I50" s="307"/>
      <c r="J50" s="50" t="s">
        <v>447</v>
      </c>
      <c r="K50" s="73" t="s">
        <v>448</v>
      </c>
      <c r="L50" s="74" t="s">
        <v>449</v>
      </c>
      <c r="M50" s="312" t="s">
        <v>434</v>
      </c>
      <c r="N50" s="313"/>
      <c r="O50" s="76" t="s">
        <v>435</v>
      </c>
      <c r="P50" s="18"/>
    </row>
    <row r="51" spans="2:16">
      <c r="B51" s="19"/>
      <c r="C51" s="77"/>
      <c r="D51" s="78"/>
      <c r="E51" s="78"/>
      <c r="F51" s="78"/>
      <c r="G51" s="78"/>
      <c r="H51" s="78"/>
      <c r="I51" s="78"/>
      <c r="J51" s="79"/>
      <c r="K51" s="80"/>
      <c r="L51" s="81"/>
      <c r="M51" s="316"/>
      <c r="N51" s="317"/>
      <c r="O51" s="82"/>
      <c r="P51" s="18"/>
    </row>
    <row r="52" spans="2:16">
      <c r="B52" s="19"/>
      <c r="C52" s="77"/>
      <c r="D52" s="78"/>
      <c r="E52" s="78"/>
      <c r="F52" s="78"/>
      <c r="G52" s="78"/>
      <c r="H52" s="78"/>
      <c r="I52" s="78"/>
      <c r="J52" s="79"/>
      <c r="K52" s="80"/>
      <c r="L52" s="81"/>
      <c r="M52" s="316"/>
      <c r="N52" s="317"/>
      <c r="O52" s="82"/>
      <c r="P52" s="18"/>
    </row>
    <row r="53" spans="2:16">
      <c r="B53" s="19"/>
      <c r="C53" s="77"/>
      <c r="D53" s="78"/>
      <c r="E53" s="78"/>
      <c r="F53" s="78"/>
      <c r="G53" s="78"/>
      <c r="H53" s="78"/>
      <c r="I53" s="78"/>
      <c r="J53" s="79"/>
      <c r="K53" s="80"/>
      <c r="L53" s="81"/>
      <c r="M53" s="314"/>
      <c r="N53" s="315"/>
      <c r="O53" s="82"/>
      <c r="P53" s="18"/>
    </row>
    <row r="54" spans="2:16" ht="15" thickBot="1">
      <c r="B54" s="19"/>
      <c r="C54" s="291"/>
      <c r="D54" s="292"/>
      <c r="E54" s="292"/>
      <c r="F54" s="292"/>
      <c r="G54" s="292"/>
      <c r="H54" s="292"/>
      <c r="I54" s="292"/>
      <c r="J54" s="70"/>
      <c r="K54" s="71"/>
      <c r="L54" s="70"/>
      <c r="M54" s="293"/>
      <c r="N54" s="294"/>
      <c r="O54" s="72"/>
      <c r="P54" s="18"/>
    </row>
    <row r="55" spans="2:16" ht="15" thickBot="1">
      <c r="B55" s="19"/>
      <c r="C55" s="285" t="s">
        <v>436</v>
      </c>
      <c r="D55" s="286"/>
      <c r="E55" s="286"/>
      <c r="F55" s="286"/>
      <c r="G55" s="286"/>
      <c r="H55" s="286"/>
      <c r="I55" s="286"/>
      <c r="J55" s="286"/>
      <c r="K55" s="286"/>
      <c r="L55" s="286"/>
      <c r="M55" s="286"/>
      <c r="N55" s="287"/>
      <c r="O55" s="66"/>
      <c r="P55" s="18"/>
    </row>
    <row r="56" spans="2:16" ht="15" thickBot="1">
      <c r="B56" s="19"/>
      <c r="C56" s="44"/>
      <c r="O56" s="45"/>
      <c r="P56" s="18"/>
    </row>
    <row r="57" spans="2:16" ht="15" thickBot="1">
      <c r="B57" s="19"/>
      <c r="C57" s="288" t="s">
        <v>450</v>
      </c>
      <c r="D57" s="289"/>
      <c r="E57" s="289"/>
      <c r="F57" s="289"/>
      <c r="G57" s="289"/>
      <c r="H57" s="289"/>
      <c r="I57" s="289"/>
      <c r="J57" s="289"/>
      <c r="K57" s="289"/>
      <c r="L57" s="289"/>
      <c r="M57" s="289"/>
      <c r="N57" s="290"/>
      <c r="O57" s="83"/>
      <c r="P57" s="18"/>
    </row>
    <row r="58" spans="2:16">
      <c r="B58" s="19"/>
      <c r="C58" s="295" t="s">
        <v>451</v>
      </c>
      <c r="D58" s="296"/>
      <c r="E58" s="296"/>
      <c r="F58" s="296"/>
      <c r="G58" s="296"/>
      <c r="H58" s="296"/>
      <c r="I58" s="296"/>
      <c r="J58" s="296"/>
      <c r="K58" s="296"/>
      <c r="L58" s="296"/>
      <c r="M58" s="296"/>
      <c r="N58" s="296"/>
      <c r="O58" s="297"/>
      <c r="P58" s="18"/>
    </row>
    <row r="59" spans="2:16">
      <c r="B59" s="19"/>
      <c r="C59" s="298"/>
      <c r="D59" s="299"/>
      <c r="E59" s="299"/>
      <c r="F59" s="299"/>
      <c r="G59" s="299"/>
      <c r="H59" s="299"/>
      <c r="I59" s="299"/>
      <c r="J59" s="299"/>
      <c r="K59" s="299"/>
      <c r="L59" s="299"/>
      <c r="M59" s="299"/>
      <c r="N59" s="299"/>
      <c r="O59" s="300"/>
      <c r="P59" s="18"/>
    </row>
    <row r="60" spans="2:16" ht="15" thickBot="1">
      <c r="B60" s="19"/>
      <c r="C60" s="301"/>
      <c r="D60" s="302"/>
      <c r="E60" s="302"/>
      <c r="F60" s="302"/>
      <c r="G60" s="302"/>
      <c r="H60" s="302"/>
      <c r="I60" s="302"/>
      <c r="J60" s="302"/>
      <c r="K60" s="302"/>
      <c r="L60" s="302"/>
      <c r="M60" s="302"/>
      <c r="N60" s="302"/>
      <c r="O60" s="303"/>
      <c r="P60" s="18"/>
    </row>
    <row r="61" spans="2:16" ht="28.5">
      <c r="B61" s="19"/>
      <c r="C61" s="306" t="s">
        <v>452</v>
      </c>
      <c r="D61" s="307"/>
      <c r="E61" s="307"/>
      <c r="F61" s="307"/>
      <c r="G61" s="307"/>
      <c r="H61" s="307"/>
      <c r="I61" s="307"/>
      <c r="J61" s="61"/>
      <c r="K61" s="75"/>
      <c r="L61" s="74" t="s">
        <v>453</v>
      </c>
      <c r="M61" s="312" t="s">
        <v>454</v>
      </c>
      <c r="N61" s="313"/>
      <c r="O61" s="76"/>
      <c r="P61" s="18"/>
    </row>
    <row r="62" spans="2:16">
      <c r="B62" s="19"/>
      <c r="C62" s="279" t="s">
        <v>392</v>
      </c>
      <c r="D62" s="280"/>
      <c r="E62" s="280"/>
      <c r="F62" s="280"/>
      <c r="G62" s="280"/>
      <c r="H62" s="280"/>
      <c r="I62" s="280"/>
      <c r="J62" s="84"/>
      <c r="K62" s="85"/>
      <c r="L62" s="86"/>
      <c r="M62" s="281"/>
      <c r="N62" s="282"/>
      <c r="O62" s="87"/>
      <c r="P62" s="18"/>
    </row>
    <row r="63" spans="2:16">
      <c r="B63" s="19"/>
      <c r="C63" s="55" t="s">
        <v>455</v>
      </c>
      <c r="D63" s="56"/>
      <c r="E63" s="56"/>
      <c r="F63" s="56"/>
      <c r="G63" s="56"/>
      <c r="H63" s="56"/>
      <c r="I63" s="56"/>
      <c r="J63" s="84"/>
      <c r="K63" s="85"/>
      <c r="L63" s="86"/>
      <c r="M63" s="281"/>
      <c r="N63" s="282"/>
      <c r="O63" s="87"/>
      <c r="P63" s="18"/>
    </row>
    <row r="64" spans="2:16" ht="15" thickBot="1">
      <c r="B64" s="19"/>
      <c r="C64" s="38" t="s">
        <v>393</v>
      </c>
      <c r="D64" s="39"/>
      <c r="E64" s="39"/>
      <c r="F64" s="39"/>
      <c r="G64" s="39"/>
      <c r="H64" s="39"/>
      <c r="I64" s="39"/>
      <c r="J64" s="88"/>
      <c r="K64" s="89"/>
      <c r="L64" s="86"/>
      <c r="M64" s="283"/>
      <c r="N64" s="284"/>
      <c r="O64" s="87"/>
      <c r="P64" s="18"/>
    </row>
    <row r="65" spans="2:16" ht="15" thickBot="1">
      <c r="B65" s="19"/>
      <c r="C65" s="285" t="s">
        <v>436</v>
      </c>
      <c r="D65" s="286"/>
      <c r="E65" s="286"/>
      <c r="F65" s="286"/>
      <c r="G65" s="286"/>
      <c r="H65" s="286"/>
      <c r="I65" s="286"/>
      <c r="J65" s="286"/>
      <c r="K65" s="286"/>
      <c r="L65" s="286"/>
      <c r="M65" s="286"/>
      <c r="N65" s="287"/>
      <c r="O65" s="90"/>
      <c r="P65" s="18"/>
    </row>
    <row r="66" spans="2:16" ht="15" thickBot="1">
      <c r="B66" s="19"/>
      <c r="C66" s="44"/>
      <c r="O66" s="45"/>
      <c r="P66" s="18"/>
    </row>
    <row r="67" spans="2:16" ht="15" thickBot="1">
      <c r="B67" s="19"/>
      <c r="C67" s="288" t="s">
        <v>456</v>
      </c>
      <c r="D67" s="289"/>
      <c r="E67" s="289"/>
      <c r="F67" s="289"/>
      <c r="G67" s="289"/>
      <c r="H67" s="289"/>
      <c r="I67" s="289"/>
      <c r="J67" s="289"/>
      <c r="K67" s="289"/>
      <c r="L67" s="289"/>
      <c r="M67" s="289"/>
      <c r="N67" s="290"/>
      <c r="O67" s="91"/>
      <c r="P67" s="18"/>
    </row>
    <row r="68" spans="2:16">
      <c r="B68" s="19"/>
      <c r="C68" s="41"/>
      <c r="D68" s="42"/>
      <c r="E68" s="42"/>
      <c r="F68" s="42"/>
      <c r="G68" s="42"/>
      <c r="H68" s="42"/>
      <c r="I68" s="42"/>
      <c r="J68" s="42"/>
      <c r="K68" s="42"/>
      <c r="L68" s="42"/>
      <c r="M68" s="42"/>
      <c r="N68" s="42"/>
      <c r="O68" s="43"/>
      <c r="P68" s="18"/>
    </row>
    <row r="69" spans="2:16">
      <c r="B69" s="19"/>
      <c r="C69" s="44"/>
      <c r="O69" s="45"/>
      <c r="P69" s="18"/>
    </row>
    <row r="70" spans="2:16">
      <c r="B70" s="19"/>
      <c r="C70" s="44"/>
      <c r="O70" s="45"/>
      <c r="P70" s="18"/>
    </row>
    <row r="71" spans="2:16">
      <c r="B71" s="19"/>
      <c r="C71" s="44"/>
      <c r="H71" s="92" t="s">
        <v>457</v>
      </c>
      <c r="I71" s="92"/>
      <c r="J71" s="92"/>
      <c r="K71" s="92"/>
      <c r="O71" s="45"/>
      <c r="P71" s="18"/>
    </row>
    <row r="72" spans="2:16">
      <c r="B72" s="19"/>
      <c r="C72" s="44"/>
      <c r="H72" s="92" t="s">
        <v>458</v>
      </c>
      <c r="O72" s="45"/>
      <c r="P72" s="18"/>
    </row>
    <row r="73" spans="2:16">
      <c r="B73" s="19"/>
      <c r="C73" s="44"/>
      <c r="H73" s="92" t="s">
        <v>459</v>
      </c>
      <c r="O73" s="45"/>
      <c r="P73" s="18"/>
    </row>
    <row r="74" spans="2:16">
      <c r="B74" s="19"/>
      <c r="C74" s="30"/>
      <c r="D74" s="93"/>
      <c r="E74" s="93"/>
      <c r="F74" s="93"/>
      <c r="G74" s="93"/>
      <c r="H74" s="92" t="s">
        <v>460</v>
      </c>
      <c r="I74" s="93"/>
      <c r="J74" s="93"/>
      <c r="K74" s="93"/>
      <c r="L74" s="93"/>
      <c r="M74" s="93"/>
      <c r="N74" s="93"/>
      <c r="O74" s="94"/>
      <c r="P74" s="18"/>
    </row>
    <row r="75" spans="2:16">
      <c r="B75" s="19"/>
      <c r="C75" s="44"/>
      <c r="H75" s="17" t="s">
        <v>461</v>
      </c>
      <c r="O75" s="45"/>
      <c r="P75" s="18"/>
    </row>
    <row r="76" spans="2:16">
      <c r="B76" s="19"/>
      <c r="C76" s="95" t="s">
        <v>462</v>
      </c>
      <c r="D76" s="52"/>
      <c r="E76" s="52"/>
      <c r="F76" s="52"/>
      <c r="G76" s="52"/>
      <c r="H76" s="52"/>
      <c r="I76" s="52"/>
      <c r="J76" s="52"/>
      <c r="K76" s="52"/>
      <c r="L76" s="52"/>
      <c r="M76" s="52"/>
      <c r="N76" s="52"/>
      <c r="O76" s="96"/>
      <c r="P76" s="18"/>
    </row>
    <row r="77" spans="2:16">
      <c r="B77" s="19"/>
      <c r="C77" s="276"/>
      <c r="D77" s="277"/>
      <c r="E77" s="277"/>
      <c r="F77" s="277"/>
      <c r="G77" s="277"/>
      <c r="H77" s="277"/>
      <c r="I77" s="277"/>
      <c r="J77" s="277"/>
      <c r="K77" s="277"/>
      <c r="L77" s="277"/>
      <c r="M77" s="277"/>
      <c r="N77" s="277"/>
      <c r="O77" s="278"/>
      <c r="P77" s="18"/>
    </row>
    <row r="78" spans="2:16">
      <c r="B78" s="19"/>
      <c r="C78" s="276"/>
      <c r="D78" s="277"/>
      <c r="E78" s="277"/>
      <c r="F78" s="277"/>
      <c r="G78" s="277"/>
      <c r="H78" s="277"/>
      <c r="I78" s="277"/>
      <c r="J78" s="277"/>
      <c r="K78" s="277"/>
      <c r="L78" s="277"/>
      <c r="M78" s="277"/>
      <c r="N78" s="277"/>
      <c r="O78" s="278"/>
      <c r="P78" s="18"/>
    </row>
    <row r="79" spans="2:16">
      <c r="B79" s="19"/>
      <c r="C79" s="30"/>
      <c r="D79" s="93"/>
      <c r="E79" s="93"/>
      <c r="F79" s="93"/>
      <c r="G79" s="93"/>
      <c r="H79" s="93"/>
      <c r="I79" s="93"/>
      <c r="J79" s="93"/>
      <c r="K79" s="93"/>
      <c r="L79" s="93"/>
      <c r="M79" s="93"/>
      <c r="N79" s="93"/>
      <c r="O79" s="94"/>
      <c r="P79" s="18"/>
    </row>
    <row r="80" spans="2:16">
      <c r="B80" s="19"/>
      <c r="C80" s="97" t="s">
        <v>463</v>
      </c>
      <c r="D80" s="93"/>
      <c r="E80" s="93"/>
      <c r="F80" s="93"/>
      <c r="G80" s="93"/>
      <c r="H80" s="93"/>
      <c r="I80" s="93"/>
      <c r="J80" s="93"/>
      <c r="K80" s="93"/>
      <c r="L80" s="93"/>
      <c r="M80" s="93"/>
      <c r="N80" s="93"/>
      <c r="O80" s="94"/>
      <c r="P80" s="18"/>
    </row>
    <row r="81" spans="2:16" ht="12.75" customHeight="1">
      <c r="B81" s="19"/>
      <c r="C81" s="273" t="s">
        <v>464</v>
      </c>
      <c r="D81" s="274"/>
      <c r="E81" s="274"/>
      <c r="F81" s="274"/>
      <c r="G81" s="274"/>
      <c r="H81" s="274"/>
      <c r="I81" s="274"/>
      <c r="J81" s="274"/>
      <c r="K81" s="274"/>
      <c r="L81" s="274"/>
      <c r="M81" s="274"/>
      <c r="N81" s="274"/>
      <c r="O81" s="275"/>
      <c r="P81" s="18"/>
    </row>
    <row r="82" spans="2:16">
      <c r="B82" s="19"/>
      <c r="C82" s="273"/>
      <c r="D82" s="274"/>
      <c r="E82" s="274"/>
      <c r="F82" s="274"/>
      <c r="G82" s="274"/>
      <c r="H82" s="274"/>
      <c r="I82" s="274"/>
      <c r="J82" s="274"/>
      <c r="K82" s="274"/>
      <c r="L82" s="274"/>
      <c r="M82" s="274"/>
      <c r="N82" s="274"/>
      <c r="O82" s="275"/>
      <c r="P82" s="18"/>
    </row>
    <row r="83" spans="2:16" ht="12.95" customHeight="1">
      <c r="B83" s="19"/>
      <c r="C83" s="273" t="s">
        <v>465</v>
      </c>
      <c r="D83" s="274"/>
      <c r="E83" s="274"/>
      <c r="F83" s="274"/>
      <c r="G83" s="274"/>
      <c r="H83" s="274"/>
      <c r="I83" s="274"/>
      <c r="J83" s="274"/>
      <c r="K83" s="274"/>
      <c r="L83" s="274"/>
      <c r="M83" s="274"/>
      <c r="N83" s="274"/>
      <c r="O83" s="275"/>
      <c r="P83" s="18"/>
    </row>
    <row r="84" spans="2:16">
      <c r="B84" s="19"/>
      <c r="C84" s="273"/>
      <c r="D84" s="274"/>
      <c r="E84" s="274"/>
      <c r="F84" s="274"/>
      <c r="G84" s="274"/>
      <c r="H84" s="274"/>
      <c r="I84" s="274"/>
      <c r="J84" s="274"/>
      <c r="K84" s="274"/>
      <c r="L84" s="274"/>
      <c r="M84" s="274"/>
      <c r="N84" s="274"/>
      <c r="O84" s="275"/>
      <c r="P84" s="18"/>
    </row>
    <row r="85" spans="2:16">
      <c r="B85" s="19"/>
      <c r="C85" s="30"/>
      <c r="D85" s="93"/>
      <c r="E85" s="93"/>
      <c r="F85" s="93"/>
      <c r="G85" s="93"/>
      <c r="H85" s="93"/>
      <c r="I85" s="93"/>
      <c r="J85" s="93"/>
      <c r="K85" s="93"/>
      <c r="L85" s="93"/>
      <c r="M85" s="93"/>
      <c r="N85" s="93"/>
      <c r="O85" s="94"/>
      <c r="P85" s="18"/>
    </row>
    <row r="86" spans="2:16">
      <c r="B86" s="19"/>
      <c r="C86" s="44"/>
      <c r="H86" s="92" t="s">
        <v>457</v>
      </c>
      <c r="O86" s="45"/>
      <c r="P86" s="18"/>
    </row>
    <row r="87" spans="2:16">
      <c r="B87" s="19"/>
      <c r="C87" s="44"/>
      <c r="H87" s="17" t="s">
        <v>458</v>
      </c>
      <c r="I87" s="56"/>
      <c r="J87" s="56"/>
      <c r="K87" s="56"/>
      <c r="O87" s="45"/>
      <c r="P87" s="18"/>
    </row>
    <row r="88" spans="2:16">
      <c r="B88" s="19"/>
      <c r="C88" s="44"/>
      <c r="H88" s="17" t="s">
        <v>466</v>
      </c>
      <c r="I88" s="98"/>
      <c r="J88" s="98"/>
      <c r="K88" s="98"/>
      <c r="O88" s="45"/>
      <c r="P88" s="18"/>
    </row>
    <row r="89" spans="2:16">
      <c r="B89" s="19"/>
      <c r="C89" s="99"/>
      <c r="D89" s="93"/>
      <c r="E89" s="93"/>
      <c r="F89" s="93"/>
      <c r="G89" s="93"/>
      <c r="H89" s="17" t="s">
        <v>460</v>
      </c>
      <c r="L89" s="93"/>
      <c r="M89" s="93"/>
      <c r="N89" s="93"/>
      <c r="O89" s="94"/>
      <c r="P89" s="18"/>
    </row>
    <row r="90" spans="2:16" ht="17.25" customHeight="1">
      <c r="B90" s="19"/>
      <c r="C90" s="99"/>
      <c r="D90" s="98"/>
      <c r="E90" s="98"/>
      <c r="K90" s="265"/>
      <c r="L90" s="265"/>
      <c r="M90" s="265"/>
      <c r="N90" s="265"/>
      <c r="O90" s="266"/>
      <c r="P90" s="18"/>
    </row>
    <row r="91" spans="2:16" ht="18.75" customHeight="1" thickBot="1">
      <c r="B91" s="19"/>
      <c r="C91" s="269"/>
      <c r="D91" s="270"/>
      <c r="E91" s="270"/>
      <c r="F91" s="71"/>
      <c r="G91" s="71"/>
      <c r="H91" s="71"/>
      <c r="I91" s="71"/>
      <c r="J91" s="71"/>
      <c r="K91" s="267"/>
      <c r="L91" s="267"/>
      <c r="M91" s="267"/>
      <c r="N91" s="267"/>
      <c r="O91" s="268"/>
      <c r="P91" s="18"/>
    </row>
    <row r="92" spans="2:16" ht="15" thickBot="1">
      <c r="B92" s="100"/>
      <c r="C92" s="101"/>
      <c r="D92" s="101"/>
      <c r="E92" s="101"/>
      <c r="F92" s="101"/>
      <c r="G92" s="101"/>
      <c r="H92" s="101"/>
      <c r="I92" s="101"/>
      <c r="J92" s="101"/>
      <c r="K92" s="101"/>
      <c r="L92" s="101"/>
      <c r="M92" s="101"/>
      <c r="N92" s="101"/>
      <c r="O92" s="101"/>
      <c r="P92" s="102"/>
    </row>
    <row r="93" spans="2:16" ht="15" thickTop="1"/>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PRESUPUESTO OFICIAL (Entidad)</vt:lpstr>
      <vt:lpstr>PROPUESTA ECONOMICA(Proponente)</vt:lpstr>
      <vt:lpstr>INDICAR CÓDIGO DEL ITEM DE PAGO</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Apoyo Dirección Administrativa - Risaralda - Pereira</cp:lastModifiedBy>
  <cp:revision/>
  <dcterms:created xsi:type="dcterms:W3CDTF">2006-06-27T16:47:25Z</dcterms:created>
  <dcterms:modified xsi:type="dcterms:W3CDTF">2026-08-03T18:26:17Z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