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36.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26.xml" ContentType="application/vnd.openxmlformats-officedocument.spreadsheetml.comments+xml"/>
  <Override PartName="/xl/comments2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21.xml" ContentType="application/vnd.openxmlformats-officedocument.spreadsheetml.comments+xml"/>
  <Override PartName="/xl/comments20.xml" ContentType="application/vnd.openxmlformats-officedocument.spreadsheetml.comments+xml"/>
  <Override PartName="/xl/tables/table1.xml" ContentType="application/vnd.openxmlformats-officedocument.spreadsheetml.table+xml"/>
  <Override PartName="/xl/comments28.xml" ContentType="application/vnd.openxmlformats-officedocument.spreadsheetml.comments+xml"/>
  <Override PartName="/xl/comments25.xml" ContentType="application/vnd.openxmlformats-officedocument.spreadsheetml.comments+xml"/>
  <Override PartName="/xl/comments27.xml" ContentType="application/vnd.openxmlformats-officedocument.spreadsheetml.comments+xml"/>
  <Override PartName="/xl/comments19.xml" ContentType="application/vnd.openxmlformats-officedocument.spreadsheetml.comments+xml"/>
  <Override PartName="/xl/comments24.xml" ContentType="application/vnd.openxmlformats-officedocument.spreadsheetml.comments+xml"/>
  <Override PartName="/xl/comments23.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E:\Carpeta US\Duvan Rodriguez\Downloads\Prestaciones__2026_II\"/>
    </mc:Choice>
  </mc:AlternateContent>
  <xr:revisionPtr revIDLastSave="0" documentId="13_ncr:1_{E1901A01-B505-4FA6-BB74-777CD025B27B}" xr6:coauthVersionLast="47" xr6:coauthVersionMax="47" xr10:uidLastSave="{00000000-0000-0000-0000-000000000000}"/>
  <bookViews>
    <workbookView xWindow="-108" yWindow="-108" windowWidth="23256" windowHeight="12456" tabRatio="907" activeTab="2" xr2:uid="{00000000-000D-0000-FFFF-FFFF00000000}"/>
  </bookViews>
  <sheets>
    <sheet name="Instructivo" sheetId="1" r:id="rId1"/>
    <sheet name="Plan Ejecución" sheetId="2" state="hidden" r:id="rId2"/>
    <sheet name="PE PSP" sheetId="3" r:id="rId3"/>
    <sheet name="Presupuesto Contrato" sheetId="4" state="hidden" r:id="rId4"/>
    <sheet name="Ppto PSP" sheetId="5" r:id="rId5"/>
    <sheet name="Presupuesto Convenio" sheetId="6" state="hidden" r:id="rId6"/>
    <sheet name="Memoria de cálculo O1" sheetId="7" state="hidden" r:id="rId7"/>
    <sheet name="Memoria de cálculo O2" sheetId="8" state="hidden" r:id="rId8"/>
    <sheet name="Memoria de cálculo O3" sheetId="9" state="hidden" r:id="rId9"/>
    <sheet name="Estudio de mercado" sheetId="10" state="hidden" r:id="rId10"/>
    <sheet name="Gastos de adm" sheetId="11" state="hidden" r:id="rId11"/>
    <sheet name="Bienes relevantes" sheetId="12" state="hidden" r:id="rId12"/>
    <sheet name="Propuesta económica O1" sheetId="13" state="hidden" r:id="rId13"/>
    <sheet name="Propuesta económica O2" sheetId="14" state="hidden" r:id="rId14"/>
    <sheet name="Propuesta económica O3" sheetId="15" state="hidden" r:id="rId15"/>
    <sheet name="PAB CA" sheetId="16" state="hidden" r:id="rId16"/>
    <sheet name="PAB CR" sheetId="17" state="hidden" r:id="rId17"/>
    <sheet name="Evaluación financiera" sheetId="18" state="hidden" r:id="rId18"/>
    <sheet name="Habilitados - SI" sheetId="19" state="hidden" r:id="rId19"/>
    <sheet name="A. Lances - SIP" sheetId="20" state="hidden" r:id="rId20"/>
    <sheet name="D. Lances - SIP" sheetId="21" state="hidden" r:id="rId21"/>
    <sheet name="DD. Lances - SIP" sheetId="22" state="hidden" r:id="rId22"/>
    <sheet name="Gtos DyM" sheetId="23" state="hidden" r:id="rId23"/>
    <sheet name="Honorarios" sheetId="24" r:id="rId24"/>
    <sheet name="Jornal" sheetId="25" state="hidden" r:id="rId25"/>
    <sheet name="Salarios" sheetId="26" state="hidden" r:id="rId26"/>
    <sheet name="Alimentación" sheetId="27" state="hidden" r:id="rId27"/>
    <sheet name="Distintivos" sheetId="28" state="hidden" r:id="rId28"/>
    <sheet name="Cuantías" sheetId="29" state="hidden" r:id="rId29"/>
    <sheet name="Apoyo" sheetId="30" state="hidden" r:id="rId30"/>
    <sheet name="Obra&amp;K" sheetId="31" state="hidden" r:id="rId31"/>
    <sheet name="Imp &amp; garantías" sheetId="32" state="hidden" r:id="rId32"/>
    <sheet name="A&amp;PA" sheetId="33" state="hidden" r:id="rId33"/>
    <sheet name="IVA" sheetId="34" state="hidden" r:id="rId34"/>
    <sheet name="Notas PE" sheetId="35" state="hidden" r:id="rId35"/>
    <sheet name="CF&amp;O" sheetId="36" state="hidden" r:id="rId36"/>
    <sheet name="Ayuda honorarios" sheetId="37" state="hidden" r:id="rId37"/>
  </sheets>
  <definedNames>
    <definedName name="_AFC1">#REF!</definedName>
    <definedName name="_AFC3">#REF!</definedName>
    <definedName name="_AFC5">#REF!</definedName>
    <definedName name="_BGC1">#REF!</definedName>
    <definedName name="_BGC3">#REF!</definedName>
    <definedName name="_BGC5">#REF!</definedName>
    <definedName name="_CAC1">#REF!</definedName>
    <definedName name="_CAC3">#REF!</definedName>
    <definedName name="_CAC5">#REF!</definedName>
    <definedName name="_Cod1" localSheetId="32">#REF!</definedName>
    <definedName name="_Cod1" localSheetId="29">#REF!</definedName>
    <definedName name="_Cod1" localSheetId="36">#REF!</definedName>
    <definedName name="_Cod1" localSheetId="11">#REF!</definedName>
    <definedName name="_Cod1" localSheetId="35">#REF!</definedName>
    <definedName name="_Cod1" localSheetId="28">#REF!</definedName>
    <definedName name="_Cod1" localSheetId="27">#REF!</definedName>
    <definedName name="_Cod1" localSheetId="9">#REF!</definedName>
    <definedName name="_Cod1" localSheetId="22">#REF!</definedName>
    <definedName name="_Cod1" localSheetId="31">#REF!</definedName>
    <definedName name="_Cod1" localSheetId="33">#REF!</definedName>
    <definedName name="_Cod1" localSheetId="7">#REF!</definedName>
    <definedName name="_Cod1" localSheetId="8">#REF!</definedName>
    <definedName name="_Cod1" localSheetId="30">#REF!</definedName>
    <definedName name="_Cod1" localSheetId="15">#REF!</definedName>
    <definedName name="_Cod1" localSheetId="16">#REF!</definedName>
    <definedName name="_Cod1" localSheetId="2">#REF!</definedName>
    <definedName name="_Cod1" localSheetId="4">#REF!</definedName>
    <definedName name="_Cod1" localSheetId="5">#REF!</definedName>
    <definedName name="_Cod1" localSheetId="12">#REF!</definedName>
    <definedName name="_Cod1" localSheetId="14">#REF!</definedName>
    <definedName name="_Cod1" localSheetId="25">#REF!</definedName>
    <definedName name="_Cod1">#REF!</definedName>
    <definedName name="_Fill" localSheetId="32" hidden="1">#REF!</definedName>
    <definedName name="_Fill" localSheetId="29" hidden="1">#REF!</definedName>
    <definedName name="_Fill" localSheetId="36" hidden="1">#REF!</definedName>
    <definedName name="_Fill" localSheetId="11" hidden="1">#REF!</definedName>
    <definedName name="_Fill" localSheetId="35" hidden="1">#REF!</definedName>
    <definedName name="_Fill" localSheetId="28" hidden="1">#REF!</definedName>
    <definedName name="_Fill" localSheetId="27" hidden="1">#REF!</definedName>
    <definedName name="_Fill" localSheetId="9" hidden="1">#REF!</definedName>
    <definedName name="_Fill" localSheetId="22" hidden="1">#REF!</definedName>
    <definedName name="_Fill" localSheetId="31" hidden="1">#REF!</definedName>
    <definedName name="_Fill" localSheetId="33" hidden="1">#REF!</definedName>
    <definedName name="_Fill" localSheetId="7" hidden="1">#REF!</definedName>
    <definedName name="_Fill" localSheetId="8" hidden="1">#REF!</definedName>
    <definedName name="_Fill" localSheetId="30" hidden="1">#REF!</definedName>
    <definedName name="_Fill" localSheetId="15" hidden="1">#REF!</definedName>
    <definedName name="_Fill" localSheetId="16" hidden="1">#REF!</definedName>
    <definedName name="_Fill" localSheetId="2" hidden="1">#REF!</definedName>
    <definedName name="_Fill" localSheetId="4" hidden="1">#REF!</definedName>
    <definedName name="_Fill" localSheetId="5" hidden="1">#REF!</definedName>
    <definedName name="_Fill" localSheetId="12" hidden="1">#REF!</definedName>
    <definedName name="_Fill" localSheetId="14" hidden="1">#REF!</definedName>
    <definedName name="_Fill" localSheetId="25" hidden="1">#REF!</definedName>
    <definedName name="_Fill" hidden="1">#REF!</definedName>
    <definedName name="_MA2" localSheetId="32">#REF!</definedName>
    <definedName name="_MA2" localSheetId="29">#REF!</definedName>
    <definedName name="_MA2" localSheetId="36">#REF!</definedName>
    <definedName name="_MA2" localSheetId="11">#REF!</definedName>
    <definedName name="_MA2" localSheetId="35">#REF!</definedName>
    <definedName name="_MA2" localSheetId="28">#REF!</definedName>
    <definedName name="_MA2" localSheetId="27">#REF!</definedName>
    <definedName name="_MA2" localSheetId="9">#REF!</definedName>
    <definedName name="_MA2" localSheetId="22">#REF!</definedName>
    <definedName name="_MA2" localSheetId="31">#REF!</definedName>
    <definedName name="_MA2" localSheetId="33">#REF!</definedName>
    <definedName name="_MA2" localSheetId="7">#REF!</definedName>
    <definedName name="_MA2" localSheetId="8">#REF!</definedName>
    <definedName name="_MA2" localSheetId="30">#REF!</definedName>
    <definedName name="_MA2" localSheetId="15">#REF!</definedName>
    <definedName name="_MA2" localSheetId="16">#REF!</definedName>
    <definedName name="_MA2" localSheetId="2">#REF!</definedName>
    <definedName name="_MA2" localSheetId="4">#REF!</definedName>
    <definedName name="_MA2" localSheetId="5">#REF!</definedName>
    <definedName name="_MA2" localSheetId="12">#REF!</definedName>
    <definedName name="_MA2" localSheetId="14">#REF!</definedName>
    <definedName name="_MA2" localSheetId="25">#REF!</definedName>
    <definedName name="_MA2">#REF!</definedName>
    <definedName name="_Pa1">#REF!</definedName>
    <definedName name="_Pa2">#REF!</definedName>
    <definedName name="_Pa3">#REF!</definedName>
    <definedName name="_Pa4">#REF!</definedName>
    <definedName name="_SBC1">#REF!</definedName>
    <definedName name="_SBC3">#REF!</definedName>
    <definedName name="_SBC5">#REF!</definedName>
    <definedName name="a" localSheetId="32">#REF!</definedName>
    <definedName name="a" localSheetId="29">#REF!</definedName>
    <definedName name="a" localSheetId="36">#REF!</definedName>
    <definedName name="a" localSheetId="11">#REF!</definedName>
    <definedName name="a" localSheetId="35">#REF!</definedName>
    <definedName name="a" localSheetId="28">#REF!</definedName>
    <definedName name="a" localSheetId="27">#REF!</definedName>
    <definedName name="a" localSheetId="9">#REF!</definedName>
    <definedName name="a" localSheetId="22">#REF!</definedName>
    <definedName name="a" localSheetId="31">#REF!</definedName>
    <definedName name="a" localSheetId="33">#REF!</definedName>
    <definedName name="a" localSheetId="7">#REF!</definedName>
    <definedName name="a" localSheetId="8">#REF!</definedName>
    <definedName name="a" localSheetId="30">#REF!</definedName>
    <definedName name="a" localSheetId="15">#REF!</definedName>
    <definedName name="a" localSheetId="16">#REF!</definedName>
    <definedName name="a" localSheetId="2">#REF!</definedName>
    <definedName name="a" localSheetId="4">#REF!</definedName>
    <definedName name="a" localSheetId="5">#REF!</definedName>
    <definedName name="a" localSheetId="12">#REF!</definedName>
    <definedName name="a" localSheetId="14">#REF!</definedName>
    <definedName name="a" localSheetId="25">#REF!</definedName>
    <definedName name="a">#REF!</definedName>
    <definedName name="A_IMPRESIÓN_IM" localSheetId="32">#REF!</definedName>
    <definedName name="A_IMPRESIÓN_IM" localSheetId="29">#REF!</definedName>
    <definedName name="A_IMPRESIÓN_IM" localSheetId="36">#REF!</definedName>
    <definedName name="A_IMPRESIÓN_IM" localSheetId="11">#REF!</definedName>
    <definedName name="A_IMPRESIÓN_IM" localSheetId="35">#REF!</definedName>
    <definedName name="A_IMPRESIÓN_IM" localSheetId="28">#REF!</definedName>
    <definedName name="A_IMPRESIÓN_IM" localSheetId="27">#REF!</definedName>
    <definedName name="A_IMPRESIÓN_IM" localSheetId="9">#REF!</definedName>
    <definedName name="A_IMPRESIÓN_IM" localSheetId="22">#REF!</definedName>
    <definedName name="A_IMPRESIÓN_IM" localSheetId="31">#REF!</definedName>
    <definedName name="A_IMPRESIÓN_IM" localSheetId="33">#REF!</definedName>
    <definedName name="A_IMPRESIÓN_IM" localSheetId="7">#REF!</definedName>
    <definedName name="A_IMPRESIÓN_IM" localSheetId="8">#REF!</definedName>
    <definedName name="A_IMPRESIÓN_IM" localSheetId="30">#REF!</definedName>
    <definedName name="A_IMPRESIÓN_IM" localSheetId="15">#REF!</definedName>
    <definedName name="A_IMPRESIÓN_IM" localSheetId="16">#REF!</definedName>
    <definedName name="A_IMPRESIÓN_IM" localSheetId="2">#REF!</definedName>
    <definedName name="A_IMPRESIÓN_IM" localSheetId="4">#REF!</definedName>
    <definedName name="A_IMPRESIÓN_IM" localSheetId="5">#REF!</definedName>
    <definedName name="A_IMPRESIÓN_IM" localSheetId="12">#REF!</definedName>
    <definedName name="A_IMPRESIÓN_IM" localSheetId="14">#REF!</definedName>
    <definedName name="A_IMPRESIÓN_IM" localSheetId="25">#REF!</definedName>
    <definedName name="A_IMPRESIÓN_IM">#REF!</definedName>
    <definedName name="aa" localSheetId="32">#REF!</definedName>
    <definedName name="aa" localSheetId="29">#REF!</definedName>
    <definedName name="aa" localSheetId="36">#REF!</definedName>
    <definedName name="aa" localSheetId="11">#REF!</definedName>
    <definedName name="aa" localSheetId="35">#REF!</definedName>
    <definedName name="aa" localSheetId="28">#REF!</definedName>
    <definedName name="aa" localSheetId="27">#REF!</definedName>
    <definedName name="aa" localSheetId="9">#REF!</definedName>
    <definedName name="aa" localSheetId="22">#REF!</definedName>
    <definedName name="aa" localSheetId="31">#REF!</definedName>
    <definedName name="aa" localSheetId="33">#REF!</definedName>
    <definedName name="aa" localSheetId="7">#REF!</definedName>
    <definedName name="aa" localSheetId="8">#REF!</definedName>
    <definedName name="aa" localSheetId="30">#REF!</definedName>
    <definedName name="aa" localSheetId="15">#REF!</definedName>
    <definedName name="aa" localSheetId="16">#REF!</definedName>
    <definedName name="aa" localSheetId="2">#REF!</definedName>
    <definedName name="aa" localSheetId="4">#REF!</definedName>
    <definedName name="aa" localSheetId="5">#REF!</definedName>
    <definedName name="aa" localSheetId="12">#REF!</definedName>
    <definedName name="aa" localSheetId="14">#REF!</definedName>
    <definedName name="aa" localSheetId="25">#REF!</definedName>
    <definedName name="aa">#REF!</definedName>
    <definedName name="aaa" localSheetId="32">#REF!</definedName>
    <definedName name="aaa" localSheetId="29">#REF!</definedName>
    <definedName name="aaa" localSheetId="11">#REF!</definedName>
    <definedName name="aaa" localSheetId="35">#REF!</definedName>
    <definedName name="aaa" localSheetId="28">#REF!</definedName>
    <definedName name="aaa" localSheetId="27">#REF!</definedName>
    <definedName name="aaa" localSheetId="9">#REF!</definedName>
    <definedName name="aaa" localSheetId="22">#REF!</definedName>
    <definedName name="aaa" localSheetId="31">#REF!</definedName>
    <definedName name="aaa" localSheetId="33">#REF!</definedName>
    <definedName name="aaa" localSheetId="7">#REF!</definedName>
    <definedName name="aaa" localSheetId="8">#REF!</definedName>
    <definedName name="aaa" localSheetId="30">#REF!</definedName>
    <definedName name="aaa" localSheetId="15">#REF!</definedName>
    <definedName name="aaa" localSheetId="16">#REF!</definedName>
    <definedName name="aaa" localSheetId="2">#REF!</definedName>
    <definedName name="aaa" localSheetId="4">#REF!</definedName>
    <definedName name="aaa" localSheetId="5">#REF!</definedName>
    <definedName name="aaa" localSheetId="12">#REF!</definedName>
    <definedName name="aaa" localSheetId="14">#REF!</definedName>
    <definedName name="aaa" localSheetId="25">#REF!</definedName>
    <definedName name="aaa">#REF!</definedName>
    <definedName name="AAC">#REF!</definedName>
    <definedName name="ABG">#REF!</definedName>
    <definedName name="admon" localSheetId="32">#REF!</definedName>
    <definedName name="admon" localSheetId="29">#REF!</definedName>
    <definedName name="admon" localSheetId="36">#REF!</definedName>
    <definedName name="admon" localSheetId="11">#REF!</definedName>
    <definedName name="admon" localSheetId="35">#REF!</definedName>
    <definedName name="admon" localSheetId="28">#REF!</definedName>
    <definedName name="admon" localSheetId="27">#REF!</definedName>
    <definedName name="admon" localSheetId="9">#REF!</definedName>
    <definedName name="admon" localSheetId="22">#REF!</definedName>
    <definedName name="admon" localSheetId="31">#REF!</definedName>
    <definedName name="admon" localSheetId="33">#REF!</definedName>
    <definedName name="admon" localSheetId="7">#REF!</definedName>
    <definedName name="admon" localSheetId="8">#REF!</definedName>
    <definedName name="admon" localSheetId="30">#REF!</definedName>
    <definedName name="admon" localSheetId="15">#REF!</definedName>
    <definedName name="admon" localSheetId="16">#REF!</definedName>
    <definedName name="admon" localSheetId="2">#REF!</definedName>
    <definedName name="admon" localSheetId="4">#REF!</definedName>
    <definedName name="admon" localSheetId="5">#REF!</definedName>
    <definedName name="admon" localSheetId="12">#REF!</definedName>
    <definedName name="admon" localSheetId="14">#REF!</definedName>
    <definedName name="admon" localSheetId="25">#REF!</definedName>
    <definedName name="admon">#REF!</definedName>
    <definedName name="alimentación">Alimentación!$B$7</definedName>
    <definedName name="ANTI" localSheetId="29">Apoyo!#REF!</definedName>
    <definedName name="ANTI" localSheetId="35">'CF&amp;O'!#REF!</definedName>
    <definedName name="ANTI" localSheetId="28">Cuantías!#REF!</definedName>
    <definedName name="ANTI" localSheetId="33">IVA!#REF!</definedName>
    <definedName name="ANTI" localSheetId="30">'Obra&amp;K'!#REF!</definedName>
    <definedName name="ANTI">'A&amp;PA'!#REF!</definedName>
    <definedName name="APOYO" localSheetId="28">Cuantías!#REF!</definedName>
    <definedName name="APOYO">Apoyo!#REF!</definedName>
    <definedName name="_xlnm.Print_Area" localSheetId="32">'A&amp;PA'!$A$4:$E$25</definedName>
    <definedName name="_xlnm.Print_Area" localSheetId="19">'A. Lances - SIP'!$A$3:$D$94</definedName>
    <definedName name="_xlnm.Print_Area" localSheetId="26">Alimentación!$A$6:$E$16</definedName>
    <definedName name="_xlnm.Print_Area" localSheetId="29">Apoyo!$A$4:$C$49</definedName>
    <definedName name="_xlnm.Print_Area" localSheetId="36">#REF!</definedName>
    <definedName name="_xlnm.Print_Area" localSheetId="35">'CF&amp;O'!$A$4:$E$42</definedName>
    <definedName name="_xlnm.Print_Area" localSheetId="28">Cuantías!$A$4:$C$17</definedName>
    <definedName name="_xlnm.Print_Area" localSheetId="20">'D. Lances - SIP'!$A$3:$H$45</definedName>
    <definedName name="_xlnm.Print_Area" localSheetId="21">'DD. Lances - SIP'!$A$5:$H$46</definedName>
    <definedName name="_xlnm.Print_Area" localSheetId="27">Distintivos!$A$4:$C$17</definedName>
    <definedName name="_xlnm.Print_Area" localSheetId="17">'Evaluación financiera'!$A$3:$J$29</definedName>
    <definedName name="_xlnm.Print_Area" localSheetId="22">'Gtos DyM'!$A$4:$D$114</definedName>
    <definedName name="_xlnm.Print_Area" localSheetId="18">'Habilitados - SI'!$A$3:$G$43</definedName>
    <definedName name="_xlnm.Print_Area" localSheetId="23">Honorarios!$A$3:$C$18</definedName>
    <definedName name="_xlnm.Print_Area" localSheetId="31">'Imp &amp; garantías'!$A$4:$E$61</definedName>
    <definedName name="_xlnm.Print_Area" localSheetId="33">IVA!$A$4:$E$100</definedName>
    <definedName name="_xlnm.Print_Area" localSheetId="24">Jornal!$A$4:$J$44</definedName>
    <definedName name="_xlnm.Print_Area" localSheetId="34">'Notas PE'!$A$4:$E$40</definedName>
    <definedName name="_xlnm.Print_Area" localSheetId="30">'Obra&amp;K'!$A$4:$C$37</definedName>
    <definedName name="_xlnm.Print_Area" localSheetId="16">'PAB CR'!$A$4:$N$80</definedName>
    <definedName name="_xlnm.Print_Area" localSheetId="2">'PE PSP'!$A$4:$Q$52</definedName>
    <definedName name="_xlnm.Print_Area" localSheetId="1">'Plan Ejecución'!$A$4:$AD$246</definedName>
    <definedName name="_xlnm.Print_Area" localSheetId="4">'Ppto PSP'!$A$4:$G$14</definedName>
    <definedName name="_xlnm.Print_Area" localSheetId="3">'Presupuesto Contrato'!$A$4:$O$167</definedName>
    <definedName name="_xlnm.Print_Area" localSheetId="5">'Presupuesto Convenio'!$A$4:$T$195</definedName>
    <definedName name="_xlnm.Print_Area" localSheetId="14">'Propuesta económica O3'!$A$3:$J$77</definedName>
    <definedName name="_xlnm.Print_Area" localSheetId="25">Salarios!$A$4:$F$120</definedName>
    <definedName name="_xlnm.Print_Area">#REF!</definedName>
    <definedName name="ASB">#REF!</definedName>
    <definedName name="Base" localSheetId="32">#REF!</definedName>
    <definedName name="Base" localSheetId="29">#REF!</definedName>
    <definedName name="Base" localSheetId="36">#REF!</definedName>
    <definedName name="Base" localSheetId="11">#REF!</definedName>
    <definedName name="Base" localSheetId="35">#REF!</definedName>
    <definedName name="Base" localSheetId="28">#REF!</definedName>
    <definedName name="Base" localSheetId="27">#REF!</definedName>
    <definedName name="Base" localSheetId="9">#REF!</definedName>
    <definedName name="Base" localSheetId="22">#REF!</definedName>
    <definedName name="Base" localSheetId="31">#REF!</definedName>
    <definedName name="Base" localSheetId="33">#REF!</definedName>
    <definedName name="Base" localSheetId="7">#REF!</definedName>
    <definedName name="Base" localSheetId="8">#REF!</definedName>
    <definedName name="Base" localSheetId="30">#REF!</definedName>
    <definedName name="Base" localSheetId="15">#REF!</definedName>
    <definedName name="Base" localSheetId="16">#REF!</definedName>
    <definedName name="Base" localSheetId="2">#REF!</definedName>
    <definedName name="Base" localSheetId="4">#REF!</definedName>
    <definedName name="Base" localSheetId="5">#REF!</definedName>
    <definedName name="Base" localSheetId="12">#REF!</definedName>
    <definedName name="Base" localSheetId="14">#REF!</definedName>
    <definedName name="Base" localSheetId="25">#REF!</definedName>
    <definedName name="Base">#REF!</definedName>
    <definedName name="_xlnm.Database" localSheetId="32">#REF!</definedName>
    <definedName name="_xlnm.Database" localSheetId="29">#REF!</definedName>
    <definedName name="_xlnm.Database" localSheetId="36">#REF!</definedName>
    <definedName name="_xlnm.Database" localSheetId="11">#REF!</definedName>
    <definedName name="_xlnm.Database" localSheetId="35">#REF!</definedName>
    <definedName name="_xlnm.Database" localSheetId="28">#REF!</definedName>
    <definedName name="_xlnm.Database" localSheetId="27">#REF!</definedName>
    <definedName name="_xlnm.Database" localSheetId="9">#REF!</definedName>
    <definedName name="_xlnm.Database" localSheetId="22">#REF!</definedName>
    <definedName name="_xlnm.Database" localSheetId="31">#REF!</definedName>
    <definedName name="_xlnm.Database" localSheetId="33">#REF!</definedName>
    <definedName name="_xlnm.Database" localSheetId="7">#REF!</definedName>
    <definedName name="_xlnm.Database" localSheetId="8">#REF!</definedName>
    <definedName name="_xlnm.Database" localSheetId="30">#REF!</definedName>
    <definedName name="_xlnm.Database" localSheetId="15">#REF!</definedName>
    <definedName name="_xlnm.Database" localSheetId="16">#REF!</definedName>
    <definedName name="_xlnm.Database" localSheetId="2">#REF!</definedName>
    <definedName name="_xlnm.Database" localSheetId="4">#REF!</definedName>
    <definedName name="_xlnm.Database" localSheetId="5">#REF!</definedName>
    <definedName name="_xlnm.Database" localSheetId="12">#REF!</definedName>
    <definedName name="_xlnm.Database" localSheetId="14">#REF!</definedName>
    <definedName name="_xlnm.Database" localSheetId="25">#REF!</definedName>
    <definedName name="_xlnm.Database">#REF!</definedName>
    <definedName name="BEB" localSheetId="32">#REF!</definedName>
    <definedName name="BEB" localSheetId="29">#REF!</definedName>
    <definedName name="BEB" localSheetId="36">#REF!</definedName>
    <definedName name="BEB" localSheetId="11">#REF!</definedName>
    <definedName name="BEB" localSheetId="35">#REF!</definedName>
    <definedName name="BEB" localSheetId="28">#REF!</definedName>
    <definedName name="BEB" localSheetId="27">#REF!</definedName>
    <definedName name="BEB" localSheetId="9">#REF!</definedName>
    <definedName name="BEB" localSheetId="22">#REF!</definedName>
    <definedName name="BEB" localSheetId="31">#REF!</definedName>
    <definedName name="BEB" localSheetId="33">#REF!</definedName>
    <definedName name="BEB" localSheetId="7">#REF!</definedName>
    <definedName name="BEB" localSheetId="8">#REF!</definedName>
    <definedName name="BEB" localSheetId="30">#REF!</definedName>
    <definedName name="BEB" localSheetId="15">#REF!</definedName>
    <definedName name="BEB" localSheetId="16">#REF!</definedName>
    <definedName name="BEB" localSheetId="2">#REF!</definedName>
    <definedName name="BEB" localSheetId="4">#REF!</definedName>
    <definedName name="BEB" localSheetId="5">#REF!</definedName>
    <definedName name="BEB" localSheetId="12">#REF!</definedName>
    <definedName name="BEB" localSheetId="14">#REF!</definedName>
    <definedName name="BEB" localSheetId="25">#REF!</definedName>
    <definedName name="BEB">#REF!</definedName>
    <definedName name="CAP" localSheetId="32">#REF!</definedName>
    <definedName name="CAP" localSheetId="29">#REF!</definedName>
    <definedName name="CAP" localSheetId="11">#REF!</definedName>
    <definedName name="CAP" localSheetId="35">#REF!</definedName>
    <definedName name="CAP" localSheetId="28">#REF!</definedName>
    <definedName name="CAP" localSheetId="27">#REF!</definedName>
    <definedName name="CAP" localSheetId="9">#REF!</definedName>
    <definedName name="CAP" localSheetId="22">#REF!</definedName>
    <definedName name="CAP" localSheetId="31">#REF!</definedName>
    <definedName name="CAP" localSheetId="33">#REF!</definedName>
    <definedName name="CAP" localSheetId="7">#REF!</definedName>
    <definedName name="CAP" localSheetId="8">#REF!</definedName>
    <definedName name="CAP" localSheetId="30">#REF!</definedName>
    <definedName name="CAP" localSheetId="15">#REF!</definedName>
    <definedName name="CAP" localSheetId="16">#REF!</definedName>
    <definedName name="CAP" localSheetId="2">#REF!</definedName>
    <definedName name="CAP" localSheetId="4">#REF!</definedName>
    <definedName name="CAP" localSheetId="5">#REF!</definedName>
    <definedName name="CAP" localSheetId="12">#REF!</definedName>
    <definedName name="CAP" localSheetId="14">#REF!</definedName>
    <definedName name="CAP" localSheetId="25">#REF!</definedName>
    <definedName name="CAP">#REF!</definedName>
    <definedName name="cd">#REF!</definedName>
    <definedName name="clcl" localSheetId="32">#REF!</definedName>
    <definedName name="clcl" localSheetId="29">#REF!</definedName>
    <definedName name="clcl" localSheetId="36">#REF!</definedName>
    <definedName name="clcl" localSheetId="11">#REF!</definedName>
    <definedName name="clcl" localSheetId="35">#REF!</definedName>
    <definedName name="clcl" localSheetId="28">#REF!</definedName>
    <definedName name="clcl" localSheetId="27">#REF!</definedName>
    <definedName name="clcl" localSheetId="9">#REF!</definedName>
    <definedName name="clcl" localSheetId="22">#REF!</definedName>
    <definedName name="clcl" localSheetId="31">#REF!</definedName>
    <definedName name="clcl" localSheetId="33">#REF!</definedName>
    <definedName name="clcl" localSheetId="7">#REF!</definedName>
    <definedName name="clcl" localSheetId="8">#REF!</definedName>
    <definedName name="clcl" localSheetId="30">#REF!</definedName>
    <definedName name="clcl" localSheetId="15">#REF!</definedName>
    <definedName name="clcl" localSheetId="16">#REF!</definedName>
    <definedName name="clcl" localSheetId="2">#REF!</definedName>
    <definedName name="clcl" localSheetId="4">#REF!</definedName>
    <definedName name="clcl" localSheetId="5">#REF!</definedName>
    <definedName name="clcl" localSheetId="12">#REF!</definedName>
    <definedName name="clcl" localSheetId="14">#REF!</definedName>
    <definedName name="clcl" localSheetId="25">#REF!</definedName>
    <definedName name="clcl">#REF!</definedName>
    <definedName name="Cod" localSheetId="32">#REF!</definedName>
    <definedName name="Cod" localSheetId="29">#REF!</definedName>
    <definedName name="Cod" localSheetId="36">#REF!</definedName>
    <definedName name="Cod" localSheetId="11">#REF!</definedName>
    <definedName name="Cod" localSheetId="35">#REF!</definedName>
    <definedName name="Cod" localSheetId="28">#REF!</definedName>
    <definedName name="Cod" localSheetId="27">#REF!</definedName>
    <definedName name="Cod" localSheetId="9">#REF!</definedName>
    <definedName name="Cod" localSheetId="22">#REF!</definedName>
    <definedName name="Cod" localSheetId="31">#REF!</definedName>
    <definedName name="Cod" localSheetId="33">#REF!</definedName>
    <definedName name="Cod" localSheetId="7">#REF!</definedName>
    <definedName name="Cod" localSheetId="8">#REF!</definedName>
    <definedName name="Cod" localSheetId="30">#REF!</definedName>
    <definedName name="Cod" localSheetId="15">#REF!</definedName>
    <definedName name="Cod" localSheetId="16">#REF!</definedName>
    <definedName name="Cod" localSheetId="2">#REF!</definedName>
    <definedName name="Cod" localSheetId="4">#REF!</definedName>
    <definedName name="Cod" localSheetId="5">#REF!</definedName>
    <definedName name="Cod" localSheetId="12">#REF!</definedName>
    <definedName name="Cod" localSheetId="14">#REF!</definedName>
    <definedName name="Cod" localSheetId="25">#REF!</definedName>
    <definedName name="Cod">#REF!</definedName>
    <definedName name="CODOS" localSheetId="32">#REF!</definedName>
    <definedName name="CODOS" localSheetId="29">#REF!</definedName>
    <definedName name="CODOS" localSheetId="36">#REF!</definedName>
    <definedName name="CODOS" localSheetId="11">#REF!</definedName>
    <definedName name="CODOS" localSheetId="35">#REF!</definedName>
    <definedName name="CODOS" localSheetId="28">#REF!</definedName>
    <definedName name="CODOS" localSheetId="27">#REF!</definedName>
    <definedName name="CODOS" localSheetId="9">#REF!</definedName>
    <definedName name="CODOS" localSheetId="22">#REF!</definedName>
    <definedName name="CODOS" localSheetId="31">#REF!</definedName>
    <definedName name="CODOS" localSheetId="33">#REF!</definedName>
    <definedName name="CODOS" localSheetId="7">#REF!</definedName>
    <definedName name="CODOS" localSheetId="8">#REF!</definedName>
    <definedName name="CODOS" localSheetId="30">#REF!</definedName>
    <definedName name="CODOS" localSheetId="15">#REF!</definedName>
    <definedName name="CODOS" localSheetId="16">#REF!</definedName>
    <definedName name="CODOS" localSheetId="2">#REF!</definedName>
    <definedName name="CODOS" localSheetId="4">#REF!</definedName>
    <definedName name="CODOS" localSheetId="5">#REF!</definedName>
    <definedName name="CODOS" localSheetId="12">#REF!</definedName>
    <definedName name="CODOS" localSheetId="14">#REF!</definedName>
    <definedName name="CODOS" localSheetId="25">#REF!</definedName>
    <definedName name="CODOS">#REF!</definedName>
    <definedName name="codos2" localSheetId="32">#REF!</definedName>
    <definedName name="codos2" localSheetId="29">#REF!</definedName>
    <definedName name="codos2" localSheetId="11">#REF!</definedName>
    <definedName name="codos2" localSheetId="35">#REF!</definedName>
    <definedName name="codos2" localSheetId="28">#REF!</definedName>
    <definedName name="codos2" localSheetId="27">#REF!</definedName>
    <definedName name="codos2" localSheetId="9">#REF!</definedName>
    <definedName name="codos2" localSheetId="22">#REF!</definedName>
    <definedName name="codos2" localSheetId="31">#REF!</definedName>
    <definedName name="codos2" localSheetId="33">#REF!</definedName>
    <definedName name="codos2" localSheetId="7">#REF!</definedName>
    <definedName name="codos2" localSheetId="8">#REF!</definedName>
    <definedName name="codos2" localSheetId="30">#REF!</definedName>
    <definedName name="codos2" localSheetId="15">#REF!</definedName>
    <definedName name="codos2" localSheetId="16">#REF!</definedName>
    <definedName name="codos2" localSheetId="2">#REF!</definedName>
    <definedName name="codos2" localSheetId="4">#REF!</definedName>
    <definedName name="codos2" localSheetId="5">#REF!</definedName>
    <definedName name="codos2" localSheetId="12">#REF!</definedName>
    <definedName name="codos2" localSheetId="14">#REF!</definedName>
    <definedName name="codos2" localSheetId="25">#REF!</definedName>
    <definedName name="codos2">#REF!</definedName>
    <definedName name="ColTap">#REF!</definedName>
    <definedName name="copia1" localSheetId="32">#REF!</definedName>
    <definedName name="copia1" localSheetId="29">#REF!</definedName>
    <definedName name="copia1" localSheetId="36">#REF!</definedName>
    <definedName name="copia1" localSheetId="11">#REF!</definedName>
    <definedName name="copia1" localSheetId="35">#REF!</definedName>
    <definedName name="copia1" localSheetId="28">#REF!</definedName>
    <definedName name="copia1" localSheetId="27">#REF!</definedName>
    <definedName name="copia1" localSheetId="9">#REF!</definedName>
    <definedName name="copia1" localSheetId="22">#REF!</definedName>
    <definedName name="copia1" localSheetId="31">#REF!</definedName>
    <definedName name="copia1" localSheetId="33">#REF!</definedName>
    <definedName name="copia1" localSheetId="7">#REF!</definedName>
    <definedName name="copia1" localSheetId="8">#REF!</definedName>
    <definedName name="copia1" localSheetId="30">#REF!</definedName>
    <definedName name="copia1" localSheetId="15">#REF!</definedName>
    <definedName name="copia1" localSheetId="16">#REF!</definedName>
    <definedName name="copia1" localSheetId="2">#REF!</definedName>
    <definedName name="copia1" localSheetId="4">#REF!</definedName>
    <definedName name="copia1" localSheetId="5">#REF!</definedName>
    <definedName name="copia1" localSheetId="12">#REF!</definedName>
    <definedName name="copia1" localSheetId="14">#REF!</definedName>
    <definedName name="copia1" localSheetId="25">#REF!</definedName>
    <definedName name="copia1">#REF!</definedName>
    <definedName name="CRK" localSheetId="29">Apoyo!#REF!</definedName>
    <definedName name="CRK" localSheetId="28">Cuantías!#REF!</definedName>
    <definedName name="CRK">'Obra&amp;K'!#REF!</definedName>
    <definedName name="CUANTIAS">Cuantías!#REF!</definedName>
    <definedName name="CVa">#REF!</definedName>
    <definedName name="datos" localSheetId="32">#REF!</definedName>
    <definedName name="datos" localSheetId="29">#REF!</definedName>
    <definedName name="datos" localSheetId="36">#REF!</definedName>
    <definedName name="datos" localSheetId="11">#REF!</definedName>
    <definedName name="datos" localSheetId="35">#REF!</definedName>
    <definedName name="datos" localSheetId="28">#REF!</definedName>
    <definedName name="datos" localSheetId="27">#REF!</definedName>
    <definedName name="datos" localSheetId="9">#REF!</definedName>
    <definedName name="datos" localSheetId="22">#REF!</definedName>
    <definedName name="datos" localSheetId="31">#REF!</definedName>
    <definedName name="datos" localSheetId="33">#REF!</definedName>
    <definedName name="datos" localSheetId="7">#REF!</definedName>
    <definedName name="datos" localSheetId="8">#REF!</definedName>
    <definedName name="datos" localSheetId="30">#REF!</definedName>
    <definedName name="datos" localSheetId="15">#REF!</definedName>
    <definedName name="datos" localSheetId="16">#REF!</definedName>
    <definedName name="datos" localSheetId="2">#REF!</definedName>
    <definedName name="datos" localSheetId="4">#REF!</definedName>
    <definedName name="datos" localSheetId="5">#REF!</definedName>
    <definedName name="datos" localSheetId="12">#REF!</definedName>
    <definedName name="datos" localSheetId="14">#REF!</definedName>
    <definedName name="datos" localSheetId="25">#REF!</definedName>
    <definedName name="datos">#REF!</definedName>
    <definedName name="datos2" localSheetId="32">#REF!</definedName>
    <definedName name="datos2" localSheetId="29">#REF!</definedName>
    <definedName name="datos2" localSheetId="36">#REF!</definedName>
    <definedName name="datos2" localSheetId="11">#REF!</definedName>
    <definedName name="datos2" localSheetId="35">#REF!</definedName>
    <definedName name="datos2" localSheetId="28">#REF!</definedName>
    <definedName name="datos2" localSheetId="27">#REF!</definedName>
    <definedName name="datos2" localSheetId="9">#REF!</definedName>
    <definedName name="datos2" localSheetId="22">#REF!</definedName>
    <definedName name="datos2" localSheetId="31">#REF!</definedName>
    <definedName name="datos2" localSheetId="33">#REF!</definedName>
    <definedName name="datos2" localSheetId="7">#REF!</definedName>
    <definedName name="datos2" localSheetId="8">#REF!</definedName>
    <definedName name="datos2" localSheetId="30">#REF!</definedName>
    <definedName name="datos2" localSheetId="15">#REF!</definedName>
    <definedName name="datos2" localSheetId="16">#REF!</definedName>
    <definedName name="datos2" localSheetId="2">#REF!</definedName>
    <definedName name="datos2" localSheetId="4">#REF!</definedName>
    <definedName name="datos2" localSheetId="5">#REF!</definedName>
    <definedName name="datos2" localSheetId="12">#REF!</definedName>
    <definedName name="datos2" localSheetId="14">#REF!</definedName>
    <definedName name="datos2" localSheetId="25">#REF!</definedName>
    <definedName name="datos2">#REF!</definedName>
    <definedName name="diametros" localSheetId="32">#REF!</definedName>
    <definedName name="diametros" localSheetId="29">#REF!</definedName>
    <definedName name="diametros" localSheetId="36">#REF!</definedName>
    <definedName name="diametros" localSheetId="11">#REF!</definedName>
    <definedName name="diametros" localSheetId="35">#REF!</definedName>
    <definedName name="diametros" localSheetId="28">#REF!</definedName>
    <definedName name="diametros" localSheetId="27">#REF!</definedName>
    <definedName name="diametros" localSheetId="9">#REF!</definedName>
    <definedName name="diametros" localSheetId="22">#REF!</definedName>
    <definedName name="diametros" localSheetId="31">#REF!</definedName>
    <definedName name="diametros" localSheetId="33">#REF!</definedName>
    <definedName name="diametros" localSheetId="7">#REF!</definedName>
    <definedName name="diametros" localSheetId="8">#REF!</definedName>
    <definedName name="diametros" localSheetId="30">#REF!</definedName>
    <definedName name="diametros" localSheetId="15">#REF!</definedName>
    <definedName name="diametros" localSheetId="16">#REF!</definedName>
    <definedName name="diametros" localSheetId="2">#REF!</definedName>
    <definedName name="diametros" localSheetId="4">#REF!</definedName>
    <definedName name="diametros" localSheetId="5">#REF!</definedName>
    <definedName name="diametros" localSheetId="12">#REF!</definedName>
    <definedName name="diametros" localSheetId="14">#REF!</definedName>
    <definedName name="diametros" localSheetId="25">#REF!</definedName>
    <definedName name="diametros">#REF!</definedName>
    <definedName name="distintivos">Distintivos!#REF!</definedName>
    <definedName name="dos" localSheetId="32">#REF!</definedName>
    <definedName name="dos" localSheetId="29">#REF!</definedName>
    <definedName name="dos" localSheetId="11">#REF!</definedName>
    <definedName name="dos" localSheetId="35">#REF!</definedName>
    <definedName name="dos" localSheetId="28">#REF!</definedName>
    <definedName name="dos" localSheetId="27">#REF!</definedName>
    <definedName name="dos" localSheetId="9">#REF!</definedName>
    <definedName name="dos" localSheetId="22">#REF!</definedName>
    <definedName name="dos" localSheetId="31">#REF!</definedName>
    <definedName name="dos" localSheetId="33">#REF!</definedName>
    <definedName name="dos" localSheetId="7">#REF!</definedName>
    <definedName name="dos" localSheetId="8">#REF!</definedName>
    <definedName name="dos" localSheetId="30">#REF!</definedName>
    <definedName name="dos" localSheetId="15">#REF!</definedName>
    <definedName name="dos" localSheetId="16">#REF!</definedName>
    <definedName name="dos" localSheetId="2">#REF!</definedName>
    <definedName name="dos" localSheetId="4">#REF!</definedName>
    <definedName name="dos" localSheetId="5">#REF!</definedName>
    <definedName name="dos" localSheetId="12">#REF!</definedName>
    <definedName name="dos" localSheetId="14">#REF!</definedName>
    <definedName name="dos" localSheetId="25">#REF!</definedName>
    <definedName name="dos">#REF!</definedName>
    <definedName name="ee" localSheetId="32">#REF!</definedName>
    <definedName name="ee" localSheetId="29">#REF!</definedName>
    <definedName name="ee" localSheetId="11">#REF!</definedName>
    <definedName name="ee" localSheetId="35">#REF!</definedName>
    <definedName name="ee" localSheetId="28">#REF!</definedName>
    <definedName name="ee" localSheetId="27">#REF!</definedName>
    <definedName name="ee" localSheetId="9">#REF!</definedName>
    <definedName name="ee" localSheetId="22">#REF!</definedName>
    <definedName name="ee" localSheetId="31">#REF!</definedName>
    <definedName name="ee" localSheetId="33">#REF!</definedName>
    <definedName name="ee" localSheetId="7">#REF!</definedName>
    <definedName name="ee" localSheetId="8">#REF!</definedName>
    <definedName name="ee" localSheetId="30">#REF!</definedName>
    <definedName name="ee" localSheetId="15">#REF!</definedName>
    <definedName name="ee" localSheetId="16">#REF!</definedName>
    <definedName name="ee" localSheetId="2">#REF!</definedName>
    <definedName name="ee" localSheetId="4">#REF!</definedName>
    <definedName name="ee" localSheetId="5">#REF!</definedName>
    <definedName name="ee" localSheetId="12">#REF!</definedName>
    <definedName name="ee" localSheetId="14">#REF!</definedName>
    <definedName name="ee" localSheetId="25">#REF!</definedName>
    <definedName name="ee">#REF!</definedName>
    <definedName name="estmercado">'Estudio de mercado'!#REF!</definedName>
    <definedName name="evafin">'Evaluación financiera'!#REF!</definedName>
    <definedName name="Excel_BuiltIn__FilterDatabase">#REF!</definedName>
    <definedName name="Excel_BuiltIn_Print_Area">#REF!</definedName>
    <definedName name="Excel_BuiltIn_Print_Titles">#REF!</definedName>
    <definedName name="FDGASDFASD" localSheetId="32">#REF!</definedName>
    <definedName name="FDGASDFASD" localSheetId="29">#REF!</definedName>
    <definedName name="FDGASDFASD" localSheetId="36">#REF!</definedName>
    <definedName name="FDGASDFASD" localSheetId="11">#REF!</definedName>
    <definedName name="FDGASDFASD" localSheetId="35">#REF!</definedName>
    <definedName name="FDGASDFASD" localSheetId="28">#REF!</definedName>
    <definedName name="FDGASDFASD" localSheetId="27">#REF!</definedName>
    <definedName name="FDGASDFASD" localSheetId="9">#REF!</definedName>
    <definedName name="FDGASDFASD" localSheetId="22">#REF!</definedName>
    <definedName name="FDGASDFASD" localSheetId="31">#REF!</definedName>
    <definedName name="FDGASDFASD" localSheetId="33">#REF!</definedName>
    <definedName name="FDGASDFASD" localSheetId="7">#REF!</definedName>
    <definedName name="FDGASDFASD" localSheetId="8">#REF!</definedName>
    <definedName name="FDGASDFASD" localSheetId="30">#REF!</definedName>
    <definedName name="FDGASDFASD" localSheetId="15">#REF!</definedName>
    <definedName name="FDGASDFASD" localSheetId="16">#REF!</definedName>
    <definedName name="FDGASDFASD" localSheetId="2">#REF!</definedName>
    <definedName name="FDGASDFASD" localSheetId="4">#REF!</definedName>
    <definedName name="FDGASDFASD" localSheetId="5">#REF!</definedName>
    <definedName name="FDGASDFASD" localSheetId="12">#REF!</definedName>
    <definedName name="FDGASDFASD" localSheetId="14">#REF!</definedName>
    <definedName name="FDGASDFASD" localSheetId="25">#REF!</definedName>
    <definedName name="FDGASDFASD">#REF!</definedName>
    <definedName name="formularioCantidades" localSheetId="32">#REF!</definedName>
    <definedName name="formularioCantidades" localSheetId="29">#REF!</definedName>
    <definedName name="formularioCantidades" localSheetId="36">#REF!</definedName>
    <definedName name="formularioCantidades" localSheetId="11">#REF!</definedName>
    <definedName name="formularioCantidades" localSheetId="35">#REF!</definedName>
    <definedName name="formularioCantidades" localSheetId="28">#REF!</definedName>
    <definedName name="formularioCantidades" localSheetId="27">#REF!</definedName>
    <definedName name="formularioCantidades" localSheetId="9">#REF!</definedName>
    <definedName name="formularioCantidades" localSheetId="22">#REF!</definedName>
    <definedName name="formularioCantidades" localSheetId="31">#REF!</definedName>
    <definedName name="formularioCantidades" localSheetId="33">#REF!</definedName>
    <definedName name="formularioCantidades" localSheetId="7">#REF!</definedName>
    <definedName name="formularioCantidades" localSheetId="8">#REF!</definedName>
    <definedName name="formularioCantidades" localSheetId="30">#REF!</definedName>
    <definedName name="formularioCantidades" localSheetId="15">#REF!</definedName>
    <definedName name="formularioCantidades" localSheetId="16">#REF!</definedName>
    <definedName name="formularioCantidades" localSheetId="2">#REF!</definedName>
    <definedName name="formularioCantidades" localSheetId="4">#REF!</definedName>
    <definedName name="formularioCantidades" localSheetId="5">#REF!</definedName>
    <definedName name="formularioCantidades" localSheetId="12">#REF!</definedName>
    <definedName name="formularioCantidades" localSheetId="14">#REF!</definedName>
    <definedName name="formularioCantidades" localSheetId="25">#REF!</definedName>
    <definedName name="formularioCantidades">#REF!</definedName>
    <definedName name="fue" localSheetId="32">#REF!</definedName>
    <definedName name="fue" localSheetId="29">#REF!</definedName>
    <definedName name="fue" localSheetId="36">#REF!</definedName>
    <definedName name="fue" localSheetId="11">#REF!</definedName>
    <definedName name="fue" localSheetId="35">#REF!</definedName>
    <definedName name="fue" localSheetId="28">#REF!</definedName>
    <definedName name="fue" localSheetId="27">#REF!</definedName>
    <definedName name="fue" localSheetId="9">#REF!</definedName>
    <definedName name="fue" localSheetId="22">#REF!</definedName>
    <definedName name="fue" localSheetId="31">#REF!</definedName>
    <definedName name="fue" localSheetId="33">#REF!</definedName>
    <definedName name="fue" localSheetId="7">#REF!</definedName>
    <definedName name="fue" localSheetId="8">#REF!</definedName>
    <definedName name="fue" localSheetId="30">#REF!</definedName>
    <definedName name="fue" localSheetId="15">#REF!</definedName>
    <definedName name="fue" localSheetId="16">#REF!</definedName>
    <definedName name="fue" localSheetId="2">#REF!</definedName>
    <definedName name="fue" localSheetId="4">#REF!</definedName>
    <definedName name="fue" localSheetId="5">#REF!</definedName>
    <definedName name="fue" localSheetId="12">#REF!</definedName>
    <definedName name="fue" localSheetId="14">#REF!</definedName>
    <definedName name="fue" localSheetId="25">#REF!</definedName>
    <definedName name="fue">#REF!</definedName>
    <definedName name="gdym">'Gtos DyM'!#REF!</definedName>
    <definedName name="gtosadm" localSheetId="32">'A&amp;PA'!#REF!</definedName>
    <definedName name="gtosadm" localSheetId="29">Apoyo!#REF!</definedName>
    <definedName name="gtosadm" localSheetId="11">'Bienes relevantes'!#REF!</definedName>
    <definedName name="gtosadm" localSheetId="35">'CF&amp;O'!#REF!</definedName>
    <definedName name="gtosadm" localSheetId="28">Cuantías!#REF!</definedName>
    <definedName name="gtosadm" localSheetId="31">'Imp &amp; garantías'!#REF!</definedName>
    <definedName name="gtosadm" localSheetId="33">IVA!#REF!</definedName>
    <definedName name="gtosadm" localSheetId="30">'Obra&amp;K'!#REF!</definedName>
    <definedName name="gtosadm">'Gastos de adm'!#REF!</definedName>
    <definedName name="gtosadm2" localSheetId="11">'Bienes relevantes'!#REF!</definedName>
    <definedName name="gtosadm2">'Gastos de adm'!#REF!</definedName>
    <definedName name="Hid">#REF!</definedName>
    <definedName name="Hono">#REF!</definedName>
    <definedName name="honorarios" localSheetId="36">'Ayuda honorarios'!#REF!</definedName>
    <definedName name="honorarios">Honorarios!#REF!</definedName>
    <definedName name="horat" localSheetId="32">'A&amp;PA'!#REF!</definedName>
    <definedName name="horat" localSheetId="29">Apoyo!#REF!</definedName>
    <definedName name="horat" localSheetId="36">'Ayuda honorarios'!#REF!</definedName>
    <definedName name="horat" localSheetId="11">'Bienes relevantes'!#REF!</definedName>
    <definedName name="horat" localSheetId="35">'CF&amp;O'!#REF!</definedName>
    <definedName name="horat" localSheetId="28">Cuantías!#REF!</definedName>
    <definedName name="horat" localSheetId="27">Distintivos!#REF!</definedName>
    <definedName name="horat" localSheetId="9">'Estudio de mercado'!#REF!</definedName>
    <definedName name="horat" localSheetId="22">'Gtos DyM'!#REF!</definedName>
    <definedName name="horat" localSheetId="31">'Imp &amp; garantías'!#REF!</definedName>
    <definedName name="horat" localSheetId="33">IVA!#REF!</definedName>
    <definedName name="horat" localSheetId="7">'Memoria de cálculo O2'!#REF!</definedName>
    <definedName name="horat" localSheetId="8">'Memoria de cálculo O3'!#REF!</definedName>
    <definedName name="horat" localSheetId="30">'Obra&amp;K'!#REF!</definedName>
    <definedName name="horat" localSheetId="15">'PAB CA'!#REF!</definedName>
    <definedName name="horat" localSheetId="16">'PAB CR'!#REF!</definedName>
    <definedName name="horat" localSheetId="2">'PE PSP'!#REF!</definedName>
    <definedName name="horat" localSheetId="4">'Ppto PSP'!#REF!</definedName>
    <definedName name="horat" localSheetId="5">'Presupuesto Convenio'!#REF!</definedName>
    <definedName name="horat" localSheetId="12">'Propuesta económica O1'!#REF!</definedName>
    <definedName name="horat" localSheetId="14">'Propuesta económica O3'!#REF!</definedName>
    <definedName name="horat" localSheetId="25">Salarios!#REF!</definedName>
    <definedName name="horat">#REF!</definedName>
    <definedName name="ICOB" localSheetId="29">#REF!</definedName>
    <definedName name="ICOB" localSheetId="11">#REF!</definedName>
    <definedName name="ICOB" localSheetId="35">#REF!</definedName>
    <definedName name="ICOB" localSheetId="28">#REF!</definedName>
    <definedName name="ICOB" localSheetId="30">#REF!</definedName>
    <definedName name="ICOB" localSheetId="2">#REF!</definedName>
    <definedName name="ICOB" localSheetId="4">#REF!</definedName>
    <definedName name="ICOB">#REF!</definedName>
    <definedName name="IIVA" localSheetId="29">IVA!#REF!</definedName>
    <definedName name="IIVA" localSheetId="11">IVA!#REF!</definedName>
    <definedName name="IIVA" localSheetId="35">IVA!#REF!</definedName>
    <definedName name="IIVA" localSheetId="28">IVA!#REF!</definedName>
    <definedName name="IIVA" localSheetId="30">IVA!#REF!</definedName>
    <definedName name="IIVA" localSheetId="2">IVA!#REF!</definedName>
    <definedName name="IIVA" localSheetId="4">IVA!#REF!</definedName>
    <definedName name="IIVA">IVA!#REF!</definedName>
    <definedName name="impg" localSheetId="32">'A&amp;PA'!#REF!</definedName>
    <definedName name="impg" localSheetId="29">Apoyo!#REF!</definedName>
    <definedName name="impg" localSheetId="35">'CF&amp;O'!#REF!</definedName>
    <definedName name="impg" localSheetId="28">Cuantías!#REF!</definedName>
    <definedName name="impg" localSheetId="33">IVA!#REF!</definedName>
    <definedName name="impg" localSheetId="30">'Obra&amp;K'!#REF!</definedName>
    <definedName name="impg">'Imp &amp; garantías'!#REF!</definedName>
    <definedName name="ins">Instructivo!#REF!</definedName>
    <definedName name="Instructivo" localSheetId="32">#REF!</definedName>
    <definedName name="Instructivo" localSheetId="29">#REF!</definedName>
    <definedName name="Instructivo" localSheetId="36">#REF!</definedName>
    <definedName name="Instructivo" localSheetId="11">#REF!</definedName>
    <definedName name="Instructivo" localSheetId="35">#REF!</definedName>
    <definedName name="Instructivo" localSheetId="28">#REF!</definedName>
    <definedName name="Instructivo" localSheetId="31">#REF!</definedName>
    <definedName name="Instructivo" localSheetId="33">#REF!</definedName>
    <definedName name="Instructivo" localSheetId="7">#REF!</definedName>
    <definedName name="Instructivo" localSheetId="8">#REF!</definedName>
    <definedName name="Instructivo" localSheetId="30">#REF!</definedName>
    <definedName name="Instructivo" localSheetId="15">#REF!</definedName>
    <definedName name="Instructivo" localSheetId="16">#REF!</definedName>
    <definedName name="Instructivo" localSheetId="2">#REF!</definedName>
    <definedName name="Instructivo" localSheetId="4">#REF!</definedName>
    <definedName name="Instructivo" localSheetId="14">#REF!</definedName>
    <definedName name="Instructivo">#REF!</definedName>
    <definedName name="INSU">#REF!</definedName>
    <definedName name="InTap">#REF!</definedName>
    <definedName name="IntVal">#REF!</definedName>
    <definedName name="ITEM1" localSheetId="32">#REF!</definedName>
    <definedName name="ITEM1" localSheetId="29">#REF!</definedName>
    <definedName name="ITEM1" localSheetId="36">#REF!</definedName>
    <definedName name="ITEM1" localSheetId="11">#REF!</definedName>
    <definedName name="ITEM1" localSheetId="35">#REF!</definedName>
    <definedName name="ITEM1" localSheetId="28">#REF!</definedName>
    <definedName name="ITEM1" localSheetId="27">#REF!</definedName>
    <definedName name="ITEM1" localSheetId="9">#REF!</definedName>
    <definedName name="ITEM1" localSheetId="22">#REF!</definedName>
    <definedName name="ITEM1" localSheetId="31">#REF!</definedName>
    <definedName name="ITEM1" localSheetId="33">#REF!</definedName>
    <definedName name="ITEM1" localSheetId="7">#REF!</definedName>
    <definedName name="ITEM1" localSheetId="8">#REF!</definedName>
    <definedName name="ITEM1" localSheetId="30">#REF!</definedName>
    <definedName name="ITEM1" localSheetId="15">#REF!</definedName>
    <definedName name="ITEM1" localSheetId="16">#REF!</definedName>
    <definedName name="ITEM1" localSheetId="2">#REF!</definedName>
    <definedName name="ITEM1" localSheetId="4">#REF!</definedName>
    <definedName name="ITEM1" localSheetId="5">#REF!</definedName>
    <definedName name="ITEM1" localSheetId="12">#REF!</definedName>
    <definedName name="ITEM1" localSheetId="14">#REF!</definedName>
    <definedName name="ITEM1" localSheetId="25">#REF!</definedName>
    <definedName name="ITEM1">#REF!</definedName>
    <definedName name="ITEM2" localSheetId="32">#REF!</definedName>
    <definedName name="ITEM2" localSheetId="29">#REF!</definedName>
    <definedName name="ITEM2" localSheetId="36">#REF!</definedName>
    <definedName name="ITEM2" localSheetId="11">#REF!</definedName>
    <definedName name="ITEM2" localSheetId="35">#REF!</definedName>
    <definedName name="ITEM2" localSheetId="28">#REF!</definedName>
    <definedName name="ITEM2" localSheetId="27">#REF!</definedName>
    <definedName name="ITEM2" localSheetId="9">#REF!</definedName>
    <definedName name="ITEM2" localSheetId="22">#REF!</definedName>
    <definedName name="ITEM2" localSheetId="31">#REF!</definedName>
    <definedName name="ITEM2" localSheetId="33">#REF!</definedName>
    <definedName name="ITEM2" localSheetId="7">#REF!</definedName>
    <definedName name="ITEM2" localSheetId="8">#REF!</definedName>
    <definedName name="ITEM2" localSheetId="30">#REF!</definedName>
    <definedName name="ITEM2" localSheetId="15">#REF!</definedName>
    <definedName name="ITEM2" localSheetId="16">#REF!</definedName>
    <definedName name="ITEM2" localSheetId="2">#REF!</definedName>
    <definedName name="ITEM2" localSheetId="4">#REF!</definedName>
    <definedName name="ITEM2" localSheetId="5">#REF!</definedName>
    <definedName name="ITEM2" localSheetId="12">#REF!</definedName>
    <definedName name="ITEM2" localSheetId="14">#REF!</definedName>
    <definedName name="ITEM2" localSheetId="25">#REF!</definedName>
    <definedName name="ITEM2">#REF!</definedName>
    <definedName name="ITEM3" localSheetId="32">#REF!</definedName>
    <definedName name="ITEM3" localSheetId="29">#REF!</definedName>
    <definedName name="ITEM3" localSheetId="36">#REF!</definedName>
    <definedName name="ITEM3" localSheetId="11">#REF!</definedName>
    <definedName name="ITEM3" localSheetId="35">#REF!</definedName>
    <definedName name="ITEM3" localSheetId="28">#REF!</definedName>
    <definedName name="ITEM3" localSheetId="27">#REF!</definedName>
    <definedName name="ITEM3" localSheetId="9">#REF!</definedName>
    <definedName name="ITEM3" localSheetId="22">#REF!</definedName>
    <definedName name="ITEM3" localSheetId="31">#REF!</definedName>
    <definedName name="ITEM3" localSheetId="33">#REF!</definedName>
    <definedName name="ITEM3" localSheetId="7">#REF!</definedName>
    <definedName name="ITEM3" localSheetId="8">#REF!</definedName>
    <definedName name="ITEM3" localSheetId="30">#REF!</definedName>
    <definedName name="ITEM3" localSheetId="15">#REF!</definedName>
    <definedName name="ITEM3" localSheetId="16">#REF!</definedName>
    <definedName name="ITEM3" localSheetId="2">#REF!</definedName>
    <definedName name="ITEM3" localSheetId="4">#REF!</definedName>
    <definedName name="ITEM3" localSheetId="5">#REF!</definedName>
    <definedName name="ITEM3" localSheetId="12">#REF!</definedName>
    <definedName name="ITEM3" localSheetId="14">#REF!</definedName>
    <definedName name="ITEM3" localSheetId="25">#REF!</definedName>
    <definedName name="ITEM3">#REF!</definedName>
    <definedName name="ItemCodos" localSheetId="32">#REF!</definedName>
    <definedName name="ItemCodos" localSheetId="29">#REF!</definedName>
    <definedName name="ItemCodos" localSheetId="11">#REF!</definedName>
    <definedName name="ItemCodos" localSheetId="35">#REF!</definedName>
    <definedName name="ItemCodos" localSheetId="28">#REF!</definedName>
    <definedName name="ItemCodos" localSheetId="27">#REF!</definedName>
    <definedName name="ItemCodos" localSheetId="9">#REF!</definedName>
    <definedName name="ItemCodos" localSheetId="22">#REF!</definedName>
    <definedName name="ItemCodos" localSheetId="31">#REF!</definedName>
    <definedName name="ItemCodos" localSheetId="33">#REF!</definedName>
    <definedName name="ItemCodos" localSheetId="7">#REF!</definedName>
    <definedName name="ItemCodos" localSheetId="8">#REF!</definedName>
    <definedName name="ItemCodos" localSheetId="30">#REF!</definedName>
    <definedName name="ItemCodos" localSheetId="15">#REF!</definedName>
    <definedName name="ItemCodos" localSheetId="16">#REF!</definedName>
    <definedName name="ItemCodos" localSheetId="2">#REF!</definedName>
    <definedName name="ItemCodos" localSheetId="4">#REF!</definedName>
    <definedName name="ItemCodos" localSheetId="5">#REF!</definedName>
    <definedName name="ItemCodos" localSheetId="12">#REF!</definedName>
    <definedName name="ItemCodos" localSheetId="14">#REF!</definedName>
    <definedName name="ItemCodos" localSheetId="25">#REF!</definedName>
    <definedName name="ItemCodos">#REF!</definedName>
    <definedName name="IVA">IVA!#REF!</definedName>
    <definedName name="J">#REF!</definedName>
    <definedName name="JHHHHH" localSheetId="32">#REF!</definedName>
    <definedName name="JHHHHH" localSheetId="29">#REF!</definedName>
    <definedName name="JHHHHH" localSheetId="36">#REF!</definedName>
    <definedName name="JHHHHH" localSheetId="11">#REF!</definedName>
    <definedName name="JHHHHH" localSheetId="35">#REF!</definedName>
    <definedName name="JHHHHH" localSheetId="28">#REF!</definedName>
    <definedName name="JHHHHH" localSheetId="27">#REF!</definedName>
    <definedName name="JHHHHH" localSheetId="9">#REF!</definedName>
    <definedName name="JHHHHH" localSheetId="22">#REF!</definedName>
    <definedName name="JHHHHH" localSheetId="23">#REF!</definedName>
    <definedName name="JHHHHH" localSheetId="31">#REF!</definedName>
    <definedName name="JHHHHH" localSheetId="33">#REF!</definedName>
    <definedName name="JHHHHH" localSheetId="7">#REF!</definedName>
    <definedName name="JHHHHH" localSheetId="8">#REF!</definedName>
    <definedName name="JHHHHH" localSheetId="30">#REF!</definedName>
    <definedName name="JHHHHH" localSheetId="15">#REF!</definedName>
    <definedName name="JHHHHH" localSheetId="16">#REF!</definedName>
    <definedName name="JHHHHH" localSheetId="2">#REF!</definedName>
    <definedName name="JHHHHH" localSheetId="1">#REF!</definedName>
    <definedName name="JHHHHH" localSheetId="4">'Ppto PSP'!#REF!</definedName>
    <definedName name="JHHHHH" localSheetId="3">'Presupuesto Contrato'!#REF!</definedName>
    <definedName name="JHHHHH" localSheetId="5">'Presupuesto Convenio'!#REF!</definedName>
    <definedName name="JHHHHH" localSheetId="14">#REF!</definedName>
    <definedName name="JHHHHH" localSheetId="25">#REF!</definedName>
    <definedName name="JHHHHH">#REF!</definedName>
    <definedName name="jornal">Jornal!#REF!</definedName>
    <definedName name="ListaCantidad" localSheetId="32">#REF!</definedName>
    <definedName name="ListaCantidad" localSheetId="29">#REF!</definedName>
    <definedName name="ListaCantidad" localSheetId="11">#REF!</definedName>
    <definedName name="ListaCantidad" localSheetId="35">#REF!</definedName>
    <definedName name="ListaCantidad" localSheetId="28">#REF!</definedName>
    <definedName name="ListaCantidad" localSheetId="27">#REF!</definedName>
    <definedName name="ListaCantidad" localSheetId="9">#REF!</definedName>
    <definedName name="ListaCantidad" localSheetId="22">#REF!</definedName>
    <definedName name="ListaCantidad" localSheetId="31">#REF!</definedName>
    <definedName name="ListaCantidad" localSheetId="33">#REF!</definedName>
    <definedName name="ListaCantidad" localSheetId="7">#REF!</definedName>
    <definedName name="ListaCantidad" localSheetId="8">#REF!</definedName>
    <definedName name="ListaCantidad" localSheetId="30">#REF!</definedName>
    <definedName name="ListaCantidad" localSheetId="15">#REF!</definedName>
    <definedName name="ListaCantidad" localSheetId="16">#REF!</definedName>
    <definedName name="ListaCantidad" localSheetId="2">#REF!</definedName>
    <definedName name="ListaCantidad" localSheetId="4">#REF!</definedName>
    <definedName name="ListaCantidad" localSheetId="5">#REF!</definedName>
    <definedName name="ListaCantidad" localSheetId="12">#REF!</definedName>
    <definedName name="ListaCantidad" localSheetId="14">#REF!</definedName>
    <definedName name="ListaCantidad" localSheetId="25">#REF!</definedName>
    <definedName name="ListaCantidad">#REF!</definedName>
    <definedName name="ListaItem" localSheetId="32">#REF!</definedName>
    <definedName name="ListaItem" localSheetId="29">#REF!</definedName>
    <definedName name="ListaItem" localSheetId="11">#REF!</definedName>
    <definedName name="ListaItem" localSheetId="35">#REF!</definedName>
    <definedName name="ListaItem" localSheetId="28">#REF!</definedName>
    <definedName name="ListaItem" localSheetId="27">#REF!</definedName>
    <definedName name="ListaItem" localSheetId="9">#REF!</definedName>
    <definedName name="ListaItem" localSheetId="22">#REF!</definedName>
    <definedName name="ListaItem" localSheetId="31">#REF!</definedName>
    <definedName name="ListaItem" localSheetId="33">#REF!</definedName>
    <definedName name="ListaItem" localSheetId="7">#REF!</definedName>
    <definedName name="ListaItem" localSheetId="8">#REF!</definedName>
    <definedName name="ListaItem" localSheetId="30">#REF!</definedName>
    <definedName name="ListaItem" localSheetId="15">#REF!</definedName>
    <definedName name="ListaItem" localSheetId="16">#REF!</definedName>
    <definedName name="ListaItem" localSheetId="2">#REF!</definedName>
    <definedName name="ListaItem" localSheetId="4">#REF!</definedName>
    <definedName name="ListaItem" localSheetId="5">#REF!</definedName>
    <definedName name="ListaItem" localSheetId="12">#REF!</definedName>
    <definedName name="ListaItem" localSheetId="14">#REF!</definedName>
    <definedName name="ListaItem" localSheetId="25">#REF!</definedName>
    <definedName name="ListaItem">#REF!</definedName>
    <definedName name="ListaUni">#REF!</definedName>
    <definedName name="MaterialTub" localSheetId="32">#REF!</definedName>
    <definedName name="MaterialTub" localSheetId="29">#REF!</definedName>
    <definedName name="MaterialTub" localSheetId="36">#REF!</definedName>
    <definedName name="MaterialTub" localSheetId="11">#REF!</definedName>
    <definedName name="MaterialTub" localSheetId="35">#REF!</definedName>
    <definedName name="MaterialTub" localSheetId="28">#REF!</definedName>
    <definedName name="MaterialTub" localSheetId="27">#REF!</definedName>
    <definedName name="MaterialTub" localSheetId="9">#REF!</definedName>
    <definedName name="MaterialTub" localSheetId="22">#REF!</definedName>
    <definedName name="MaterialTub" localSheetId="31">#REF!</definedName>
    <definedName name="MaterialTub" localSheetId="33">#REF!</definedName>
    <definedName name="MaterialTub" localSheetId="7">#REF!</definedName>
    <definedName name="MaterialTub" localSheetId="8">#REF!</definedName>
    <definedName name="MaterialTub" localSheetId="30">#REF!</definedName>
    <definedName name="MaterialTub" localSheetId="15">#REF!</definedName>
    <definedName name="MaterialTub" localSheetId="16">#REF!</definedName>
    <definedName name="MaterialTub" localSheetId="2">#REF!</definedName>
    <definedName name="MaterialTub" localSheetId="4">#REF!</definedName>
    <definedName name="MaterialTub" localSheetId="5">#REF!</definedName>
    <definedName name="MaterialTub" localSheetId="12">#REF!</definedName>
    <definedName name="MaterialTub" localSheetId="14">#REF!</definedName>
    <definedName name="MaterialTub" localSheetId="25">#REF!</definedName>
    <definedName name="MaterialTub">#REF!</definedName>
    <definedName name="MCCOP2">'Memoria de cálculo O2'!#REF!</definedName>
    <definedName name="MCCOP3" localSheetId="14">'Propuesta económica O3'!#REF!</definedName>
    <definedName name="MCCOP3">'Memoria de cálculo O3'!#REF!</definedName>
    <definedName name="MCOP1" localSheetId="15">'PAB CA'!#REF!</definedName>
    <definedName name="MCOP1" localSheetId="16">'PAB CR'!#REF!</definedName>
    <definedName name="MCOP1">'Memoria de cálculo O1'!#REF!</definedName>
    <definedName name="MCOP2" localSheetId="32">'Propuesta económica O2'!#REF!</definedName>
    <definedName name="MCOP2" localSheetId="29">'Propuesta económica O2'!#REF!</definedName>
    <definedName name="MCOP2" localSheetId="36">'Ayuda honorarios'!#REF!</definedName>
    <definedName name="MCOP2" localSheetId="11">'Propuesta económica O2'!#REF!</definedName>
    <definedName name="MCOP2" localSheetId="35">'Propuesta económica O2'!#REF!</definedName>
    <definedName name="MCOP2" localSheetId="28">'Propuesta económica O2'!#REF!</definedName>
    <definedName name="MCOP2" localSheetId="31">'Propuesta económica O2'!#REF!</definedName>
    <definedName name="MCOP2" localSheetId="33">'Propuesta económica O2'!#REF!</definedName>
    <definedName name="MCOP2" localSheetId="7">'Memoria de cálculo O2'!#REF!</definedName>
    <definedName name="MCOP2" localSheetId="30">'Propuesta económica O2'!#REF!</definedName>
    <definedName name="MCOP2" localSheetId="15">'Propuesta económica O2'!#REF!</definedName>
    <definedName name="MCOP2" localSheetId="16">'Propuesta económica O2'!#REF!</definedName>
    <definedName name="MCOP2" localSheetId="2">'Propuesta económica O2'!#REF!</definedName>
    <definedName name="MCOP2" localSheetId="4">'Propuesta económica O2'!#REF!</definedName>
    <definedName name="MCOP2">'Propuesta económica O2'!#REF!</definedName>
    <definedName name="MCOP3" localSheetId="32">#REF!</definedName>
    <definedName name="MCOP3" localSheetId="29">#REF!</definedName>
    <definedName name="MCOP3" localSheetId="36">#REF!</definedName>
    <definedName name="MCOP3" localSheetId="11">#REF!</definedName>
    <definedName name="MCOP3" localSheetId="35">#REF!</definedName>
    <definedName name="MCOP3" localSheetId="28">#REF!</definedName>
    <definedName name="MCOP3" localSheetId="31">#REF!</definedName>
    <definedName name="MCOP3" localSheetId="33">#REF!</definedName>
    <definedName name="MCOP3" localSheetId="8">'Memoria de cálculo O3'!#REF!</definedName>
    <definedName name="MCOP3" localSheetId="30">#REF!</definedName>
    <definedName name="MCOP3" localSheetId="15">#REF!</definedName>
    <definedName name="MCOP3" localSheetId="16">#REF!</definedName>
    <definedName name="MCOP3" localSheetId="2">#REF!</definedName>
    <definedName name="MCOP3" localSheetId="4">#REF!</definedName>
    <definedName name="MCOP3" localSheetId="14">'Propuesta económica O3'!#REF!</definedName>
    <definedName name="MCOP3">#REF!</definedName>
    <definedName name="moobras" localSheetId="32">#REF!</definedName>
    <definedName name="moobras" localSheetId="29">#REF!</definedName>
    <definedName name="moobras" localSheetId="36">#REF!</definedName>
    <definedName name="moobras" localSheetId="11">#REF!</definedName>
    <definedName name="moobras" localSheetId="35">#REF!</definedName>
    <definedName name="moobras" localSheetId="28">#REF!</definedName>
    <definedName name="moobras" localSheetId="31">#REF!</definedName>
    <definedName name="moobras" localSheetId="33">#REF!</definedName>
    <definedName name="moobras" localSheetId="30">#REF!</definedName>
    <definedName name="moobras" localSheetId="15">#REF!</definedName>
    <definedName name="moobras" localSheetId="16">#REF!</definedName>
    <definedName name="moobras" localSheetId="2">#REF!</definedName>
    <definedName name="moobras" localSheetId="4">#REF!</definedName>
    <definedName name="moobras">#REF!</definedName>
    <definedName name="Norte" localSheetId="32">#REF!</definedName>
    <definedName name="Norte" localSheetId="29">#REF!</definedName>
    <definedName name="Norte" localSheetId="36">#REF!</definedName>
    <definedName name="Norte" localSheetId="11">#REF!</definedName>
    <definedName name="Norte" localSheetId="35">#REF!</definedName>
    <definedName name="Norte" localSheetId="28">#REF!</definedName>
    <definedName name="Norte" localSheetId="27">#REF!</definedName>
    <definedName name="Norte" localSheetId="9">#REF!</definedName>
    <definedName name="Norte" localSheetId="22">#REF!</definedName>
    <definedName name="Norte" localSheetId="31">#REF!</definedName>
    <definedName name="Norte" localSheetId="33">#REF!</definedName>
    <definedName name="Norte" localSheetId="7">#REF!</definedName>
    <definedName name="Norte" localSheetId="8">#REF!</definedName>
    <definedName name="Norte" localSheetId="30">#REF!</definedName>
    <definedName name="Norte" localSheetId="15">#REF!</definedName>
    <definedName name="Norte" localSheetId="16">#REF!</definedName>
    <definedName name="Norte" localSheetId="2">#REF!</definedName>
    <definedName name="Norte" localSheetId="4">#REF!</definedName>
    <definedName name="Norte" localSheetId="5">#REF!</definedName>
    <definedName name="Norte" localSheetId="12">#REF!</definedName>
    <definedName name="Norte" localSheetId="14">#REF!</definedName>
    <definedName name="Norte" localSheetId="25">#REF!</definedName>
    <definedName name="Norte">#REF!</definedName>
    <definedName name="NPE">'Notas PE'!#REF!</definedName>
    <definedName name="NUEVO" localSheetId="32">#REF!</definedName>
    <definedName name="NUEVO" localSheetId="29">#REF!</definedName>
    <definedName name="NUEVO" localSheetId="11">#REF!</definedName>
    <definedName name="NUEVO" localSheetId="35">#REF!</definedName>
    <definedName name="NUEVO" localSheetId="28">#REF!</definedName>
    <definedName name="NUEVO" localSheetId="27">#REF!</definedName>
    <definedName name="NUEVO" localSheetId="9">#REF!</definedName>
    <definedName name="NUEVO" localSheetId="22">#REF!</definedName>
    <definedName name="NUEVO" localSheetId="31">#REF!</definedName>
    <definedName name="NUEVO" localSheetId="33">#REF!</definedName>
    <definedName name="NUEVO" localSheetId="7">#REF!</definedName>
    <definedName name="NUEVO" localSheetId="8">#REF!</definedName>
    <definedName name="NUEVO" localSheetId="30">#REF!</definedName>
    <definedName name="NUEVO" localSheetId="15">#REF!</definedName>
    <definedName name="NUEVO" localSheetId="16">#REF!</definedName>
    <definedName name="NUEVO" localSheetId="2">#REF!</definedName>
    <definedName name="NUEVO" localSheetId="4">#REF!</definedName>
    <definedName name="NUEVO" localSheetId="5">#REF!</definedName>
    <definedName name="NUEVO" localSheetId="12">#REF!</definedName>
    <definedName name="NUEVO" localSheetId="14">#REF!</definedName>
    <definedName name="NUEVO" localSheetId="25">#REF!</definedName>
    <definedName name="NUEVO">#REF!</definedName>
    <definedName name="OBRA" localSheetId="32">#REF!</definedName>
    <definedName name="OBRA" localSheetId="29">#REF!</definedName>
    <definedName name="OBRA" localSheetId="11">#REF!</definedName>
    <definedName name="OBRA" localSheetId="35">#REF!</definedName>
    <definedName name="OBRA" localSheetId="28">#REF!</definedName>
    <definedName name="OBRA" localSheetId="27">#REF!</definedName>
    <definedName name="OBRA" localSheetId="9">#REF!</definedName>
    <definedName name="OBRA" localSheetId="22">#REF!</definedName>
    <definedName name="OBRA" localSheetId="31">#REF!</definedName>
    <definedName name="OBRA" localSheetId="33">#REF!</definedName>
    <definedName name="OBRA" localSheetId="7">#REF!</definedName>
    <definedName name="OBRA" localSheetId="8">#REF!</definedName>
    <definedName name="OBRA" localSheetId="30">#REF!</definedName>
    <definedName name="OBRA" localSheetId="15">#REF!</definedName>
    <definedName name="OBRA" localSheetId="16">#REF!</definedName>
    <definedName name="OBRA" localSheetId="2">#REF!</definedName>
    <definedName name="OBRA" localSheetId="4">#REF!</definedName>
    <definedName name="OBRA" localSheetId="5">#REF!</definedName>
    <definedName name="OBRA" localSheetId="12">#REF!</definedName>
    <definedName name="OBRA" localSheetId="14">#REF!</definedName>
    <definedName name="OBRA" localSheetId="25">#REF!</definedName>
    <definedName name="OBRA">#REF!</definedName>
    <definedName name="PABCA" localSheetId="16">'PAB CR'!#REF!</definedName>
    <definedName name="PABCA">'PAB CA'!#REF!</definedName>
    <definedName name="PABCR">'PAB CR'!#REF!</definedName>
    <definedName name="paelnque" localSheetId="32">#REF!</definedName>
    <definedName name="paelnque" localSheetId="29">#REF!</definedName>
    <definedName name="paelnque" localSheetId="11">#REF!</definedName>
    <definedName name="paelnque" localSheetId="35">#REF!</definedName>
    <definedName name="paelnque" localSheetId="28">#REF!</definedName>
    <definedName name="paelnque" localSheetId="27">#REF!</definedName>
    <definedName name="paelnque" localSheetId="9">#REF!</definedName>
    <definedName name="paelnque" localSheetId="22">#REF!</definedName>
    <definedName name="paelnque" localSheetId="31">#REF!</definedName>
    <definedName name="paelnque" localSheetId="33">#REF!</definedName>
    <definedName name="paelnque" localSheetId="7">#REF!</definedName>
    <definedName name="paelnque" localSheetId="8">#REF!</definedName>
    <definedName name="paelnque" localSheetId="30">#REF!</definedName>
    <definedName name="paelnque" localSheetId="15">#REF!</definedName>
    <definedName name="paelnque" localSheetId="16">#REF!</definedName>
    <definedName name="paelnque" localSheetId="2">#REF!</definedName>
    <definedName name="paelnque" localSheetId="4">#REF!</definedName>
    <definedName name="paelnque" localSheetId="5">#REF!</definedName>
    <definedName name="paelnque" localSheetId="12">#REF!</definedName>
    <definedName name="paelnque" localSheetId="14">#REF!</definedName>
    <definedName name="paelnque" localSheetId="25">#REF!</definedName>
    <definedName name="paelnque">#REF!</definedName>
    <definedName name="palenque" localSheetId="32">#REF!</definedName>
    <definedName name="palenque" localSheetId="29">#REF!</definedName>
    <definedName name="palenque" localSheetId="11">#REF!</definedName>
    <definedName name="palenque" localSheetId="35">#REF!</definedName>
    <definedName name="palenque" localSheetId="28">#REF!</definedName>
    <definedName name="palenque" localSheetId="27">#REF!</definedName>
    <definedName name="palenque" localSheetId="9">#REF!</definedName>
    <definedName name="palenque" localSheetId="22">#REF!</definedName>
    <definedName name="palenque" localSheetId="31">#REF!</definedName>
    <definedName name="palenque" localSheetId="33">#REF!</definedName>
    <definedName name="palenque" localSheetId="7">#REF!</definedName>
    <definedName name="palenque" localSheetId="8">#REF!</definedName>
    <definedName name="palenque" localSheetId="30">#REF!</definedName>
    <definedName name="palenque" localSheetId="15">#REF!</definedName>
    <definedName name="palenque" localSheetId="16">#REF!</definedName>
    <definedName name="palenque" localSheetId="2">#REF!</definedName>
    <definedName name="palenque" localSheetId="4">#REF!</definedName>
    <definedName name="palenque" localSheetId="5">#REF!</definedName>
    <definedName name="palenque" localSheetId="12">#REF!</definedName>
    <definedName name="palenque" localSheetId="14">#REF!</definedName>
    <definedName name="palenque" localSheetId="25">#REF!</definedName>
    <definedName name="palenque">#REF!</definedName>
    <definedName name="PC" localSheetId="4">'Ppto PSP'!#REF!</definedName>
    <definedName name="PC">'Presupuesto Contrato'!#REF!</definedName>
    <definedName name="PCV">'Presupuesto Convenio'!#REF!</definedName>
    <definedName name="PEFI" localSheetId="2">'PE PSP'!$B$21</definedName>
    <definedName name="PEFI">'Plan Ejecución'!#REF!</definedName>
    <definedName name="PEPSP1">'PE PSP'!#REF!</definedName>
    <definedName name="ppta">'Propuesta económica O1'!#REF!</definedName>
    <definedName name="PPTA2" localSheetId="7">'Memoria de cálculo O2'!#REF!</definedName>
    <definedName name="PPTA2">'Propuesta económica O2'!#REF!</definedName>
    <definedName name="ppta3">'Propuesta económica O3'!#REF!</definedName>
    <definedName name="PPtoNorte" localSheetId="32">#REF!</definedName>
    <definedName name="PPtoNorte" localSheetId="29">#REF!</definedName>
    <definedName name="PPtoNorte" localSheetId="11">#REF!</definedName>
    <definedName name="PPtoNorte" localSheetId="35">#REF!</definedName>
    <definedName name="PPtoNorte" localSheetId="28">#REF!</definedName>
    <definedName name="PPtoNorte" localSheetId="27">#REF!</definedName>
    <definedName name="PPtoNorte" localSheetId="9">#REF!</definedName>
    <definedName name="PPtoNorte" localSheetId="22">#REF!</definedName>
    <definedName name="PPtoNorte" localSheetId="31">#REF!</definedName>
    <definedName name="PPtoNorte" localSheetId="33">#REF!</definedName>
    <definedName name="PPtoNorte" localSheetId="7">#REF!</definedName>
    <definedName name="PPtoNorte" localSheetId="8">#REF!</definedName>
    <definedName name="PPtoNorte" localSheetId="30">#REF!</definedName>
    <definedName name="PPtoNorte" localSheetId="15">#REF!</definedName>
    <definedName name="PPtoNorte" localSheetId="16">#REF!</definedName>
    <definedName name="PPtoNorte" localSheetId="2">#REF!</definedName>
    <definedName name="PPtoNorte" localSheetId="4">#REF!</definedName>
    <definedName name="PPtoNorte" localSheetId="5">#REF!</definedName>
    <definedName name="PPtoNorte" localSheetId="12">#REF!</definedName>
    <definedName name="PPtoNorte" localSheetId="14">#REF!</definedName>
    <definedName name="PPtoNorte" localSheetId="25">#REF!</definedName>
    <definedName name="PPtoNorte">#REF!</definedName>
    <definedName name="PPTOPSP">'Ppto PSP'!#REF!</definedName>
    <definedName name="Precio" localSheetId="32">#REF!</definedName>
    <definedName name="Precio" localSheetId="29">#REF!</definedName>
    <definedName name="Precio" localSheetId="11">#REF!</definedName>
    <definedName name="Precio" localSheetId="35">#REF!</definedName>
    <definedName name="Precio" localSheetId="28">#REF!</definedName>
    <definedName name="Precio" localSheetId="27">#REF!</definedName>
    <definedName name="Precio" localSheetId="9">#REF!</definedName>
    <definedName name="Precio" localSheetId="22">#REF!</definedName>
    <definedName name="Precio" localSheetId="31">#REF!</definedName>
    <definedName name="Precio" localSheetId="33">#REF!</definedName>
    <definedName name="Precio" localSheetId="7">#REF!</definedName>
    <definedName name="Precio" localSheetId="8">#REF!</definedName>
    <definedName name="Precio" localSheetId="30">#REF!</definedName>
    <definedName name="Precio" localSheetId="15">#REF!</definedName>
    <definedName name="Precio" localSheetId="16">#REF!</definedName>
    <definedName name="Precio" localSheetId="2">#REF!</definedName>
    <definedName name="Precio" localSheetId="4">#REF!</definedName>
    <definedName name="Precio" localSheetId="5">#REF!</definedName>
    <definedName name="Precio" localSheetId="12">#REF!</definedName>
    <definedName name="Precio" localSheetId="14">#REF!</definedName>
    <definedName name="Precio" localSheetId="25">#REF!</definedName>
    <definedName name="Precio">#REF!</definedName>
    <definedName name="precio2" localSheetId="32">#REF!</definedName>
    <definedName name="precio2" localSheetId="29">#REF!</definedName>
    <definedName name="precio2" localSheetId="11">#REF!</definedName>
    <definedName name="precio2" localSheetId="35">#REF!</definedName>
    <definedName name="precio2" localSheetId="28">#REF!</definedName>
    <definedName name="precio2" localSheetId="27">#REF!</definedName>
    <definedName name="precio2" localSheetId="9">#REF!</definedName>
    <definedName name="precio2" localSheetId="22">#REF!</definedName>
    <definedName name="precio2" localSheetId="31">#REF!</definedName>
    <definedName name="precio2" localSheetId="33">#REF!</definedName>
    <definedName name="precio2" localSheetId="7">#REF!</definedName>
    <definedName name="precio2" localSheetId="8">#REF!</definedName>
    <definedName name="precio2" localSheetId="30">#REF!</definedName>
    <definedName name="precio2" localSheetId="15">#REF!</definedName>
    <definedName name="precio2" localSheetId="16">#REF!</definedName>
    <definedName name="precio2" localSheetId="2">#REF!</definedName>
    <definedName name="precio2" localSheetId="4">#REF!</definedName>
    <definedName name="precio2" localSheetId="5">#REF!</definedName>
    <definedName name="precio2" localSheetId="12">#REF!</definedName>
    <definedName name="precio2" localSheetId="14">#REF!</definedName>
    <definedName name="precio2" localSheetId="25">#REF!</definedName>
    <definedName name="precio2">#REF!</definedName>
    <definedName name="PrecioS" localSheetId="32">#REF!</definedName>
    <definedName name="PrecioS" localSheetId="29">#REF!</definedName>
    <definedName name="PrecioS" localSheetId="11">#REF!</definedName>
    <definedName name="PrecioS" localSheetId="35">#REF!</definedName>
    <definedName name="PrecioS" localSheetId="28">#REF!</definedName>
    <definedName name="PrecioS" localSheetId="27">#REF!</definedName>
    <definedName name="PrecioS" localSheetId="9">#REF!</definedName>
    <definedName name="PrecioS" localSheetId="22">#REF!</definedName>
    <definedName name="PrecioS" localSheetId="31">#REF!</definedName>
    <definedName name="PrecioS" localSheetId="33">#REF!</definedName>
    <definedName name="PrecioS" localSheetId="7">#REF!</definedName>
    <definedName name="PrecioS" localSheetId="8">#REF!</definedName>
    <definedName name="PrecioS" localSheetId="30">#REF!</definedName>
    <definedName name="PrecioS" localSheetId="15">#REF!</definedName>
    <definedName name="PrecioS" localSheetId="16">#REF!</definedName>
    <definedName name="PrecioS" localSheetId="2">#REF!</definedName>
    <definedName name="PrecioS" localSheetId="4">#REF!</definedName>
    <definedName name="PrecioS" localSheetId="5">#REF!</definedName>
    <definedName name="PrecioS" localSheetId="12">#REF!</definedName>
    <definedName name="PrecioS" localSheetId="14">#REF!</definedName>
    <definedName name="PrecioS" localSheetId="25">#REF!</definedName>
    <definedName name="PrecioS">#REF!</definedName>
    <definedName name="prestacional" localSheetId="32">#REF!</definedName>
    <definedName name="prestacional" localSheetId="29">#REF!</definedName>
    <definedName name="prestacional" localSheetId="11">#REF!</definedName>
    <definedName name="prestacional" localSheetId="35">#REF!</definedName>
    <definedName name="prestacional" localSheetId="28">#REF!</definedName>
    <definedName name="prestacional" localSheetId="31">#REF!</definedName>
    <definedName name="prestacional" localSheetId="33">#REF!</definedName>
    <definedName name="prestacional" localSheetId="30">#REF!</definedName>
    <definedName name="prestacional" localSheetId="15">#REF!</definedName>
    <definedName name="prestacional" localSheetId="16">#REF!</definedName>
    <definedName name="prestacional" localSheetId="2">#REF!</definedName>
    <definedName name="prestacional" localSheetId="4">#REF!</definedName>
    <definedName name="prestacional">#REF!</definedName>
    <definedName name="PRINT_AREA">#N/A</definedName>
    <definedName name="PRINT_AREA_MI">#N/A</definedName>
    <definedName name="PRINT_TITLES">#N/A</definedName>
    <definedName name="PRINT_TITLES_MI">#N/A</definedName>
    <definedName name="rele">'Bienes relevantes'!#REF!</definedName>
    <definedName name="RESU" localSheetId="32">#REF!</definedName>
    <definedName name="RESU" localSheetId="29">#REF!</definedName>
    <definedName name="RESU" localSheetId="36">#REF!</definedName>
    <definedName name="RESU" localSheetId="11">#REF!</definedName>
    <definedName name="RESU" localSheetId="35">#REF!</definedName>
    <definedName name="RESU" localSheetId="28">#REF!</definedName>
    <definedName name="RESU" localSheetId="27">#REF!</definedName>
    <definedName name="RESU" localSheetId="9">#REF!</definedName>
    <definedName name="RESU" localSheetId="22">#REF!</definedName>
    <definedName name="RESU" localSheetId="31">#REF!</definedName>
    <definedName name="RESU" localSheetId="33">#REF!</definedName>
    <definedName name="RESU" localSheetId="7">#REF!</definedName>
    <definedName name="RESU" localSheetId="8">#REF!</definedName>
    <definedName name="RESU" localSheetId="30">#REF!</definedName>
    <definedName name="RESU" localSheetId="15">#REF!</definedName>
    <definedName name="RESU" localSheetId="16">#REF!</definedName>
    <definedName name="RESU" localSheetId="2">#REF!</definedName>
    <definedName name="RESU" localSheetId="4">#REF!</definedName>
    <definedName name="RESU" localSheetId="5">#REF!</definedName>
    <definedName name="RESU" localSheetId="12">#REF!</definedName>
    <definedName name="RESU" localSheetId="14">#REF!</definedName>
    <definedName name="RESU" localSheetId="25">#REF!</definedName>
    <definedName name="RESU">#REF!</definedName>
    <definedName name="RFO">'CF&amp;O'!#REF!</definedName>
    <definedName name="salarios">Salarios!#REF!</definedName>
    <definedName name="SUBA">#REF!</definedName>
    <definedName name="subasta1">'A. Lances - SIP'!#REF!</definedName>
    <definedName name="subasta2">'Habilitados - SI'!#REF!</definedName>
    <definedName name="subasta3">'D. Lances - SIP'!#REF!</definedName>
    <definedName name="subasta4">'DD. Lances - SIP'!#REF!</definedName>
    <definedName name="SUELLEN" localSheetId="32">#REF!</definedName>
    <definedName name="SUELLEN" localSheetId="29">#REF!</definedName>
    <definedName name="SUELLEN" localSheetId="36">#REF!</definedName>
    <definedName name="SUELLEN" localSheetId="11">#REF!</definedName>
    <definedName name="SUELLEN" localSheetId="35">#REF!</definedName>
    <definedName name="SUELLEN" localSheetId="28">#REF!</definedName>
    <definedName name="SUELLEN" localSheetId="27">#REF!</definedName>
    <definedName name="SUELLEN" localSheetId="9">#REF!</definedName>
    <definedName name="SUELLEN" localSheetId="22">#REF!</definedName>
    <definedName name="SUELLEN" localSheetId="31">#REF!</definedName>
    <definedName name="SUELLEN" localSheetId="33">#REF!</definedName>
    <definedName name="SUELLEN" localSheetId="7">#REF!</definedName>
    <definedName name="SUELLEN" localSheetId="8">#REF!</definedName>
    <definedName name="SUELLEN" localSheetId="30">#REF!</definedName>
    <definedName name="SUELLEN" localSheetId="15">#REF!</definedName>
    <definedName name="SUELLEN" localSheetId="16">#REF!</definedName>
    <definedName name="SUELLEN" localSheetId="2">#REF!</definedName>
    <definedName name="SUELLEN" localSheetId="4">#REF!</definedName>
    <definedName name="SUELLEN" localSheetId="5">#REF!</definedName>
    <definedName name="SUELLEN" localSheetId="12">#REF!</definedName>
    <definedName name="SUELLEN" localSheetId="14">#REF!</definedName>
    <definedName name="SUELLEN" localSheetId="25">#REF!</definedName>
    <definedName name="SUELLEN">#REF!</definedName>
    <definedName name="suma">#REF!</definedName>
    <definedName name="_xlnm.Print_Titles" localSheetId="36">'Ayuda honorarios'!#REF!</definedName>
    <definedName name="_xlnm.Print_Titles" localSheetId="27">Distintivos!#REF!</definedName>
    <definedName name="_xlnm.Print_Titles" localSheetId="23">Honorarios!$3:$3</definedName>
    <definedName name="_xlnm.Print_Titles" localSheetId="2">'PE PSP'!#REF!</definedName>
    <definedName name="_xlnm.Print_Titles" localSheetId="1">'Plan Ejecución'!$3:$3</definedName>
    <definedName name="_xlnm.Print_Titles" localSheetId="4">'Ppto PSP'!$4:$4</definedName>
    <definedName name="_xlnm.Print_Titles" localSheetId="3">'Presupuesto Contrato'!$4:$4</definedName>
    <definedName name="_xlnm.Print_Titles" localSheetId="5">'Presupuesto Convenio'!$4:$4</definedName>
    <definedName name="_xlnm.Print_Titles">#N/A</definedName>
    <definedName name="Títulos_a_imprimir_IM" localSheetId="32">#REF!</definedName>
    <definedName name="Títulos_a_imprimir_IM" localSheetId="29">#REF!</definedName>
    <definedName name="Títulos_a_imprimir_IM" localSheetId="36">#REF!</definedName>
    <definedName name="Títulos_a_imprimir_IM" localSheetId="11">#REF!</definedName>
    <definedName name="Títulos_a_imprimir_IM" localSheetId="35">#REF!</definedName>
    <definedName name="Títulos_a_imprimir_IM" localSheetId="28">#REF!</definedName>
    <definedName name="Títulos_a_imprimir_IM" localSheetId="27">#REF!</definedName>
    <definedName name="Títulos_a_imprimir_IM" localSheetId="9">#REF!</definedName>
    <definedName name="Títulos_a_imprimir_IM" localSheetId="22">#REF!</definedName>
    <definedName name="Títulos_a_imprimir_IM" localSheetId="31">#REF!</definedName>
    <definedName name="Títulos_a_imprimir_IM" localSheetId="33">#REF!</definedName>
    <definedName name="Títulos_a_imprimir_IM" localSheetId="7">#REF!</definedName>
    <definedName name="Títulos_a_imprimir_IM" localSheetId="8">#REF!</definedName>
    <definedName name="Títulos_a_imprimir_IM" localSheetId="30">#REF!</definedName>
    <definedName name="Títulos_a_imprimir_IM" localSheetId="15">#REF!</definedName>
    <definedName name="Títulos_a_imprimir_IM" localSheetId="16">#REF!</definedName>
    <definedName name="Títulos_a_imprimir_IM" localSheetId="2">#REF!</definedName>
    <definedName name="Títulos_a_imprimir_IM" localSheetId="4">#REF!</definedName>
    <definedName name="Títulos_a_imprimir_IM" localSheetId="5">#REF!</definedName>
    <definedName name="Títulos_a_imprimir_IM" localSheetId="12">#REF!</definedName>
    <definedName name="Títulos_a_imprimir_IM" localSheetId="14">#REF!</definedName>
    <definedName name="Títulos_a_imprimir_IM" localSheetId="25">#REF!</definedName>
    <definedName name="Títulos_a_imprimir_IM">#REF!</definedName>
    <definedName name="tres" localSheetId="32">#REF!</definedName>
    <definedName name="tres" localSheetId="29">#REF!</definedName>
    <definedName name="tres" localSheetId="36">#REF!</definedName>
    <definedName name="tres" localSheetId="11">#REF!</definedName>
    <definedName name="tres" localSheetId="35">#REF!</definedName>
    <definedName name="tres" localSheetId="28">#REF!</definedName>
    <definedName name="tres" localSheetId="27">#REF!</definedName>
    <definedName name="tres" localSheetId="9">#REF!</definedName>
    <definedName name="tres" localSheetId="22">#REF!</definedName>
    <definedName name="tres" localSheetId="31">#REF!</definedName>
    <definedName name="tres" localSheetId="33">#REF!</definedName>
    <definedName name="tres" localSheetId="7">#REF!</definedName>
    <definedName name="tres" localSheetId="8">#REF!</definedName>
    <definedName name="tres" localSheetId="30">#REF!</definedName>
    <definedName name="tres" localSheetId="15">#REF!</definedName>
    <definedName name="tres" localSheetId="16">#REF!</definedName>
    <definedName name="tres" localSheetId="2">#REF!</definedName>
    <definedName name="tres" localSheetId="4">#REF!</definedName>
    <definedName name="tres" localSheetId="5">#REF!</definedName>
    <definedName name="tres" localSheetId="12">#REF!</definedName>
    <definedName name="tres" localSheetId="14">#REF!</definedName>
    <definedName name="tres" localSheetId="25">#REF!</definedName>
    <definedName name="tres">#REF!</definedName>
    <definedName name="Var">#REF!</definedName>
    <definedName name="vas" localSheetId="32">#REF!</definedName>
    <definedName name="vas" localSheetId="29">#REF!</definedName>
    <definedName name="vas" localSheetId="36">#REF!</definedName>
    <definedName name="vas" localSheetId="11">#REF!</definedName>
    <definedName name="vas" localSheetId="35">#REF!</definedName>
    <definedName name="vas" localSheetId="28">#REF!</definedName>
    <definedName name="vas" localSheetId="27">#REF!</definedName>
    <definedName name="vas" localSheetId="9">#REF!</definedName>
    <definedName name="vas" localSheetId="22">#REF!</definedName>
    <definedName name="vas" localSheetId="31">#REF!</definedName>
    <definedName name="vas" localSheetId="33">#REF!</definedName>
    <definedName name="vas" localSheetId="7">#REF!</definedName>
    <definedName name="vas" localSheetId="8">#REF!</definedName>
    <definedName name="vas" localSheetId="30">#REF!</definedName>
    <definedName name="vas" localSheetId="15">#REF!</definedName>
    <definedName name="vas" localSheetId="16">#REF!</definedName>
    <definedName name="vas" localSheetId="2">#REF!</definedName>
    <definedName name="vas" localSheetId="4">#REF!</definedName>
    <definedName name="vas" localSheetId="5">#REF!</definedName>
    <definedName name="vas" localSheetId="12">#REF!</definedName>
    <definedName name="vas" localSheetId="14">#REF!</definedName>
    <definedName name="vas" localSheetId="25">#REF!</definedName>
    <definedName name="vas">#REF!</definedName>
    <definedName name="wrn.GENERAL." localSheetId="36"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25" hidden="1">{"TAB1",#N/A,TRUE,"GENERAL";"TAB2",#N/A,TRUE,"GENERAL";"TAB3",#N/A,TRUE,"GENERAL";"TAB4",#N/A,TRUE,"GENERAL";"TAB5",#N/A,TRUE,"GENERAL"}</definedName>
    <definedName name="wrn.GENERAL." hidden="1">{"TAB1",#N/A,TRUE,"GENERAL";"TAB2",#N/A,TRUE,"GENERAL";"TAB3",#N/A,TRUE,"GENERAL";"TAB4",#N/A,TRUE,"GENERAL";"TAB5",#N/A,TRUE,"GENERAL"}</definedName>
    <definedName name="wrn.via." localSheetId="36" hidden="1">{"via1",#N/A,TRUE,"general";"via2",#N/A,TRUE,"general";"via3",#N/A,TRUE,"general"}</definedName>
    <definedName name="wrn.via." localSheetId="22" hidden="1">{"via1",#N/A,TRUE,"general";"via2",#N/A,TRUE,"general";"via3",#N/A,TRUE,"general"}</definedName>
    <definedName name="wrn.via." localSheetId="12" hidden="1">{"via1",#N/A,TRUE,"general";"via2",#N/A,TRUE,"general";"via3",#N/A,TRUE,"general"}</definedName>
    <definedName name="wrn.via." localSheetId="25" hidden="1">{"via1",#N/A,TRUE,"general";"via2",#N/A,TRUE,"general";"via3",#N/A,TRUE,"general"}</definedName>
    <definedName name="wrn.via." hidden="1">{"via1",#N/A,TRUE,"general";"via2",#N/A,TRUE,"general";"via3",#N/A,TRUE,"general"}</definedName>
    <definedName name="xx" localSheetId="32">#REF!</definedName>
    <definedName name="xx" localSheetId="29">#REF!</definedName>
    <definedName name="xx" localSheetId="36">#REF!</definedName>
    <definedName name="xx" localSheetId="11">#REF!</definedName>
    <definedName name="xx" localSheetId="35">#REF!</definedName>
    <definedName name="xx" localSheetId="28">#REF!</definedName>
    <definedName name="xx" localSheetId="27">#REF!</definedName>
    <definedName name="xx" localSheetId="9">#REF!</definedName>
    <definedName name="xx" localSheetId="22">#REF!</definedName>
    <definedName name="xx" localSheetId="31">#REF!</definedName>
    <definedName name="xx" localSheetId="33">#REF!</definedName>
    <definedName name="xx" localSheetId="7">#REF!</definedName>
    <definedName name="xx" localSheetId="8">#REF!</definedName>
    <definedName name="xx" localSheetId="30">#REF!</definedName>
    <definedName name="xx" localSheetId="15">#REF!</definedName>
    <definedName name="xx" localSheetId="16">#REF!</definedName>
    <definedName name="xx" localSheetId="2">#REF!</definedName>
    <definedName name="xx" localSheetId="4">#REF!</definedName>
    <definedName name="xx" localSheetId="5">#REF!</definedName>
    <definedName name="xx" localSheetId="12">#REF!</definedName>
    <definedName name="xx" localSheetId="14">#REF!</definedName>
    <definedName name="xx" localSheetId="25">#REF!</definedName>
    <definedName name="xx">#REF!</definedName>
    <definedName name="yuf" localSheetId="36" hidden="1">{"TAB1",#N/A,TRUE,"GENERAL";"TAB2",#N/A,TRUE,"GENERAL";"TAB3",#N/A,TRUE,"GENERAL";"TAB4",#N/A,TRUE,"GENERAL";"TAB5",#N/A,TRUE,"GENERAL"}</definedName>
    <definedName name="yuf" localSheetId="22" hidden="1">{"TAB1",#N/A,TRUE,"GENERAL";"TAB2",#N/A,TRUE,"GENERAL";"TAB3",#N/A,TRUE,"GENERAL";"TAB4",#N/A,TRUE,"GENERAL";"TAB5",#N/A,TRUE,"GENERAL"}</definedName>
    <definedName name="yuf" localSheetId="12" hidden="1">{"TAB1",#N/A,TRUE,"GENERAL";"TAB2",#N/A,TRUE,"GENERAL";"TAB3",#N/A,TRUE,"GENERAL";"TAB4",#N/A,TRUE,"GENERAL";"TAB5",#N/A,TRUE,"GENERAL"}</definedName>
    <definedName name="yuf" localSheetId="25" hidden="1">{"TAB1",#N/A,TRUE,"GENERAL";"TAB2",#N/A,TRUE,"GENERAL";"TAB3",#N/A,TRUE,"GENERAL";"TAB4",#N/A,TRUE,"GENERAL";"TAB5",#N/A,TRUE,"GENERAL"}</definedName>
    <definedName name="yuf" hidden="1">{"TAB1",#N/A,TRUE,"GENERAL";"TAB2",#N/A,TRUE,"GENERAL";"TAB3",#N/A,TRUE,"GENERAL";"TAB4",#N/A,TRUE,"GENERAL";"TAB5",#N/A,TRUE,"GENERAL"}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44" i="37" l="1"/>
  <c r="C45" i="37" s="1"/>
  <c r="B44" i="37"/>
  <c r="B45" i="37" s="1"/>
  <c r="C43" i="37"/>
  <c r="B43" i="37"/>
  <c r="B39" i="37"/>
  <c r="B37" i="37"/>
  <c r="B40" i="37" s="1"/>
  <c r="D16" i="37"/>
  <c r="D15" i="37"/>
  <c r="D14" i="37"/>
  <c r="D13" i="37"/>
  <c r="D12" i="37"/>
  <c r="D11" i="37"/>
  <c r="D10" i="37"/>
  <c r="B1" i="37"/>
  <c r="B1" i="36"/>
  <c r="B1" i="35"/>
  <c r="B1" i="34"/>
  <c r="B1" i="33"/>
  <c r="E45" i="32"/>
  <c r="E44" i="32"/>
  <c r="E43" i="32"/>
  <c r="E42" i="32"/>
  <c r="E41" i="32"/>
  <c r="E40" i="32"/>
  <c r="E39" i="32"/>
  <c r="E38" i="32"/>
  <c r="E37" i="32"/>
  <c r="E46" i="32" s="1"/>
  <c r="E34" i="32"/>
  <c r="E33" i="32"/>
  <c r="E32" i="32"/>
  <c r="E31" i="32"/>
  <c r="E30" i="32"/>
  <c r="E29" i="32"/>
  <c r="E28" i="32"/>
  <c r="E27" i="32"/>
  <c r="E26" i="32"/>
  <c r="E25" i="32"/>
  <c r="E35" i="32" s="1"/>
  <c r="E22" i="32"/>
  <c r="E21" i="32"/>
  <c r="E20" i="32"/>
  <c r="E19" i="32"/>
  <c r="E18" i="32"/>
  <c r="E17" i="32"/>
  <c r="E23" i="32" s="1"/>
  <c r="E14" i="32"/>
  <c r="E13" i="32"/>
  <c r="E12" i="32"/>
  <c r="E11" i="32"/>
  <c r="E10" i="32"/>
  <c r="E15" i="32" s="1"/>
  <c r="B1" i="32"/>
  <c r="B1" i="31"/>
  <c r="B1" i="30"/>
  <c r="B8" i="29"/>
  <c r="B5" i="29"/>
  <c r="B1" i="29"/>
  <c r="B1" i="28"/>
  <c r="B1" i="27"/>
  <c r="C120" i="26"/>
  <c r="D120" i="26" s="1"/>
  <c r="E120" i="26" s="1"/>
  <c r="F120" i="26" s="1"/>
  <c r="C119" i="26"/>
  <c r="D119" i="26" s="1"/>
  <c r="E119" i="26" s="1"/>
  <c r="F119" i="26" s="1"/>
  <c r="C118" i="26"/>
  <c r="D118" i="26" s="1"/>
  <c r="E118" i="26" s="1"/>
  <c r="F118" i="26" s="1"/>
  <c r="C117" i="26"/>
  <c r="D117" i="26" s="1"/>
  <c r="E117" i="26" s="1"/>
  <c r="F117" i="26" s="1"/>
  <c r="C116" i="26"/>
  <c r="D116" i="26" s="1"/>
  <c r="E116" i="26" s="1"/>
  <c r="F116" i="26" s="1"/>
  <c r="C115" i="26"/>
  <c r="D115" i="26" s="1"/>
  <c r="E115" i="26" s="1"/>
  <c r="F115" i="26" s="1"/>
  <c r="C114" i="26"/>
  <c r="D114" i="26" s="1"/>
  <c r="E114" i="26" s="1"/>
  <c r="F114" i="26" s="1"/>
  <c r="C113" i="26"/>
  <c r="D113" i="26" s="1"/>
  <c r="E113" i="26" s="1"/>
  <c r="F113" i="26" s="1"/>
  <c r="C112" i="26"/>
  <c r="D112" i="26" s="1"/>
  <c r="E112" i="26" s="1"/>
  <c r="F112" i="26" s="1"/>
  <c r="C111" i="26"/>
  <c r="D111" i="26" s="1"/>
  <c r="E111" i="26" s="1"/>
  <c r="F111" i="26" s="1"/>
  <c r="C110" i="26"/>
  <c r="D110" i="26" s="1"/>
  <c r="E110" i="26" s="1"/>
  <c r="F110" i="26" s="1"/>
  <c r="C109" i="26"/>
  <c r="D109" i="26" s="1"/>
  <c r="E109" i="26" s="1"/>
  <c r="F109" i="26" s="1"/>
  <c r="C108" i="26"/>
  <c r="D108" i="26" s="1"/>
  <c r="E108" i="26" s="1"/>
  <c r="F108" i="26" s="1"/>
  <c r="C107" i="26"/>
  <c r="D107" i="26" s="1"/>
  <c r="E107" i="26" s="1"/>
  <c r="F107" i="26" s="1"/>
  <c r="C106" i="26"/>
  <c r="D106" i="26" s="1"/>
  <c r="E106" i="26" s="1"/>
  <c r="F106" i="26" s="1"/>
  <c r="C105" i="26"/>
  <c r="D105" i="26" s="1"/>
  <c r="E105" i="26" s="1"/>
  <c r="F105" i="26" s="1"/>
  <c r="C104" i="26"/>
  <c r="D104" i="26" s="1"/>
  <c r="E104" i="26" s="1"/>
  <c r="F104" i="26" s="1"/>
  <c r="C103" i="26"/>
  <c r="D103" i="26" s="1"/>
  <c r="E103" i="26" s="1"/>
  <c r="F103" i="26" s="1"/>
  <c r="C102" i="26"/>
  <c r="D102" i="26" s="1"/>
  <c r="E102" i="26" s="1"/>
  <c r="F102" i="26" s="1"/>
  <c r="C101" i="26"/>
  <c r="D101" i="26" s="1"/>
  <c r="E101" i="26" s="1"/>
  <c r="F101" i="26" s="1"/>
  <c r="C100" i="26"/>
  <c r="D100" i="26" s="1"/>
  <c r="E100" i="26" s="1"/>
  <c r="F100" i="26" s="1"/>
  <c r="C99" i="26"/>
  <c r="D99" i="26" s="1"/>
  <c r="E99" i="26" s="1"/>
  <c r="F99" i="26" s="1"/>
  <c r="C98" i="26"/>
  <c r="D98" i="26" s="1"/>
  <c r="E98" i="26" s="1"/>
  <c r="F98" i="26" s="1"/>
  <c r="C97" i="26"/>
  <c r="D97" i="26" s="1"/>
  <c r="E97" i="26" s="1"/>
  <c r="F97" i="26" s="1"/>
  <c r="C96" i="26"/>
  <c r="D96" i="26" s="1"/>
  <c r="E96" i="26" s="1"/>
  <c r="F96" i="26" s="1"/>
  <c r="C95" i="26"/>
  <c r="D95" i="26" s="1"/>
  <c r="E95" i="26" s="1"/>
  <c r="F95" i="26" s="1"/>
  <c r="C94" i="26"/>
  <c r="D94" i="26" s="1"/>
  <c r="E94" i="26" s="1"/>
  <c r="F94" i="26" s="1"/>
  <c r="C93" i="26"/>
  <c r="D93" i="26" s="1"/>
  <c r="E93" i="26" s="1"/>
  <c r="F93" i="26" s="1"/>
  <c r="C92" i="26"/>
  <c r="D92" i="26" s="1"/>
  <c r="E92" i="26" s="1"/>
  <c r="F92" i="26" s="1"/>
  <c r="C91" i="26"/>
  <c r="D91" i="26" s="1"/>
  <c r="E91" i="26" s="1"/>
  <c r="F91" i="26" s="1"/>
  <c r="C90" i="26"/>
  <c r="D90" i="26" s="1"/>
  <c r="E90" i="26" s="1"/>
  <c r="F90" i="26" s="1"/>
  <c r="C89" i="26"/>
  <c r="D89" i="26" s="1"/>
  <c r="E89" i="26" s="1"/>
  <c r="F89" i="26" s="1"/>
  <c r="C88" i="26"/>
  <c r="D88" i="26" s="1"/>
  <c r="E88" i="26" s="1"/>
  <c r="F88" i="26" s="1"/>
  <c r="C87" i="26"/>
  <c r="D87" i="26" s="1"/>
  <c r="E87" i="26" s="1"/>
  <c r="F87" i="26" s="1"/>
  <c r="C86" i="26"/>
  <c r="D86" i="26" s="1"/>
  <c r="E86" i="26" s="1"/>
  <c r="F86" i="26" s="1"/>
  <c r="C85" i="26"/>
  <c r="D85" i="26" s="1"/>
  <c r="E85" i="26" s="1"/>
  <c r="F85" i="26" s="1"/>
  <c r="C84" i="26"/>
  <c r="D84" i="26" s="1"/>
  <c r="E84" i="26" s="1"/>
  <c r="F84" i="26" s="1"/>
  <c r="C83" i="26"/>
  <c r="D83" i="26" s="1"/>
  <c r="E83" i="26" s="1"/>
  <c r="F83" i="26" s="1"/>
  <c r="C82" i="26"/>
  <c r="D82" i="26" s="1"/>
  <c r="E82" i="26" s="1"/>
  <c r="F82" i="26" s="1"/>
  <c r="C81" i="26"/>
  <c r="D81" i="26" s="1"/>
  <c r="E81" i="26" s="1"/>
  <c r="F81" i="26" s="1"/>
  <c r="C80" i="26"/>
  <c r="D80" i="26" s="1"/>
  <c r="E80" i="26" s="1"/>
  <c r="F80" i="26" s="1"/>
  <c r="C79" i="26"/>
  <c r="D79" i="26" s="1"/>
  <c r="E79" i="26" s="1"/>
  <c r="F79" i="26" s="1"/>
  <c r="C78" i="26"/>
  <c r="D78" i="26" s="1"/>
  <c r="E78" i="26" s="1"/>
  <c r="F78" i="26" s="1"/>
  <c r="C77" i="26"/>
  <c r="D77" i="26" s="1"/>
  <c r="E77" i="26" s="1"/>
  <c r="F77" i="26" s="1"/>
  <c r="C76" i="26"/>
  <c r="D76" i="26" s="1"/>
  <c r="E76" i="26" s="1"/>
  <c r="F76" i="26" s="1"/>
  <c r="C75" i="26"/>
  <c r="D75" i="26" s="1"/>
  <c r="E75" i="26" s="1"/>
  <c r="F75" i="26" s="1"/>
  <c r="C74" i="26"/>
  <c r="D74" i="26" s="1"/>
  <c r="E74" i="26" s="1"/>
  <c r="F74" i="26" s="1"/>
  <c r="C73" i="26"/>
  <c r="D73" i="26" s="1"/>
  <c r="E73" i="26" s="1"/>
  <c r="F73" i="26" s="1"/>
  <c r="C72" i="26"/>
  <c r="D72" i="26" s="1"/>
  <c r="E72" i="26" s="1"/>
  <c r="F72" i="26" s="1"/>
  <c r="C71" i="26"/>
  <c r="D71" i="26" s="1"/>
  <c r="E71" i="26" s="1"/>
  <c r="F71" i="26" s="1"/>
  <c r="C70" i="26"/>
  <c r="D70" i="26" s="1"/>
  <c r="E70" i="26" s="1"/>
  <c r="F70" i="26" s="1"/>
  <c r="C69" i="26"/>
  <c r="D69" i="26" s="1"/>
  <c r="E69" i="26" s="1"/>
  <c r="F69" i="26" s="1"/>
  <c r="C68" i="26"/>
  <c r="D68" i="26" s="1"/>
  <c r="E68" i="26" s="1"/>
  <c r="F68" i="26" s="1"/>
  <c r="C67" i="26"/>
  <c r="D67" i="26" s="1"/>
  <c r="E67" i="26" s="1"/>
  <c r="F67" i="26" s="1"/>
  <c r="C66" i="26"/>
  <c r="D66" i="26" s="1"/>
  <c r="E66" i="26" s="1"/>
  <c r="F66" i="26" s="1"/>
  <c r="C65" i="26"/>
  <c r="D65" i="26" s="1"/>
  <c r="E65" i="26" s="1"/>
  <c r="F65" i="26" s="1"/>
  <c r="D64" i="26"/>
  <c r="E64" i="26" s="1"/>
  <c r="F64" i="26" s="1"/>
  <c r="C64" i="26"/>
  <c r="C63" i="26"/>
  <c r="D63" i="26" s="1"/>
  <c r="E63" i="26" s="1"/>
  <c r="F63" i="26" s="1"/>
  <c r="C62" i="26"/>
  <c r="D62" i="26" s="1"/>
  <c r="E62" i="26" s="1"/>
  <c r="F62" i="26" s="1"/>
  <c r="C61" i="26"/>
  <c r="D61" i="26" s="1"/>
  <c r="E61" i="26" s="1"/>
  <c r="F61" i="26" s="1"/>
  <c r="C60" i="26"/>
  <c r="D60" i="26" s="1"/>
  <c r="E60" i="26" s="1"/>
  <c r="F60" i="26" s="1"/>
  <c r="C59" i="26"/>
  <c r="D59" i="26" s="1"/>
  <c r="E59" i="26" s="1"/>
  <c r="F59" i="26" s="1"/>
  <c r="C58" i="26"/>
  <c r="D58" i="26" s="1"/>
  <c r="E58" i="26" s="1"/>
  <c r="F58" i="26" s="1"/>
  <c r="C57" i="26"/>
  <c r="D57" i="26" s="1"/>
  <c r="E57" i="26" s="1"/>
  <c r="F57" i="26" s="1"/>
  <c r="C56" i="26"/>
  <c r="D56" i="26" s="1"/>
  <c r="E56" i="26" s="1"/>
  <c r="F56" i="26" s="1"/>
  <c r="C55" i="26"/>
  <c r="D55" i="26" s="1"/>
  <c r="E55" i="26" s="1"/>
  <c r="F55" i="26" s="1"/>
  <c r="C54" i="26"/>
  <c r="D54" i="26" s="1"/>
  <c r="E54" i="26" s="1"/>
  <c r="F54" i="26" s="1"/>
  <c r="C53" i="26"/>
  <c r="D53" i="26" s="1"/>
  <c r="E53" i="26" s="1"/>
  <c r="F53" i="26" s="1"/>
  <c r="C52" i="26"/>
  <c r="D52" i="26" s="1"/>
  <c r="E52" i="26" s="1"/>
  <c r="F52" i="26" s="1"/>
  <c r="C51" i="26"/>
  <c r="D51" i="26" s="1"/>
  <c r="E51" i="26" s="1"/>
  <c r="F51" i="26" s="1"/>
  <c r="C50" i="26"/>
  <c r="D50" i="26" s="1"/>
  <c r="E50" i="26" s="1"/>
  <c r="F50" i="26" s="1"/>
  <c r="C49" i="26"/>
  <c r="D49" i="26" s="1"/>
  <c r="E49" i="26" s="1"/>
  <c r="F49" i="26" s="1"/>
  <c r="C48" i="26"/>
  <c r="D48" i="26" s="1"/>
  <c r="E48" i="26" s="1"/>
  <c r="F48" i="26" s="1"/>
  <c r="C47" i="26"/>
  <c r="D47" i="26" s="1"/>
  <c r="E47" i="26" s="1"/>
  <c r="F47" i="26" s="1"/>
  <c r="C46" i="26"/>
  <c r="D46" i="26" s="1"/>
  <c r="E46" i="26" s="1"/>
  <c r="F46" i="26" s="1"/>
  <c r="C45" i="26"/>
  <c r="D45" i="26" s="1"/>
  <c r="E45" i="26" s="1"/>
  <c r="F45" i="26" s="1"/>
  <c r="C44" i="26"/>
  <c r="D44" i="26" s="1"/>
  <c r="E44" i="26" s="1"/>
  <c r="F44" i="26" s="1"/>
  <c r="C43" i="26"/>
  <c r="D43" i="26" s="1"/>
  <c r="E43" i="26" s="1"/>
  <c r="F43" i="26" s="1"/>
  <c r="C42" i="26"/>
  <c r="D42" i="26" s="1"/>
  <c r="E42" i="26" s="1"/>
  <c r="F42" i="26" s="1"/>
  <c r="C41" i="26"/>
  <c r="D41" i="26" s="1"/>
  <c r="E41" i="26" s="1"/>
  <c r="F41" i="26" s="1"/>
  <c r="C40" i="26"/>
  <c r="D40" i="26" s="1"/>
  <c r="E40" i="26" s="1"/>
  <c r="F40" i="26" s="1"/>
  <c r="C39" i="26"/>
  <c r="D39" i="26" s="1"/>
  <c r="E39" i="26" s="1"/>
  <c r="F39" i="26" s="1"/>
  <c r="C38" i="26"/>
  <c r="D38" i="26" s="1"/>
  <c r="E38" i="26" s="1"/>
  <c r="F38" i="26" s="1"/>
  <c r="C37" i="26"/>
  <c r="D37" i="26" s="1"/>
  <c r="E37" i="26" s="1"/>
  <c r="F37" i="26" s="1"/>
  <c r="C36" i="26"/>
  <c r="D36" i="26" s="1"/>
  <c r="E36" i="26" s="1"/>
  <c r="F36" i="26" s="1"/>
  <c r="C35" i="26"/>
  <c r="D35" i="26" s="1"/>
  <c r="E35" i="26" s="1"/>
  <c r="F35" i="26" s="1"/>
  <c r="C34" i="26"/>
  <c r="D34" i="26" s="1"/>
  <c r="E34" i="26" s="1"/>
  <c r="F34" i="26" s="1"/>
  <c r="C33" i="26"/>
  <c r="D33" i="26" s="1"/>
  <c r="E33" i="26" s="1"/>
  <c r="F33" i="26" s="1"/>
  <c r="C32" i="26"/>
  <c r="D32" i="26" s="1"/>
  <c r="E32" i="26" s="1"/>
  <c r="F32" i="26" s="1"/>
  <c r="C31" i="26"/>
  <c r="D31" i="26" s="1"/>
  <c r="E31" i="26" s="1"/>
  <c r="F31" i="26" s="1"/>
  <c r="C30" i="26"/>
  <c r="D30" i="26" s="1"/>
  <c r="E30" i="26" s="1"/>
  <c r="F30" i="26" s="1"/>
  <c r="C29" i="26"/>
  <c r="D29" i="26" s="1"/>
  <c r="E29" i="26" s="1"/>
  <c r="F29" i="26" s="1"/>
  <c r="C28" i="26"/>
  <c r="D28" i="26" s="1"/>
  <c r="E28" i="26" s="1"/>
  <c r="F28" i="26" s="1"/>
  <c r="C27" i="26"/>
  <c r="D27" i="26" s="1"/>
  <c r="E27" i="26" s="1"/>
  <c r="F27" i="26" s="1"/>
  <c r="C26" i="26"/>
  <c r="D26" i="26" s="1"/>
  <c r="E26" i="26" s="1"/>
  <c r="F26" i="26" s="1"/>
  <c r="C25" i="26"/>
  <c r="D25" i="26" s="1"/>
  <c r="E25" i="26" s="1"/>
  <c r="F25" i="26" s="1"/>
  <c r="C24" i="26"/>
  <c r="D24" i="26" s="1"/>
  <c r="E24" i="26" s="1"/>
  <c r="F24" i="26" s="1"/>
  <c r="C23" i="26"/>
  <c r="D23" i="26" s="1"/>
  <c r="E23" i="26" s="1"/>
  <c r="F23" i="26" s="1"/>
  <c r="C22" i="26"/>
  <c r="D22" i="26" s="1"/>
  <c r="E22" i="26" s="1"/>
  <c r="F22" i="26" s="1"/>
  <c r="C21" i="26"/>
  <c r="D21" i="26" s="1"/>
  <c r="E21" i="26" s="1"/>
  <c r="F21" i="26" s="1"/>
  <c r="C20" i="26"/>
  <c r="D20" i="26" s="1"/>
  <c r="E20" i="26" s="1"/>
  <c r="F20" i="26" s="1"/>
  <c r="C19" i="26"/>
  <c r="D19" i="26" s="1"/>
  <c r="E19" i="26" s="1"/>
  <c r="F19" i="26" s="1"/>
  <c r="C18" i="26"/>
  <c r="D18" i="26" s="1"/>
  <c r="E18" i="26" s="1"/>
  <c r="F18" i="26" s="1"/>
  <c r="C17" i="26"/>
  <c r="D17" i="26" s="1"/>
  <c r="E17" i="26" s="1"/>
  <c r="F17" i="26" s="1"/>
  <c r="C16" i="26"/>
  <c r="D16" i="26" s="1"/>
  <c r="E16" i="26" s="1"/>
  <c r="F16" i="26" s="1"/>
  <c r="C15" i="26"/>
  <c r="D15" i="26" s="1"/>
  <c r="E15" i="26" s="1"/>
  <c r="F15" i="26" s="1"/>
  <c r="C14" i="26"/>
  <c r="D14" i="26" s="1"/>
  <c r="E14" i="26" s="1"/>
  <c r="F14" i="26" s="1"/>
  <c r="C13" i="26"/>
  <c r="D13" i="26" s="1"/>
  <c r="E13" i="26" s="1"/>
  <c r="F13" i="26" s="1"/>
  <c r="C12" i="26"/>
  <c r="D12" i="26" s="1"/>
  <c r="E12" i="26" s="1"/>
  <c r="F12" i="26" s="1"/>
  <c r="B1" i="26"/>
  <c r="B43" i="25"/>
  <c r="B27" i="25"/>
  <c r="J12" i="25"/>
  <c r="I12" i="25"/>
  <c r="H12" i="25"/>
  <c r="G12" i="25"/>
  <c r="F12" i="25"/>
  <c r="E12" i="25"/>
  <c r="D12" i="25"/>
  <c r="C12" i="25"/>
  <c r="E1" i="25"/>
  <c r="B1" i="24"/>
  <c r="B5" i="23"/>
  <c r="B1" i="23"/>
  <c r="E1" i="22"/>
  <c r="E1" i="21"/>
  <c r="D93" i="20"/>
  <c r="D94" i="20" s="1"/>
  <c r="D89" i="20"/>
  <c r="D90" i="20" s="1"/>
  <c r="D85" i="20"/>
  <c r="D86" i="20" s="1"/>
  <c r="D81" i="20"/>
  <c r="D82" i="20" s="1"/>
  <c r="D77" i="20"/>
  <c r="D78" i="20" s="1"/>
  <c r="D73" i="20"/>
  <c r="D74" i="20" s="1"/>
  <c r="D69" i="20"/>
  <c r="D70" i="20" s="1"/>
  <c r="D65" i="20"/>
  <c r="D66" i="20" s="1"/>
  <c r="D61" i="20"/>
  <c r="D62" i="20" s="1"/>
  <c r="D58" i="20"/>
  <c r="D57" i="20"/>
  <c r="D53" i="20"/>
  <c r="D54" i="20" s="1"/>
  <c r="D49" i="20"/>
  <c r="D50" i="20" s="1"/>
  <c r="D45" i="20"/>
  <c r="D46" i="20" s="1"/>
  <c r="D41" i="20"/>
  <c r="D42" i="20" s="1"/>
  <c r="D37" i="20"/>
  <c r="D38" i="20" s="1"/>
  <c r="D34" i="20"/>
  <c r="D33" i="20"/>
  <c r="D29" i="20"/>
  <c r="D30" i="20" s="1"/>
  <c r="D25" i="20"/>
  <c r="D26" i="20" s="1"/>
  <c r="D21" i="20"/>
  <c r="D22" i="20" s="1"/>
  <c r="D18" i="20"/>
  <c r="D17" i="20"/>
  <c r="D13" i="20"/>
  <c r="D14" i="20" s="1"/>
  <c r="B1" i="20"/>
  <c r="G43" i="19"/>
  <c r="E43" i="19"/>
  <c r="C43" i="19"/>
  <c r="G42" i="19"/>
  <c r="E42" i="19"/>
  <c r="C42" i="19"/>
  <c r="G41" i="19"/>
  <c r="E41" i="19"/>
  <c r="C41" i="19"/>
  <c r="G40" i="19"/>
  <c r="E40" i="19"/>
  <c r="C40" i="19"/>
  <c r="G39" i="19"/>
  <c r="E39" i="19"/>
  <c r="C39" i="19"/>
  <c r="G38" i="19"/>
  <c r="E38" i="19"/>
  <c r="C38" i="19"/>
  <c r="G37" i="19"/>
  <c r="E37" i="19"/>
  <c r="C37" i="19"/>
  <c r="G32" i="19"/>
  <c r="E32" i="19"/>
  <c r="C32" i="19"/>
  <c r="G31" i="19"/>
  <c r="E31" i="19"/>
  <c r="C31" i="19"/>
  <c r="G30" i="19"/>
  <c r="E30" i="19"/>
  <c r="C30" i="19"/>
  <c r="G29" i="19"/>
  <c r="E29" i="19"/>
  <c r="C29" i="19"/>
  <c r="G28" i="19"/>
  <c r="E28" i="19"/>
  <c r="C28" i="19"/>
  <c r="G27" i="19"/>
  <c r="E27" i="19"/>
  <c r="C27" i="19"/>
  <c r="G26" i="19"/>
  <c r="E26" i="19"/>
  <c r="C26" i="19"/>
  <c r="G21" i="19"/>
  <c r="E21" i="19"/>
  <c r="C21" i="19"/>
  <c r="G20" i="19"/>
  <c r="E20" i="19"/>
  <c r="C20" i="19"/>
  <c r="G19" i="19"/>
  <c r="E19" i="19"/>
  <c r="C19" i="19"/>
  <c r="G18" i="19"/>
  <c r="E18" i="19"/>
  <c r="C18" i="19"/>
  <c r="G17" i="19"/>
  <c r="E17" i="19"/>
  <c r="C17" i="19"/>
  <c r="G16" i="19"/>
  <c r="E16" i="19"/>
  <c r="C16" i="19"/>
  <c r="G15" i="19"/>
  <c r="E15" i="19"/>
  <c r="C15" i="19"/>
  <c r="E1" i="19"/>
  <c r="E1" i="18"/>
  <c r="M80" i="17"/>
  <c r="L80" i="17"/>
  <c r="N80" i="17" s="1"/>
  <c r="M79" i="17"/>
  <c r="L79" i="17"/>
  <c r="N79" i="17" s="1"/>
  <c r="M78" i="17"/>
  <c r="L78" i="17"/>
  <c r="N78" i="17" s="1"/>
  <c r="M77" i="17"/>
  <c r="L77" i="17"/>
  <c r="N77" i="17" s="1"/>
  <c r="M76" i="17"/>
  <c r="L76" i="17"/>
  <c r="N76" i="17" s="1"/>
  <c r="M75" i="17"/>
  <c r="L75" i="17"/>
  <c r="N75" i="17" s="1"/>
  <c r="M74" i="17"/>
  <c r="L74" i="17"/>
  <c r="N74" i="17" s="1"/>
  <c r="M73" i="17"/>
  <c r="L73" i="17"/>
  <c r="N73" i="17" s="1"/>
  <c r="M72" i="17"/>
  <c r="L72" i="17"/>
  <c r="N72" i="17" s="1"/>
  <c r="M71" i="17"/>
  <c r="L71" i="17"/>
  <c r="N71" i="17" s="1"/>
  <c r="M67" i="17"/>
  <c r="L67" i="17"/>
  <c r="N67" i="17" s="1"/>
  <c r="M66" i="17"/>
  <c r="L66" i="17"/>
  <c r="N66" i="17" s="1"/>
  <c r="M65" i="17"/>
  <c r="L65" i="17"/>
  <c r="N65" i="17" s="1"/>
  <c r="M64" i="17"/>
  <c r="L64" i="17"/>
  <c r="N64" i="17" s="1"/>
  <c r="M63" i="17"/>
  <c r="L63" i="17"/>
  <c r="N63" i="17" s="1"/>
  <c r="M62" i="17"/>
  <c r="L62" i="17"/>
  <c r="N62" i="17" s="1"/>
  <c r="M61" i="17"/>
  <c r="L61" i="17"/>
  <c r="N61" i="17" s="1"/>
  <c r="M60" i="17"/>
  <c r="L60" i="17"/>
  <c r="N60" i="17" s="1"/>
  <c r="M59" i="17"/>
  <c r="L59" i="17"/>
  <c r="N59" i="17" s="1"/>
  <c r="M58" i="17"/>
  <c r="L58" i="17"/>
  <c r="N58" i="17" s="1"/>
  <c r="M53" i="17"/>
  <c r="L53" i="17"/>
  <c r="N53" i="17" s="1"/>
  <c r="M52" i="17"/>
  <c r="L52" i="17"/>
  <c r="N52" i="17" s="1"/>
  <c r="M51" i="17"/>
  <c r="L51" i="17"/>
  <c r="N51" i="17" s="1"/>
  <c r="M50" i="17"/>
  <c r="L50" i="17"/>
  <c r="N50" i="17" s="1"/>
  <c r="M49" i="17"/>
  <c r="L49" i="17"/>
  <c r="N49" i="17" s="1"/>
  <c r="M48" i="17"/>
  <c r="L48" i="17"/>
  <c r="N48" i="17" s="1"/>
  <c r="M47" i="17"/>
  <c r="L47" i="17"/>
  <c r="N47" i="17" s="1"/>
  <c r="M46" i="17"/>
  <c r="L46" i="17"/>
  <c r="N46" i="17" s="1"/>
  <c r="M45" i="17"/>
  <c r="L45" i="17"/>
  <c r="N45" i="17" s="1"/>
  <c r="M44" i="17"/>
  <c r="L44" i="17"/>
  <c r="N44" i="17" s="1"/>
  <c r="F39" i="17"/>
  <c r="C39" i="17"/>
  <c r="F38" i="17"/>
  <c r="F40" i="17" s="1"/>
  <c r="C38" i="17"/>
  <c r="C40" i="17" s="1"/>
  <c r="C23" i="17"/>
  <c r="C22" i="17"/>
  <c r="C24" i="17" s="1"/>
  <c r="E1" i="17"/>
  <c r="D64" i="16"/>
  <c r="E64" i="16" s="1"/>
  <c r="D63" i="16"/>
  <c r="E63" i="16" s="1"/>
  <c r="D62" i="16"/>
  <c r="E62" i="16" s="1"/>
  <c r="D61" i="16"/>
  <c r="E61" i="16" s="1"/>
  <c r="D60" i="16"/>
  <c r="E60" i="16" s="1"/>
  <c r="D59" i="16"/>
  <c r="E59" i="16" s="1"/>
  <c r="D58" i="16"/>
  <c r="E58" i="16" s="1"/>
  <c r="D57" i="16"/>
  <c r="E57" i="16" s="1"/>
  <c r="D56" i="16"/>
  <c r="E56" i="16" s="1"/>
  <c r="D55" i="16"/>
  <c r="E55" i="16" s="1"/>
  <c r="D51" i="16"/>
  <c r="E51" i="16" s="1"/>
  <c r="D50" i="16"/>
  <c r="E50" i="16" s="1"/>
  <c r="D49" i="16"/>
  <c r="E49" i="16" s="1"/>
  <c r="D48" i="16"/>
  <c r="E48" i="16" s="1"/>
  <c r="D47" i="16"/>
  <c r="E47" i="16" s="1"/>
  <c r="D46" i="16"/>
  <c r="E46" i="16" s="1"/>
  <c r="D45" i="16"/>
  <c r="E45" i="16" s="1"/>
  <c r="D44" i="16"/>
  <c r="E44" i="16" s="1"/>
  <c r="D43" i="16"/>
  <c r="E43" i="16" s="1"/>
  <c r="D42" i="16"/>
  <c r="E42" i="16" s="1"/>
  <c r="D37" i="16"/>
  <c r="E37" i="16" s="1"/>
  <c r="D36" i="16"/>
  <c r="E36" i="16" s="1"/>
  <c r="D35" i="16"/>
  <c r="E35" i="16" s="1"/>
  <c r="D34" i="16"/>
  <c r="E34" i="16" s="1"/>
  <c r="D33" i="16"/>
  <c r="E33" i="16" s="1"/>
  <c r="D32" i="16"/>
  <c r="E32" i="16" s="1"/>
  <c r="D31" i="16"/>
  <c r="E31" i="16" s="1"/>
  <c r="D30" i="16"/>
  <c r="E30" i="16" s="1"/>
  <c r="D29" i="16"/>
  <c r="E29" i="16" s="1"/>
  <c r="D28" i="16"/>
  <c r="E28" i="16" s="1"/>
  <c r="D27" i="16"/>
  <c r="E27" i="16" s="1"/>
  <c r="D26" i="16"/>
  <c r="E26" i="16" s="1"/>
  <c r="D22" i="16"/>
  <c r="E22" i="16" s="1"/>
  <c r="D21" i="16"/>
  <c r="E21" i="16" s="1"/>
  <c r="D20" i="16"/>
  <c r="E20" i="16" s="1"/>
  <c r="D19" i="16"/>
  <c r="E19" i="16" s="1"/>
  <c r="D18" i="16"/>
  <c r="E18" i="16" s="1"/>
  <c r="C14" i="16"/>
  <c r="D14" i="16" s="1"/>
  <c r="J1" i="16"/>
  <c r="E1" i="16"/>
  <c r="I65" i="15"/>
  <c r="I64" i="15"/>
  <c r="I63" i="15"/>
  <c r="I62" i="15"/>
  <c r="I61" i="15"/>
  <c r="I60" i="15"/>
  <c r="I66" i="15" s="1"/>
  <c r="I56" i="15"/>
  <c r="I55" i="15"/>
  <c r="I54" i="15"/>
  <c r="I53" i="15"/>
  <c r="I52" i="15"/>
  <c r="I57" i="15" s="1"/>
  <c r="I67" i="15" s="1"/>
  <c r="I45" i="15"/>
  <c r="I44" i="15"/>
  <c r="I43" i="15"/>
  <c r="I42" i="15"/>
  <c r="I41" i="15"/>
  <c r="I40" i="15"/>
  <c r="I46" i="15" s="1"/>
  <c r="I36" i="15"/>
  <c r="I35" i="15"/>
  <c r="I34" i="15"/>
  <c r="I33" i="15"/>
  <c r="I32" i="15"/>
  <c r="I37" i="15" s="1"/>
  <c r="I47" i="15" s="1"/>
  <c r="I25" i="15"/>
  <c r="I24" i="15"/>
  <c r="I23" i="15"/>
  <c r="I22" i="15"/>
  <c r="I21" i="15"/>
  <c r="I20" i="15"/>
  <c r="I26" i="15" s="1"/>
  <c r="I16" i="15"/>
  <c r="I15" i="15"/>
  <c r="I14" i="15"/>
  <c r="I13" i="15"/>
  <c r="I12" i="15"/>
  <c r="I17" i="15" s="1"/>
  <c r="I27" i="15" s="1"/>
  <c r="I69" i="15" s="1"/>
  <c r="I73" i="15" s="1"/>
  <c r="E1" i="15"/>
  <c r="I40" i="14"/>
  <c r="I39" i="14"/>
  <c r="I38" i="14"/>
  <c r="I37" i="14"/>
  <c r="I36" i="14"/>
  <c r="I33" i="14"/>
  <c r="I32" i="14"/>
  <c r="I31" i="14"/>
  <c r="I30" i="14"/>
  <c r="I34" i="14" s="1"/>
  <c r="I27" i="14"/>
  <c r="I26" i="14"/>
  <c r="I25" i="14"/>
  <c r="I24" i="14"/>
  <c r="I23" i="14"/>
  <c r="I22" i="14"/>
  <c r="I21" i="14"/>
  <c r="I20" i="14"/>
  <c r="I28" i="14" s="1"/>
  <c r="I16" i="14"/>
  <c r="I15" i="14"/>
  <c r="I14" i="14"/>
  <c r="I13" i="14"/>
  <c r="I12" i="14"/>
  <c r="I17" i="14" s="1"/>
  <c r="I42" i="14" s="1"/>
  <c r="E1" i="14"/>
  <c r="F16" i="13"/>
  <c r="F15" i="13"/>
  <c r="F14" i="13"/>
  <c r="F13" i="13"/>
  <c r="F12" i="13"/>
  <c r="F11" i="13"/>
  <c r="F17" i="13" s="1"/>
  <c r="E1" i="13"/>
  <c r="K264" i="12"/>
  <c r="K263" i="12"/>
  <c r="K262" i="12"/>
  <c r="K261" i="12"/>
  <c r="K260" i="12"/>
  <c r="K259" i="12"/>
  <c r="K258" i="12"/>
  <c r="K257" i="12"/>
  <c r="K256" i="12"/>
  <c r="K255" i="12"/>
  <c r="K254" i="12"/>
  <c r="K253" i="12"/>
  <c r="K252" i="12"/>
  <c r="K251" i="12"/>
  <c r="K250" i="12"/>
  <c r="K249" i="12"/>
  <c r="K248" i="12"/>
  <c r="K247" i="12"/>
  <c r="K246" i="12"/>
  <c r="K245" i="12"/>
  <c r="K244" i="12"/>
  <c r="K243" i="12"/>
  <c r="K242" i="12"/>
  <c r="K241" i="12"/>
  <c r="K240" i="12"/>
  <c r="K239" i="12"/>
  <c r="K238" i="12"/>
  <c r="K237" i="12"/>
  <c r="K236" i="12"/>
  <c r="K235" i="12"/>
  <c r="K234" i="12"/>
  <c r="K233" i="12"/>
  <c r="K232" i="12"/>
  <c r="K231" i="12"/>
  <c r="K230" i="12"/>
  <c r="K229" i="12"/>
  <c r="K228" i="12"/>
  <c r="K227" i="12"/>
  <c r="K226" i="12"/>
  <c r="K225" i="12"/>
  <c r="K224" i="12"/>
  <c r="K223" i="12"/>
  <c r="K222" i="12"/>
  <c r="K221" i="12"/>
  <c r="K220" i="12"/>
  <c r="K219" i="12"/>
  <c r="K218" i="12"/>
  <c r="K217" i="12"/>
  <c r="K216" i="12"/>
  <c r="K215" i="12"/>
  <c r="K214" i="12"/>
  <c r="K213" i="12"/>
  <c r="K212" i="12"/>
  <c r="K211" i="12"/>
  <c r="K210" i="12"/>
  <c r="K209" i="12"/>
  <c r="K208" i="12"/>
  <c r="K207" i="12"/>
  <c r="K206" i="12"/>
  <c r="K205" i="12"/>
  <c r="K204" i="12"/>
  <c r="K203" i="12"/>
  <c r="K202" i="12"/>
  <c r="K201" i="12"/>
  <c r="K200" i="12"/>
  <c r="K199" i="12"/>
  <c r="K198" i="12"/>
  <c r="K197" i="12"/>
  <c r="K196" i="12"/>
  <c r="K195" i="12"/>
  <c r="K194" i="12"/>
  <c r="K193" i="12"/>
  <c r="K192" i="12"/>
  <c r="K191" i="12"/>
  <c r="K190" i="12"/>
  <c r="K189" i="12"/>
  <c r="K188" i="12"/>
  <c r="K187" i="12"/>
  <c r="K186" i="12"/>
  <c r="K185" i="12"/>
  <c r="K184" i="12"/>
  <c r="K183" i="12"/>
  <c r="K182" i="12"/>
  <c r="K181" i="12"/>
  <c r="K180" i="12"/>
  <c r="K179" i="12"/>
  <c r="K178" i="12"/>
  <c r="K177" i="12"/>
  <c r="K176" i="12"/>
  <c r="K175" i="12"/>
  <c r="K174" i="12"/>
  <c r="K173" i="12"/>
  <c r="K172" i="12"/>
  <c r="K171" i="12"/>
  <c r="K170" i="12"/>
  <c r="K169" i="12"/>
  <c r="K168" i="12"/>
  <c r="K167" i="12"/>
  <c r="K166" i="12"/>
  <c r="K165" i="12"/>
  <c r="K164" i="12"/>
  <c r="K163" i="12"/>
  <c r="K162" i="12"/>
  <c r="K161" i="12"/>
  <c r="K160" i="12"/>
  <c r="K159" i="12"/>
  <c r="K158" i="12"/>
  <c r="K157" i="12"/>
  <c r="K156" i="12"/>
  <c r="K155" i="12"/>
  <c r="K154" i="12"/>
  <c r="K153" i="12"/>
  <c r="K152" i="12"/>
  <c r="K151" i="12"/>
  <c r="K150" i="12"/>
  <c r="K149" i="12"/>
  <c r="K148" i="12"/>
  <c r="K147" i="12"/>
  <c r="K146" i="12"/>
  <c r="K145" i="12"/>
  <c r="K144" i="12"/>
  <c r="K143" i="12"/>
  <c r="K142" i="12"/>
  <c r="K141" i="12"/>
  <c r="K140" i="12"/>
  <c r="K139" i="12"/>
  <c r="K138" i="12"/>
  <c r="K137" i="12"/>
  <c r="K136" i="12"/>
  <c r="K135" i="12"/>
  <c r="K134" i="12"/>
  <c r="K133" i="12"/>
  <c r="K132" i="12"/>
  <c r="K131" i="12"/>
  <c r="K130" i="12"/>
  <c r="K129" i="12"/>
  <c r="K128" i="12"/>
  <c r="K127" i="12"/>
  <c r="K126" i="12"/>
  <c r="K125" i="12"/>
  <c r="K124" i="12"/>
  <c r="K123" i="12"/>
  <c r="K122" i="12"/>
  <c r="K121" i="12"/>
  <c r="K120" i="12"/>
  <c r="K119" i="12"/>
  <c r="K118" i="12"/>
  <c r="K117" i="12"/>
  <c r="K116" i="12"/>
  <c r="K115" i="12"/>
  <c r="K114" i="12"/>
  <c r="K113" i="12"/>
  <c r="K112" i="12"/>
  <c r="K111" i="12"/>
  <c r="K110" i="12"/>
  <c r="K109" i="12"/>
  <c r="K108" i="12"/>
  <c r="K107" i="12"/>
  <c r="K106" i="12"/>
  <c r="K105" i="12"/>
  <c r="K104" i="12"/>
  <c r="K103" i="12"/>
  <c r="K102" i="12"/>
  <c r="K101" i="12"/>
  <c r="K100" i="12"/>
  <c r="K99" i="12"/>
  <c r="K98" i="12"/>
  <c r="K97" i="12"/>
  <c r="K96" i="12"/>
  <c r="K95" i="12"/>
  <c r="K94" i="12"/>
  <c r="K93" i="12"/>
  <c r="K92" i="12"/>
  <c r="K91" i="12"/>
  <c r="K90" i="12"/>
  <c r="K89" i="12"/>
  <c r="K88" i="12"/>
  <c r="K87" i="12"/>
  <c r="K86" i="12"/>
  <c r="K85" i="12"/>
  <c r="K84" i="12"/>
  <c r="K83" i="12"/>
  <c r="K82" i="12"/>
  <c r="K81" i="12"/>
  <c r="K80" i="12"/>
  <c r="K79" i="12"/>
  <c r="K78" i="12"/>
  <c r="K77" i="12"/>
  <c r="K76" i="12"/>
  <c r="K75" i="12"/>
  <c r="K74" i="12"/>
  <c r="K73" i="12"/>
  <c r="K72" i="12"/>
  <c r="K71" i="12"/>
  <c r="K70" i="12"/>
  <c r="K69" i="12"/>
  <c r="K68" i="12"/>
  <c r="K67" i="12"/>
  <c r="K66" i="12"/>
  <c r="K65" i="12"/>
  <c r="K64" i="12"/>
  <c r="K63" i="12"/>
  <c r="K62" i="12"/>
  <c r="K61" i="12"/>
  <c r="K60" i="12"/>
  <c r="K59" i="12"/>
  <c r="K58" i="12"/>
  <c r="K57" i="12"/>
  <c r="K56" i="12"/>
  <c r="K55" i="12"/>
  <c r="K54" i="12"/>
  <c r="K53" i="12"/>
  <c r="K52" i="12"/>
  <c r="K51" i="12"/>
  <c r="K50" i="12"/>
  <c r="K49" i="12"/>
  <c r="K48" i="12"/>
  <c r="K47" i="12"/>
  <c r="K46" i="12"/>
  <c r="K45" i="12"/>
  <c r="K44" i="12"/>
  <c r="K43" i="12"/>
  <c r="K42" i="12"/>
  <c r="K41" i="12"/>
  <c r="K40" i="12"/>
  <c r="K39" i="12"/>
  <c r="K38" i="12"/>
  <c r="K37" i="12"/>
  <c r="K36" i="12"/>
  <c r="K35" i="12"/>
  <c r="K34" i="12"/>
  <c r="K33" i="12"/>
  <c r="K32" i="12"/>
  <c r="K31" i="12"/>
  <c r="K30" i="12"/>
  <c r="K29" i="12"/>
  <c r="K28" i="12"/>
  <c r="K27" i="12"/>
  <c r="K26" i="12"/>
  <c r="K25" i="12"/>
  <c r="K24" i="12"/>
  <c r="K23" i="12"/>
  <c r="K22" i="12"/>
  <c r="K21" i="12"/>
  <c r="K20" i="12"/>
  <c r="K19" i="12"/>
  <c r="K18" i="12"/>
  <c r="K17" i="12"/>
  <c r="K16" i="12"/>
  <c r="K15" i="12"/>
  <c r="K265" i="12" s="1"/>
  <c r="E6" i="12"/>
  <c r="E5" i="12"/>
  <c r="E1" i="12"/>
  <c r="E63" i="11"/>
  <c r="E59" i="11"/>
  <c r="F59" i="11" s="1"/>
  <c r="E58" i="11"/>
  <c r="F58" i="11" s="1"/>
  <c r="E57" i="11"/>
  <c r="F57" i="11" s="1"/>
  <c r="E56" i="11"/>
  <c r="F56" i="11" s="1"/>
  <c r="E55" i="11"/>
  <c r="F55" i="11" s="1"/>
  <c r="E54" i="11"/>
  <c r="F54" i="11" s="1"/>
  <c r="E53" i="11"/>
  <c r="F53" i="11" s="1"/>
  <c r="E52" i="11"/>
  <c r="F52" i="11" s="1"/>
  <c r="E51" i="11"/>
  <c r="F51" i="11" s="1"/>
  <c r="E50" i="11"/>
  <c r="F50" i="11" s="1"/>
  <c r="E49" i="11"/>
  <c r="F49" i="11" s="1"/>
  <c r="E48" i="11"/>
  <c r="F48" i="11" s="1"/>
  <c r="E47" i="11"/>
  <c r="F47" i="11" s="1"/>
  <c r="E46" i="11"/>
  <c r="F46" i="11" s="1"/>
  <c r="E45" i="11"/>
  <c r="F45" i="11" s="1"/>
  <c r="E44" i="11"/>
  <c r="F44" i="11" s="1"/>
  <c r="E43" i="11"/>
  <c r="F43" i="11" s="1"/>
  <c r="E42" i="11"/>
  <c r="F42" i="11" s="1"/>
  <c r="E41" i="11"/>
  <c r="F41" i="11" s="1"/>
  <c r="E40" i="11"/>
  <c r="F40" i="11" s="1"/>
  <c r="E39" i="11"/>
  <c r="F39" i="11" s="1"/>
  <c r="E38" i="11"/>
  <c r="F38" i="11" s="1"/>
  <c r="E37" i="11"/>
  <c r="F37" i="11" s="1"/>
  <c r="E36" i="11"/>
  <c r="F36" i="11" s="1"/>
  <c r="E35" i="11"/>
  <c r="F34" i="11"/>
  <c r="E34" i="11"/>
  <c r="E33" i="11"/>
  <c r="F33" i="11" s="1"/>
  <c r="E32" i="11"/>
  <c r="F32" i="11" s="1"/>
  <c r="E31" i="11"/>
  <c r="F31" i="11" s="1"/>
  <c r="E30" i="11"/>
  <c r="F30" i="11" s="1"/>
  <c r="E29" i="11"/>
  <c r="F29" i="11" s="1"/>
  <c r="E28" i="11"/>
  <c r="F28" i="11" s="1"/>
  <c r="E27" i="11"/>
  <c r="F27" i="11" s="1"/>
  <c r="E26" i="11"/>
  <c r="F26" i="11" s="1"/>
  <c r="E25" i="11"/>
  <c r="F25" i="11" s="1"/>
  <c r="E24" i="11"/>
  <c r="F24" i="11" s="1"/>
  <c r="E23" i="11"/>
  <c r="F23" i="11" s="1"/>
  <c r="E22" i="11"/>
  <c r="F22" i="11" s="1"/>
  <c r="E21" i="11"/>
  <c r="F21" i="11" s="1"/>
  <c r="E20" i="11"/>
  <c r="F20" i="11" s="1"/>
  <c r="E19" i="11"/>
  <c r="F19" i="11" s="1"/>
  <c r="E18" i="11"/>
  <c r="F18" i="11" s="1"/>
  <c r="E17" i="11"/>
  <c r="F17" i="11" s="1"/>
  <c r="E16" i="11"/>
  <c r="F16" i="11" s="1"/>
  <c r="E15" i="11"/>
  <c r="F15" i="11" s="1"/>
  <c r="E14" i="11"/>
  <c r="F14" i="11" s="1"/>
  <c r="E13" i="11"/>
  <c r="F13" i="11" s="1"/>
  <c r="E12" i="11"/>
  <c r="F12" i="11" s="1"/>
  <c r="E1" i="11"/>
  <c r="W354" i="10"/>
  <c r="U354" i="10"/>
  <c r="W353" i="10"/>
  <c r="U353" i="10"/>
  <c r="W352" i="10"/>
  <c r="U352" i="10"/>
  <c r="W351" i="10"/>
  <c r="U351" i="10"/>
  <c r="W350" i="10"/>
  <c r="U350" i="10"/>
  <c r="W349" i="10"/>
  <c r="U349" i="10"/>
  <c r="W348" i="10"/>
  <c r="U348" i="10"/>
  <c r="W347" i="10"/>
  <c r="U347" i="10"/>
  <c r="W346" i="10"/>
  <c r="U346" i="10"/>
  <c r="W345" i="10"/>
  <c r="U345" i="10"/>
  <c r="W344" i="10"/>
  <c r="U344" i="10"/>
  <c r="W343" i="10"/>
  <c r="U343" i="10"/>
  <c r="W342" i="10"/>
  <c r="U342" i="10"/>
  <c r="W341" i="10"/>
  <c r="U341" i="10"/>
  <c r="W340" i="10"/>
  <c r="U340" i="10"/>
  <c r="W339" i="10"/>
  <c r="U339" i="10"/>
  <c r="W338" i="10"/>
  <c r="U338" i="10"/>
  <c r="W337" i="10"/>
  <c r="U337" i="10"/>
  <c r="W336" i="10"/>
  <c r="U336" i="10"/>
  <c r="W335" i="10"/>
  <c r="U335" i="10"/>
  <c r="W334" i="10"/>
  <c r="U334" i="10"/>
  <c r="W333" i="10"/>
  <c r="U333" i="10"/>
  <c r="W332" i="10"/>
  <c r="U332" i="10"/>
  <c r="W331" i="10"/>
  <c r="U331" i="10"/>
  <c r="W330" i="10"/>
  <c r="U330" i="10"/>
  <c r="W329" i="10"/>
  <c r="U329" i="10"/>
  <c r="W328" i="10"/>
  <c r="U328" i="10"/>
  <c r="W327" i="10"/>
  <c r="U327" i="10"/>
  <c r="W326" i="10"/>
  <c r="U326" i="10"/>
  <c r="W325" i="10"/>
  <c r="U325" i="10"/>
  <c r="W324" i="10"/>
  <c r="U324" i="10"/>
  <c r="W323" i="10"/>
  <c r="U323" i="10"/>
  <c r="W322" i="10"/>
  <c r="U322" i="10"/>
  <c r="W321" i="10"/>
  <c r="U321" i="10"/>
  <c r="W320" i="10"/>
  <c r="U320" i="10"/>
  <c r="W319" i="10"/>
  <c r="U319" i="10"/>
  <c r="W318" i="10"/>
  <c r="U318" i="10"/>
  <c r="W317" i="10"/>
  <c r="U317" i="10"/>
  <c r="W316" i="10"/>
  <c r="U316" i="10"/>
  <c r="W315" i="10"/>
  <c r="U315" i="10"/>
  <c r="W314" i="10"/>
  <c r="U314" i="10"/>
  <c r="W313" i="10"/>
  <c r="U313" i="10"/>
  <c r="W312" i="10"/>
  <c r="U312" i="10"/>
  <c r="W311" i="10"/>
  <c r="U311" i="10"/>
  <c r="W310" i="10"/>
  <c r="U310" i="10"/>
  <c r="W309" i="10"/>
  <c r="U309" i="10"/>
  <c r="W308" i="10"/>
  <c r="U308" i="10"/>
  <c r="W307" i="10"/>
  <c r="U307" i="10"/>
  <c r="W306" i="10"/>
  <c r="U306" i="10"/>
  <c r="W305" i="10"/>
  <c r="U305" i="10"/>
  <c r="W304" i="10"/>
  <c r="U304" i="10"/>
  <c r="W303" i="10"/>
  <c r="U303" i="10"/>
  <c r="W302" i="10"/>
  <c r="U302" i="10"/>
  <c r="W301" i="10"/>
  <c r="U301" i="10"/>
  <c r="W300" i="10"/>
  <c r="U300" i="10"/>
  <c r="W299" i="10"/>
  <c r="U299" i="10"/>
  <c r="W298" i="10"/>
  <c r="U298" i="10"/>
  <c r="W297" i="10"/>
  <c r="U297" i="10"/>
  <c r="W296" i="10"/>
  <c r="U296" i="10"/>
  <c r="W295" i="10"/>
  <c r="U295" i="10"/>
  <c r="W294" i="10"/>
  <c r="U294" i="10"/>
  <c r="W293" i="10"/>
  <c r="U293" i="10"/>
  <c r="W292" i="10"/>
  <c r="U292" i="10"/>
  <c r="W291" i="10"/>
  <c r="U291" i="10"/>
  <c r="W290" i="10"/>
  <c r="U290" i="10"/>
  <c r="W289" i="10"/>
  <c r="U289" i="10"/>
  <c r="W288" i="10"/>
  <c r="U288" i="10"/>
  <c r="W287" i="10"/>
  <c r="U287" i="10"/>
  <c r="W286" i="10"/>
  <c r="U286" i="10"/>
  <c r="W285" i="10"/>
  <c r="U285" i="10"/>
  <c r="W284" i="10"/>
  <c r="U284" i="10"/>
  <c r="W283" i="10"/>
  <c r="U283" i="10"/>
  <c r="W282" i="10"/>
  <c r="U282" i="10"/>
  <c r="W281" i="10"/>
  <c r="U281" i="10"/>
  <c r="W280" i="10"/>
  <c r="U280" i="10"/>
  <c r="W279" i="10"/>
  <c r="U279" i="10"/>
  <c r="W278" i="10"/>
  <c r="U278" i="10"/>
  <c r="W277" i="10"/>
  <c r="U277" i="10"/>
  <c r="W276" i="10"/>
  <c r="U276" i="10"/>
  <c r="W275" i="10"/>
  <c r="U275" i="10"/>
  <c r="W274" i="10"/>
  <c r="U274" i="10"/>
  <c r="W273" i="10"/>
  <c r="U273" i="10"/>
  <c r="W272" i="10"/>
  <c r="U272" i="10"/>
  <c r="W271" i="10"/>
  <c r="U271" i="10"/>
  <c r="W270" i="10"/>
  <c r="U270" i="10"/>
  <c r="W269" i="10"/>
  <c r="U269" i="10"/>
  <c r="W268" i="10"/>
  <c r="U268" i="10"/>
  <c r="W267" i="10"/>
  <c r="U267" i="10"/>
  <c r="W266" i="10"/>
  <c r="U266" i="10"/>
  <c r="W265" i="10"/>
  <c r="U265" i="10"/>
  <c r="W264" i="10"/>
  <c r="U264" i="10"/>
  <c r="W263" i="10"/>
  <c r="U263" i="10"/>
  <c r="W262" i="10"/>
  <c r="U262" i="10"/>
  <c r="W261" i="10"/>
  <c r="U261" i="10"/>
  <c r="W260" i="10"/>
  <c r="U260" i="10"/>
  <c r="W259" i="10"/>
  <c r="U259" i="10"/>
  <c r="W258" i="10"/>
  <c r="U258" i="10"/>
  <c r="W257" i="10"/>
  <c r="U257" i="10"/>
  <c r="W256" i="10"/>
  <c r="U256" i="10"/>
  <c r="W255" i="10"/>
  <c r="U255" i="10"/>
  <c r="W254" i="10"/>
  <c r="U254" i="10"/>
  <c r="W253" i="10"/>
  <c r="U253" i="10"/>
  <c r="W252" i="10"/>
  <c r="U252" i="10"/>
  <c r="W251" i="10"/>
  <c r="U251" i="10"/>
  <c r="W250" i="10"/>
  <c r="U250" i="10"/>
  <c r="W249" i="10"/>
  <c r="U249" i="10"/>
  <c r="W248" i="10"/>
  <c r="U248" i="10"/>
  <c r="W247" i="10"/>
  <c r="U247" i="10"/>
  <c r="W246" i="10"/>
  <c r="U246" i="10"/>
  <c r="W245" i="10"/>
  <c r="U245" i="10"/>
  <c r="W244" i="10"/>
  <c r="U244" i="10"/>
  <c r="W243" i="10"/>
  <c r="U243" i="10"/>
  <c r="W242" i="10"/>
  <c r="U242" i="10"/>
  <c r="W241" i="10"/>
  <c r="U241" i="10"/>
  <c r="W240" i="10"/>
  <c r="U240" i="10"/>
  <c r="W239" i="10"/>
  <c r="U239" i="10"/>
  <c r="W238" i="10"/>
  <c r="U238" i="10"/>
  <c r="W237" i="10"/>
  <c r="U237" i="10"/>
  <c r="W236" i="10"/>
  <c r="U236" i="10"/>
  <c r="W235" i="10"/>
  <c r="U235" i="10"/>
  <c r="W234" i="10"/>
  <c r="U234" i="10"/>
  <c r="W233" i="10"/>
  <c r="U233" i="10"/>
  <c r="W232" i="10"/>
  <c r="U232" i="10"/>
  <c r="W231" i="10"/>
  <c r="U231" i="10"/>
  <c r="W230" i="10"/>
  <c r="U230" i="10"/>
  <c r="W229" i="10"/>
  <c r="U229" i="10"/>
  <c r="W228" i="10"/>
  <c r="U228" i="10"/>
  <c r="W227" i="10"/>
  <c r="U227" i="10"/>
  <c r="W226" i="10"/>
  <c r="U226" i="10"/>
  <c r="W225" i="10"/>
  <c r="U225" i="10"/>
  <c r="W224" i="10"/>
  <c r="U224" i="10"/>
  <c r="W223" i="10"/>
  <c r="U223" i="10"/>
  <c r="W222" i="10"/>
  <c r="U222" i="10"/>
  <c r="W221" i="10"/>
  <c r="U221" i="10"/>
  <c r="W220" i="10"/>
  <c r="U220" i="10"/>
  <c r="W219" i="10"/>
  <c r="U219" i="10"/>
  <c r="W218" i="10"/>
  <c r="U218" i="10"/>
  <c r="W217" i="10"/>
  <c r="U217" i="10"/>
  <c r="W216" i="10"/>
  <c r="U216" i="10"/>
  <c r="W215" i="10"/>
  <c r="U215" i="10"/>
  <c r="W214" i="10"/>
  <c r="U214" i="10"/>
  <c r="W213" i="10"/>
  <c r="U213" i="10"/>
  <c r="W212" i="10"/>
  <c r="U212" i="10"/>
  <c r="W211" i="10"/>
  <c r="U211" i="10"/>
  <c r="W210" i="10"/>
  <c r="U210" i="10"/>
  <c r="W209" i="10"/>
  <c r="U209" i="10"/>
  <c r="W208" i="10"/>
  <c r="U208" i="10"/>
  <c r="W207" i="10"/>
  <c r="U207" i="10"/>
  <c r="W206" i="10"/>
  <c r="U206" i="10"/>
  <c r="W205" i="10"/>
  <c r="U205" i="10"/>
  <c r="W204" i="10"/>
  <c r="U204" i="10"/>
  <c r="W203" i="10"/>
  <c r="U203" i="10"/>
  <c r="W202" i="10"/>
  <c r="U202" i="10"/>
  <c r="W201" i="10"/>
  <c r="U201" i="10"/>
  <c r="W200" i="10"/>
  <c r="U200" i="10"/>
  <c r="W199" i="10"/>
  <c r="U199" i="10"/>
  <c r="W198" i="10"/>
  <c r="U198" i="10"/>
  <c r="W197" i="10"/>
  <c r="U197" i="10"/>
  <c r="W196" i="10"/>
  <c r="U196" i="10"/>
  <c r="W195" i="10"/>
  <c r="U195" i="10"/>
  <c r="W194" i="10"/>
  <c r="U194" i="10"/>
  <c r="W193" i="10"/>
  <c r="U193" i="10"/>
  <c r="W192" i="10"/>
  <c r="U192" i="10"/>
  <c r="W191" i="10"/>
  <c r="U191" i="10"/>
  <c r="W190" i="10"/>
  <c r="U190" i="10"/>
  <c r="W189" i="10"/>
  <c r="U189" i="10"/>
  <c r="W188" i="10"/>
  <c r="U188" i="10"/>
  <c r="W187" i="10"/>
  <c r="U187" i="10"/>
  <c r="W186" i="10"/>
  <c r="U186" i="10"/>
  <c r="W185" i="10"/>
  <c r="U185" i="10"/>
  <c r="W184" i="10"/>
  <c r="U184" i="10"/>
  <c r="W183" i="10"/>
  <c r="U183" i="10"/>
  <c r="W182" i="10"/>
  <c r="U182" i="10"/>
  <c r="W181" i="10"/>
  <c r="U181" i="10"/>
  <c r="W180" i="10"/>
  <c r="U180" i="10"/>
  <c r="W179" i="10"/>
  <c r="U179" i="10"/>
  <c r="W178" i="10"/>
  <c r="U178" i="10"/>
  <c r="W177" i="10"/>
  <c r="U177" i="10"/>
  <c r="W176" i="10"/>
  <c r="U176" i="10"/>
  <c r="W175" i="10"/>
  <c r="U175" i="10"/>
  <c r="W174" i="10"/>
  <c r="U174" i="10"/>
  <c r="W173" i="10"/>
  <c r="U173" i="10"/>
  <c r="W172" i="10"/>
  <c r="U172" i="10"/>
  <c r="W171" i="10"/>
  <c r="U171" i="10"/>
  <c r="W170" i="10"/>
  <c r="U170" i="10"/>
  <c r="W169" i="10"/>
  <c r="U169" i="10"/>
  <c r="W168" i="10"/>
  <c r="U168" i="10"/>
  <c r="W167" i="10"/>
  <c r="U167" i="10"/>
  <c r="W166" i="10"/>
  <c r="U166" i="10"/>
  <c r="W165" i="10"/>
  <c r="U165" i="10"/>
  <c r="W164" i="10"/>
  <c r="U164" i="10"/>
  <c r="W163" i="10"/>
  <c r="U163" i="10"/>
  <c r="W162" i="10"/>
  <c r="U162" i="10"/>
  <c r="W161" i="10"/>
  <c r="U161" i="10"/>
  <c r="W160" i="10"/>
  <c r="U160" i="10"/>
  <c r="W159" i="10"/>
  <c r="U159" i="10"/>
  <c r="W158" i="10"/>
  <c r="U158" i="10"/>
  <c r="W157" i="10"/>
  <c r="U157" i="10"/>
  <c r="W156" i="10"/>
  <c r="U156" i="10"/>
  <c r="W155" i="10"/>
  <c r="U155" i="10"/>
  <c r="W154" i="10"/>
  <c r="U154" i="10"/>
  <c r="W153" i="10"/>
  <c r="U153" i="10"/>
  <c r="W152" i="10"/>
  <c r="U152" i="10"/>
  <c r="W151" i="10"/>
  <c r="U151" i="10"/>
  <c r="W150" i="10"/>
  <c r="U150" i="10"/>
  <c r="W149" i="10"/>
  <c r="U149" i="10"/>
  <c r="W148" i="10"/>
  <c r="U148" i="10"/>
  <c r="W147" i="10"/>
  <c r="U147" i="10"/>
  <c r="W146" i="10"/>
  <c r="U146" i="10"/>
  <c r="W145" i="10"/>
  <c r="U145" i="10"/>
  <c r="W144" i="10"/>
  <c r="U144" i="10"/>
  <c r="W143" i="10"/>
  <c r="U143" i="10"/>
  <c r="W142" i="10"/>
  <c r="U142" i="10"/>
  <c r="W141" i="10"/>
  <c r="U141" i="10"/>
  <c r="W140" i="10"/>
  <c r="U140" i="10"/>
  <c r="W139" i="10"/>
  <c r="U139" i="10"/>
  <c r="W138" i="10"/>
  <c r="U138" i="10"/>
  <c r="W137" i="10"/>
  <c r="U137" i="10"/>
  <c r="W136" i="10"/>
  <c r="U136" i="10"/>
  <c r="W135" i="10"/>
  <c r="U135" i="10"/>
  <c r="W134" i="10"/>
  <c r="U134" i="10"/>
  <c r="W133" i="10"/>
  <c r="U133" i="10"/>
  <c r="W132" i="10"/>
  <c r="U132" i="10"/>
  <c r="W131" i="10"/>
  <c r="U131" i="10"/>
  <c r="W130" i="10"/>
  <c r="U130" i="10"/>
  <c r="W129" i="10"/>
  <c r="U129" i="10"/>
  <c r="W128" i="10"/>
  <c r="U128" i="10"/>
  <c r="W127" i="10"/>
  <c r="U127" i="10"/>
  <c r="W126" i="10"/>
  <c r="U126" i="10"/>
  <c r="W125" i="10"/>
  <c r="U125" i="10"/>
  <c r="W124" i="10"/>
  <c r="U124" i="10"/>
  <c r="W123" i="10"/>
  <c r="U123" i="10"/>
  <c r="W122" i="10"/>
  <c r="U122" i="10"/>
  <c r="W121" i="10"/>
  <c r="U121" i="10"/>
  <c r="W120" i="10"/>
  <c r="U120" i="10"/>
  <c r="W119" i="10"/>
  <c r="U119" i="10"/>
  <c r="W118" i="10"/>
  <c r="U118" i="10"/>
  <c r="W117" i="10"/>
  <c r="U117" i="10"/>
  <c r="W116" i="10"/>
  <c r="U116" i="10"/>
  <c r="W115" i="10"/>
  <c r="U115" i="10"/>
  <c r="W114" i="10"/>
  <c r="U114" i="10"/>
  <c r="W113" i="10"/>
  <c r="U113" i="10"/>
  <c r="W112" i="10"/>
  <c r="U112" i="10"/>
  <c r="W111" i="10"/>
  <c r="U111" i="10"/>
  <c r="W110" i="10"/>
  <c r="U110" i="10"/>
  <c r="W109" i="10"/>
  <c r="U109" i="10"/>
  <c r="W108" i="10"/>
  <c r="U108" i="10"/>
  <c r="W107" i="10"/>
  <c r="U107" i="10"/>
  <c r="W106" i="10"/>
  <c r="U106" i="10"/>
  <c r="W105" i="10"/>
  <c r="U105" i="10"/>
  <c r="W104" i="10"/>
  <c r="U104" i="10"/>
  <c r="W103" i="10"/>
  <c r="U103" i="10"/>
  <c r="W102" i="10"/>
  <c r="U102" i="10"/>
  <c r="W101" i="10"/>
  <c r="U101" i="10"/>
  <c r="W100" i="10"/>
  <c r="U100" i="10"/>
  <c r="W99" i="10"/>
  <c r="U99" i="10"/>
  <c r="W98" i="10"/>
  <c r="U98" i="10"/>
  <c r="W97" i="10"/>
  <c r="U97" i="10"/>
  <c r="W96" i="10"/>
  <c r="U96" i="10"/>
  <c r="W95" i="10"/>
  <c r="U95" i="10"/>
  <c r="W94" i="10"/>
  <c r="U94" i="10"/>
  <c r="W93" i="10"/>
  <c r="U93" i="10"/>
  <c r="W92" i="10"/>
  <c r="U92" i="10"/>
  <c r="W91" i="10"/>
  <c r="U91" i="10"/>
  <c r="W90" i="10"/>
  <c r="U90" i="10"/>
  <c r="W89" i="10"/>
  <c r="U89" i="10"/>
  <c r="W88" i="10"/>
  <c r="U88" i="10"/>
  <c r="W87" i="10"/>
  <c r="U87" i="10"/>
  <c r="W86" i="10"/>
  <c r="U86" i="10"/>
  <c r="W85" i="10"/>
  <c r="U85" i="10"/>
  <c r="W84" i="10"/>
  <c r="U84" i="10"/>
  <c r="W83" i="10"/>
  <c r="U83" i="10"/>
  <c r="W82" i="10"/>
  <c r="U82" i="10"/>
  <c r="W81" i="10"/>
  <c r="U81" i="10"/>
  <c r="W80" i="10"/>
  <c r="U80" i="10"/>
  <c r="W79" i="10"/>
  <c r="U79" i="10"/>
  <c r="W78" i="10"/>
  <c r="U78" i="10"/>
  <c r="W77" i="10"/>
  <c r="U77" i="10"/>
  <c r="W76" i="10"/>
  <c r="U76" i="10"/>
  <c r="W75" i="10"/>
  <c r="U75" i="10"/>
  <c r="W74" i="10"/>
  <c r="U74" i="10"/>
  <c r="W73" i="10"/>
  <c r="U73" i="10"/>
  <c r="W72" i="10"/>
  <c r="U72" i="10"/>
  <c r="W71" i="10"/>
  <c r="U71" i="10"/>
  <c r="W70" i="10"/>
  <c r="U70" i="10"/>
  <c r="W69" i="10"/>
  <c r="U69" i="10"/>
  <c r="W68" i="10"/>
  <c r="U68" i="10"/>
  <c r="W67" i="10"/>
  <c r="U67" i="10"/>
  <c r="W66" i="10"/>
  <c r="U66" i="10"/>
  <c r="W65" i="10"/>
  <c r="U65" i="10"/>
  <c r="W64" i="10"/>
  <c r="U64" i="10"/>
  <c r="W63" i="10"/>
  <c r="U63" i="10"/>
  <c r="W62" i="10"/>
  <c r="U62" i="10"/>
  <c r="W61" i="10"/>
  <c r="U61" i="10"/>
  <c r="W60" i="10"/>
  <c r="U60" i="10"/>
  <c r="W59" i="10"/>
  <c r="U59" i="10"/>
  <c r="W58" i="10"/>
  <c r="U58" i="10"/>
  <c r="W57" i="10"/>
  <c r="U57" i="10"/>
  <c r="W56" i="10"/>
  <c r="U56" i="10"/>
  <c r="W55" i="10"/>
  <c r="U55" i="10"/>
  <c r="W54" i="10"/>
  <c r="U54" i="10"/>
  <c r="W53" i="10"/>
  <c r="U53" i="10"/>
  <c r="W52" i="10"/>
  <c r="U52" i="10"/>
  <c r="W51" i="10"/>
  <c r="U51" i="10"/>
  <c r="W50" i="10"/>
  <c r="U50" i="10"/>
  <c r="W49" i="10"/>
  <c r="U49" i="10"/>
  <c r="W48" i="10"/>
  <c r="U48" i="10"/>
  <c r="W47" i="10"/>
  <c r="U47" i="10"/>
  <c r="W46" i="10"/>
  <c r="U46" i="10"/>
  <c r="W45" i="10"/>
  <c r="U45" i="10"/>
  <c r="W44" i="10"/>
  <c r="U44" i="10"/>
  <c r="W43" i="10"/>
  <c r="U43" i="10"/>
  <c r="W42" i="10"/>
  <c r="U42" i="10"/>
  <c r="W41" i="10"/>
  <c r="U41" i="10"/>
  <c r="W40" i="10"/>
  <c r="U40" i="10"/>
  <c r="W39" i="10"/>
  <c r="U39" i="10"/>
  <c r="W38" i="10"/>
  <c r="U38" i="10"/>
  <c r="W37" i="10"/>
  <c r="U37" i="10"/>
  <c r="W36" i="10"/>
  <c r="U36" i="10"/>
  <c r="W35" i="10"/>
  <c r="U35" i="10"/>
  <c r="W34" i="10"/>
  <c r="U34" i="10"/>
  <c r="W33" i="10"/>
  <c r="U33" i="10"/>
  <c r="W32" i="10"/>
  <c r="U32" i="10"/>
  <c r="W31" i="10"/>
  <c r="U31" i="10"/>
  <c r="W30" i="10"/>
  <c r="U30" i="10"/>
  <c r="W29" i="10"/>
  <c r="U29" i="10"/>
  <c r="W28" i="10"/>
  <c r="U28" i="10"/>
  <c r="W27" i="10"/>
  <c r="U27" i="10"/>
  <c r="W26" i="10"/>
  <c r="U26" i="10"/>
  <c r="W25" i="10"/>
  <c r="U25" i="10"/>
  <c r="W24" i="10"/>
  <c r="U24" i="10"/>
  <c r="W23" i="10"/>
  <c r="U23" i="10"/>
  <c r="W22" i="10"/>
  <c r="U22" i="10"/>
  <c r="W21" i="10"/>
  <c r="U21" i="10"/>
  <c r="W20" i="10"/>
  <c r="U20" i="10"/>
  <c r="W19" i="10"/>
  <c r="U19" i="10"/>
  <c r="W18" i="10"/>
  <c r="U18" i="10"/>
  <c r="W17" i="10"/>
  <c r="U17" i="10"/>
  <c r="W16" i="10"/>
  <c r="U16" i="10"/>
  <c r="W15" i="10"/>
  <c r="U15" i="10"/>
  <c r="W14" i="10"/>
  <c r="U14" i="10"/>
  <c r="W13" i="10"/>
  <c r="U13" i="10"/>
  <c r="W12" i="10"/>
  <c r="U12" i="10"/>
  <c r="D6" i="10"/>
  <c r="D5" i="10"/>
  <c r="E1" i="10"/>
  <c r="A261" i="9"/>
  <c r="A260" i="9"/>
  <c r="A259" i="9"/>
  <c r="H258" i="9"/>
  <c r="A258" i="9"/>
  <c r="K255" i="9"/>
  <c r="J255" i="9"/>
  <c r="I255" i="9"/>
  <c r="H255" i="9"/>
  <c r="G254" i="9"/>
  <c r="G253" i="9"/>
  <c r="G252" i="9"/>
  <c r="G251" i="9"/>
  <c r="G250" i="9"/>
  <c r="G249" i="9"/>
  <c r="G248" i="9"/>
  <c r="G247" i="9"/>
  <c r="G246" i="9"/>
  <c r="G245" i="9"/>
  <c r="G244" i="9"/>
  <c r="G243" i="9"/>
  <c r="G242" i="9"/>
  <c r="G241" i="9"/>
  <c r="G255" i="9" s="1"/>
  <c r="K238" i="9"/>
  <c r="K256" i="9" s="1"/>
  <c r="K261" i="9" s="1"/>
  <c r="J238" i="9"/>
  <c r="J256" i="9" s="1"/>
  <c r="J261" i="9" s="1"/>
  <c r="I238" i="9"/>
  <c r="I256" i="9" s="1"/>
  <c r="I261" i="9" s="1"/>
  <c r="H238" i="9"/>
  <c r="H256" i="9" s="1"/>
  <c r="H261" i="9" s="1"/>
  <c r="G237" i="9"/>
  <c r="G236" i="9"/>
  <c r="G235" i="9"/>
  <c r="G234" i="9"/>
  <c r="G233" i="9"/>
  <c r="G232" i="9"/>
  <c r="G231" i="9"/>
  <c r="G230" i="9"/>
  <c r="G229" i="9"/>
  <c r="G228" i="9"/>
  <c r="G227" i="9"/>
  <c r="G238" i="9" s="1"/>
  <c r="G256" i="9" s="1"/>
  <c r="A219" i="9"/>
  <c r="A218" i="9"/>
  <c r="A217" i="9"/>
  <c r="H216" i="9"/>
  <c r="A216" i="9"/>
  <c r="K213" i="9"/>
  <c r="J213" i="9"/>
  <c r="I213" i="9"/>
  <c r="H213" i="9"/>
  <c r="G212" i="9"/>
  <c r="G211" i="9"/>
  <c r="G210" i="9"/>
  <c r="G209" i="9"/>
  <c r="G208" i="9"/>
  <c r="G207" i="9"/>
  <c r="G206" i="9"/>
  <c r="G205" i="9"/>
  <c r="G204" i="9"/>
  <c r="G203" i="9"/>
  <c r="G202" i="9"/>
  <c r="G201" i="9"/>
  <c r="G200" i="9"/>
  <c r="G199" i="9"/>
  <c r="G213" i="9" s="1"/>
  <c r="K196" i="9"/>
  <c r="K214" i="9" s="1"/>
  <c r="K219" i="9" s="1"/>
  <c r="J196" i="9"/>
  <c r="J214" i="9" s="1"/>
  <c r="J219" i="9" s="1"/>
  <c r="I196" i="9"/>
  <c r="I214" i="9" s="1"/>
  <c r="I219" i="9" s="1"/>
  <c r="H196" i="9"/>
  <c r="H214" i="9" s="1"/>
  <c r="H219" i="9" s="1"/>
  <c r="G195" i="9"/>
  <c r="G194" i="9"/>
  <c r="G193" i="9"/>
  <c r="G192" i="9"/>
  <c r="G191" i="9"/>
  <c r="G190" i="9"/>
  <c r="G189" i="9"/>
  <c r="G188" i="9"/>
  <c r="G187" i="9"/>
  <c r="G186" i="9"/>
  <c r="G185" i="9"/>
  <c r="G196" i="9" s="1"/>
  <c r="G214" i="9" s="1"/>
  <c r="A177" i="9"/>
  <c r="A176" i="9"/>
  <c r="A175" i="9"/>
  <c r="H174" i="9"/>
  <c r="A174" i="9"/>
  <c r="K171" i="9"/>
  <c r="J171" i="9"/>
  <c r="I171" i="9"/>
  <c r="H171" i="9"/>
  <c r="G170" i="9"/>
  <c r="G169" i="9"/>
  <c r="G168" i="9"/>
  <c r="G167" i="9"/>
  <c r="G166" i="9"/>
  <c r="G165" i="9"/>
  <c r="G164" i="9"/>
  <c r="G163" i="9"/>
  <c r="G162" i="9"/>
  <c r="G161" i="9"/>
  <c r="G160" i="9"/>
  <c r="G159" i="9"/>
  <c r="G158" i="9"/>
  <c r="G157" i="9"/>
  <c r="G171" i="9" s="1"/>
  <c r="K154" i="9"/>
  <c r="K172" i="9" s="1"/>
  <c r="K177" i="9" s="1"/>
  <c r="J154" i="9"/>
  <c r="J172" i="9" s="1"/>
  <c r="J177" i="9" s="1"/>
  <c r="I154" i="9"/>
  <c r="I172" i="9" s="1"/>
  <c r="I177" i="9" s="1"/>
  <c r="H154" i="9"/>
  <c r="H172" i="9" s="1"/>
  <c r="H177" i="9" s="1"/>
  <c r="G153" i="9"/>
  <c r="G152" i="9"/>
  <c r="G151" i="9"/>
  <c r="G150" i="9"/>
  <c r="G149" i="9"/>
  <c r="G148" i="9"/>
  <c r="G147" i="9"/>
  <c r="G146" i="9"/>
  <c r="G145" i="9"/>
  <c r="G144" i="9"/>
  <c r="G143" i="9"/>
  <c r="G154" i="9" s="1"/>
  <c r="G172" i="9" s="1"/>
  <c r="A135" i="9"/>
  <c r="A134" i="9"/>
  <c r="A133" i="9"/>
  <c r="H132" i="9"/>
  <c r="A132" i="9"/>
  <c r="K129" i="9"/>
  <c r="J129" i="9"/>
  <c r="I129" i="9"/>
  <c r="H129" i="9"/>
  <c r="G128" i="9"/>
  <c r="G127" i="9"/>
  <c r="G126" i="9"/>
  <c r="G125" i="9"/>
  <c r="G124" i="9"/>
  <c r="G123" i="9"/>
  <c r="G122" i="9"/>
  <c r="G121" i="9"/>
  <c r="G120" i="9"/>
  <c r="G119" i="9"/>
  <c r="G118" i="9"/>
  <c r="G117" i="9"/>
  <c r="G116" i="9"/>
  <c r="G115" i="9"/>
  <c r="G129" i="9" s="1"/>
  <c r="K112" i="9"/>
  <c r="K130" i="9" s="1"/>
  <c r="K135" i="9" s="1"/>
  <c r="J112" i="9"/>
  <c r="J130" i="9" s="1"/>
  <c r="J135" i="9" s="1"/>
  <c r="I112" i="9"/>
  <c r="I130" i="9" s="1"/>
  <c r="I135" i="9" s="1"/>
  <c r="H112" i="9"/>
  <c r="H130" i="9" s="1"/>
  <c r="H135" i="9" s="1"/>
  <c r="G111" i="9"/>
  <c r="G110" i="9"/>
  <c r="G109" i="9"/>
  <c r="G108" i="9"/>
  <c r="G107" i="9"/>
  <c r="G106" i="9"/>
  <c r="G105" i="9"/>
  <c r="G104" i="9"/>
  <c r="G103" i="9"/>
  <c r="G102" i="9"/>
  <c r="G101" i="9"/>
  <c r="G112" i="9" s="1"/>
  <c r="G130" i="9" s="1"/>
  <c r="A93" i="9"/>
  <c r="A92" i="9"/>
  <c r="A91" i="9"/>
  <c r="H90" i="9"/>
  <c r="A90" i="9"/>
  <c r="K87" i="9"/>
  <c r="J87" i="9"/>
  <c r="I87" i="9"/>
  <c r="H87" i="9"/>
  <c r="G86" i="9"/>
  <c r="G85" i="9"/>
  <c r="G84" i="9"/>
  <c r="G83" i="9"/>
  <c r="G82" i="9"/>
  <c r="G81" i="9"/>
  <c r="G80" i="9"/>
  <c r="G79" i="9"/>
  <c r="G78" i="9"/>
  <c r="G77" i="9"/>
  <c r="G76" i="9"/>
  <c r="G75" i="9"/>
  <c r="G74" i="9"/>
  <c r="G73" i="9"/>
  <c r="G87" i="9" s="1"/>
  <c r="K70" i="9"/>
  <c r="K88" i="9" s="1"/>
  <c r="K93" i="9" s="1"/>
  <c r="J70" i="9"/>
  <c r="J88" i="9" s="1"/>
  <c r="J93" i="9" s="1"/>
  <c r="I70" i="9"/>
  <c r="I88" i="9" s="1"/>
  <c r="I93" i="9" s="1"/>
  <c r="H70" i="9"/>
  <c r="H88" i="9" s="1"/>
  <c r="H93" i="9" s="1"/>
  <c r="G69" i="9"/>
  <c r="G68" i="9"/>
  <c r="G67" i="9"/>
  <c r="G66" i="9"/>
  <c r="G65" i="9"/>
  <c r="G64" i="9"/>
  <c r="G63" i="9"/>
  <c r="G62" i="9"/>
  <c r="G61" i="9"/>
  <c r="G60" i="9"/>
  <c r="G59" i="9"/>
  <c r="G70" i="9" s="1"/>
  <c r="G88" i="9" s="1"/>
  <c r="A51" i="9"/>
  <c r="A50" i="9"/>
  <c r="A49" i="9"/>
  <c r="H48" i="9"/>
  <c r="A48" i="9"/>
  <c r="K46" i="9"/>
  <c r="K51" i="9" s="1"/>
  <c r="K45" i="9"/>
  <c r="J45" i="9"/>
  <c r="I45" i="9"/>
  <c r="H45" i="9"/>
  <c r="G44" i="9"/>
  <c r="G43" i="9"/>
  <c r="G42" i="9"/>
  <c r="G41" i="9"/>
  <c r="G40" i="9"/>
  <c r="G39" i="9"/>
  <c r="G38" i="9"/>
  <c r="G37" i="9"/>
  <c r="G36" i="9"/>
  <c r="G35" i="9"/>
  <c r="G34" i="9"/>
  <c r="G33" i="9"/>
  <c r="G32" i="9"/>
  <c r="G31" i="9"/>
  <c r="G45" i="9" s="1"/>
  <c r="K28" i="9"/>
  <c r="J28" i="9"/>
  <c r="J46" i="9" s="1"/>
  <c r="J51" i="9" s="1"/>
  <c r="I28" i="9"/>
  <c r="I46" i="9" s="1"/>
  <c r="I51" i="9" s="1"/>
  <c r="H28" i="9"/>
  <c r="H46" i="9" s="1"/>
  <c r="H51" i="9" s="1"/>
  <c r="G27" i="9"/>
  <c r="G26" i="9"/>
  <c r="G25" i="9"/>
  <c r="G24" i="9"/>
  <c r="G23" i="9"/>
  <c r="G22" i="9"/>
  <c r="G21" i="9"/>
  <c r="G20" i="9"/>
  <c r="G19" i="9"/>
  <c r="G18" i="9"/>
  <c r="G17" i="9"/>
  <c r="G28" i="9" s="1"/>
  <c r="G46" i="9" s="1"/>
  <c r="F6" i="9"/>
  <c r="F5" i="9"/>
  <c r="E1" i="9"/>
  <c r="E245" i="8"/>
  <c r="E244" i="8"/>
  <c r="E242" i="8"/>
  <c r="E241" i="8"/>
  <c r="A240" i="8"/>
  <c r="A239" i="8"/>
  <c r="A238" i="8"/>
  <c r="A237" i="8"/>
  <c r="A236" i="8"/>
  <c r="K233" i="8"/>
  <c r="J233" i="8"/>
  <c r="I233" i="8"/>
  <c r="H233" i="8"/>
  <c r="G232" i="8"/>
  <c r="G231" i="8"/>
  <c r="G230" i="8"/>
  <c r="G229" i="8"/>
  <c r="G228" i="8"/>
  <c r="G227" i="8"/>
  <c r="G226" i="8"/>
  <c r="G225" i="8"/>
  <c r="G224" i="8"/>
  <c r="G223" i="8"/>
  <c r="G222" i="8"/>
  <c r="G221" i="8"/>
  <c r="G220" i="8"/>
  <c r="G219" i="8"/>
  <c r="G218" i="8"/>
  <c r="G217" i="8"/>
  <c r="G216" i="8"/>
  <c r="G215" i="8"/>
  <c r="G214" i="8"/>
  <c r="G213" i="8"/>
  <c r="G212" i="8"/>
  <c r="G211" i="8"/>
  <c r="G210" i="8"/>
  <c r="G209" i="8"/>
  <c r="G208" i="8"/>
  <c r="G207" i="8"/>
  <c r="G206" i="8"/>
  <c r="G205" i="8"/>
  <c r="G204" i="8"/>
  <c r="G203" i="8"/>
  <c r="G202" i="8"/>
  <c r="G201" i="8"/>
  <c r="G200" i="8"/>
  <c r="G199" i="8"/>
  <c r="G198" i="8"/>
  <c r="G197" i="8"/>
  <c r="G196" i="8"/>
  <c r="G195" i="8"/>
  <c r="G194" i="8"/>
  <c r="G193" i="8"/>
  <c r="G192" i="8"/>
  <c r="G191" i="8"/>
  <c r="G190" i="8"/>
  <c r="G189" i="8"/>
  <c r="G188" i="8"/>
  <c r="G187" i="8"/>
  <c r="G186" i="8"/>
  <c r="G185" i="8"/>
  <c r="G184" i="8"/>
  <c r="G183" i="8"/>
  <c r="G182" i="8"/>
  <c r="G181" i="8"/>
  <c r="G180" i="8"/>
  <c r="G179" i="8"/>
  <c r="G233" i="8" s="1"/>
  <c r="K177" i="8"/>
  <c r="J177" i="8"/>
  <c r="I177" i="8"/>
  <c r="H177" i="8"/>
  <c r="G176" i="8"/>
  <c r="G175" i="8"/>
  <c r="G174" i="8"/>
  <c r="G173" i="8"/>
  <c r="G172" i="8"/>
  <c r="G171" i="8"/>
  <c r="G170" i="8"/>
  <c r="G169" i="8"/>
  <c r="G168" i="8"/>
  <c r="G167" i="8"/>
  <c r="G166" i="8"/>
  <c r="G165" i="8"/>
  <c r="G164" i="8"/>
  <c r="G163" i="8"/>
  <c r="G162" i="8"/>
  <c r="G161" i="8"/>
  <c r="G160" i="8"/>
  <c r="G159" i="8"/>
  <c r="G158" i="8"/>
  <c r="G157" i="8"/>
  <c r="G156" i="8"/>
  <c r="G155" i="8"/>
  <c r="G154" i="8"/>
  <c r="G153" i="8"/>
  <c r="G152" i="8"/>
  <c r="G151" i="8"/>
  <c r="G150" i="8"/>
  <c r="G149" i="8"/>
  <c r="G148" i="8"/>
  <c r="G147" i="8"/>
  <c r="G146" i="8"/>
  <c r="G145" i="8"/>
  <c r="G144" i="8"/>
  <c r="G143" i="8"/>
  <c r="G142" i="8"/>
  <c r="G141" i="8"/>
  <c r="G140" i="8"/>
  <c r="G139" i="8"/>
  <c r="G138" i="8"/>
  <c r="G137" i="8"/>
  <c r="G136" i="8"/>
  <c r="G135" i="8"/>
  <c r="G134" i="8"/>
  <c r="G133" i="8"/>
  <c r="G132" i="8"/>
  <c r="G131" i="8"/>
  <c r="G130" i="8"/>
  <c r="G129" i="8"/>
  <c r="G128" i="8"/>
  <c r="G127" i="8"/>
  <c r="G126" i="8"/>
  <c r="G125" i="8"/>
  <c r="G124" i="8"/>
  <c r="G123" i="8"/>
  <c r="G122" i="8"/>
  <c r="G177" i="8" s="1"/>
  <c r="K120" i="8"/>
  <c r="J120" i="8"/>
  <c r="I120" i="8"/>
  <c r="H120" i="8"/>
  <c r="G119" i="8"/>
  <c r="G118" i="8"/>
  <c r="G117" i="8"/>
  <c r="G116" i="8"/>
  <c r="G115" i="8"/>
  <c r="G114" i="8"/>
  <c r="G113" i="8"/>
  <c r="G112" i="8"/>
  <c r="G111" i="8"/>
  <c r="G110" i="8"/>
  <c r="G109" i="8"/>
  <c r="G108" i="8"/>
  <c r="G107" i="8"/>
  <c r="G106" i="8"/>
  <c r="G105" i="8"/>
  <c r="G104" i="8"/>
  <c r="G103" i="8"/>
  <c r="G102" i="8"/>
  <c r="G101" i="8"/>
  <c r="G100" i="8"/>
  <c r="G99" i="8"/>
  <c r="G98" i="8"/>
  <c r="G97" i="8"/>
  <c r="G96" i="8"/>
  <c r="G95" i="8"/>
  <c r="G94" i="8"/>
  <c r="G93" i="8"/>
  <c r="G92" i="8"/>
  <c r="G91" i="8"/>
  <c r="G90" i="8"/>
  <c r="G89" i="8"/>
  <c r="G88" i="8"/>
  <c r="G87" i="8"/>
  <c r="G86" i="8"/>
  <c r="G85" i="8"/>
  <c r="G84" i="8"/>
  <c r="G83" i="8"/>
  <c r="G82" i="8"/>
  <c r="G81" i="8"/>
  <c r="G80" i="8"/>
  <c r="G79" i="8"/>
  <c r="G78" i="8"/>
  <c r="G77" i="8"/>
  <c r="G76" i="8"/>
  <c r="G75" i="8"/>
  <c r="G74" i="8"/>
  <c r="G73" i="8"/>
  <c r="G72" i="8"/>
  <c r="G71" i="8"/>
  <c r="G70" i="8"/>
  <c r="G69" i="8"/>
  <c r="G68" i="8"/>
  <c r="G67" i="8"/>
  <c r="G66" i="8"/>
  <c r="G65" i="8"/>
  <c r="G64" i="8"/>
  <c r="G63" i="8"/>
  <c r="G62" i="8"/>
  <c r="G61" i="8"/>
  <c r="G60" i="8"/>
  <c r="G59" i="8"/>
  <c r="G58" i="8"/>
  <c r="G57" i="8"/>
  <c r="G56" i="8"/>
  <c r="G55" i="8"/>
  <c r="G54" i="8"/>
  <c r="G53" i="8"/>
  <c r="G52" i="8"/>
  <c r="G51" i="8"/>
  <c r="G50" i="8"/>
  <c r="G49" i="8"/>
  <c r="G48" i="8"/>
  <c r="G47" i="8"/>
  <c r="G46" i="8"/>
  <c r="G45" i="8"/>
  <c r="G44" i="8"/>
  <c r="G120" i="8" s="1"/>
  <c r="K41" i="8"/>
  <c r="K236" i="8" s="1"/>
  <c r="K240" i="8" s="1"/>
  <c r="J41" i="8"/>
  <c r="J236" i="8" s="1"/>
  <c r="J240" i="8" s="1"/>
  <c r="I41" i="8"/>
  <c r="I236" i="8" s="1"/>
  <c r="I240" i="8" s="1"/>
  <c r="H41" i="8"/>
  <c r="H236" i="8" s="1"/>
  <c r="H240" i="8" s="1"/>
  <c r="G40" i="8"/>
  <c r="G39" i="8"/>
  <c r="G38" i="8"/>
  <c r="G37" i="8"/>
  <c r="G36" i="8"/>
  <c r="G35" i="8"/>
  <c r="G34" i="8"/>
  <c r="G33" i="8"/>
  <c r="G32" i="8"/>
  <c r="G31" i="8"/>
  <c r="G30" i="8"/>
  <c r="G29" i="8"/>
  <c r="G28" i="8"/>
  <c r="G27" i="8"/>
  <c r="G26" i="8"/>
  <c r="G25" i="8"/>
  <c r="G24" i="8"/>
  <c r="G23" i="8"/>
  <c r="G22" i="8"/>
  <c r="G21" i="8"/>
  <c r="G20" i="8"/>
  <c r="G19" i="8"/>
  <c r="G18" i="8"/>
  <c r="G17" i="8"/>
  <c r="G16" i="8"/>
  <c r="G41" i="8" s="1"/>
  <c r="F6" i="8"/>
  <c r="F5" i="8"/>
  <c r="B1" i="8"/>
  <c r="E185" i="7"/>
  <c r="E184" i="7"/>
  <c r="E183" i="7"/>
  <c r="E182" i="7"/>
  <c r="E181" i="7"/>
  <c r="E180" i="7"/>
  <c r="E179" i="7"/>
  <c r="E178" i="7"/>
  <c r="E177" i="7"/>
  <c r="E176" i="7"/>
  <c r="E175" i="7"/>
  <c r="E174" i="7"/>
  <c r="E173" i="7"/>
  <c r="E172" i="7"/>
  <c r="E171" i="7"/>
  <c r="E170" i="7"/>
  <c r="E169" i="7"/>
  <c r="E168" i="7"/>
  <c r="E167" i="7"/>
  <c r="E166" i="7"/>
  <c r="E165" i="7"/>
  <c r="E164" i="7"/>
  <c r="E163" i="7"/>
  <c r="E162" i="7"/>
  <c r="E161" i="7"/>
  <c r="E160" i="7"/>
  <c r="E159" i="7"/>
  <c r="E158" i="7"/>
  <c r="E157" i="7"/>
  <c r="E156" i="7"/>
  <c r="E155" i="7"/>
  <c r="E154" i="7"/>
  <c r="E153" i="7"/>
  <c r="E152" i="7"/>
  <c r="E151" i="7"/>
  <c r="E150" i="7"/>
  <c r="E149" i="7"/>
  <c r="E148" i="7"/>
  <c r="E147" i="7"/>
  <c r="E146" i="7"/>
  <c r="E145" i="7"/>
  <c r="E144" i="7"/>
  <c r="E143" i="7"/>
  <c r="E142" i="7"/>
  <c r="E141" i="7"/>
  <c r="E140" i="7"/>
  <c r="E139" i="7"/>
  <c r="E138" i="7"/>
  <c r="E137" i="7"/>
  <c r="E136" i="7"/>
  <c r="E135" i="7"/>
  <c r="E134" i="7"/>
  <c r="E133" i="7"/>
  <c r="E132" i="7"/>
  <c r="E131" i="7"/>
  <c r="E130" i="7"/>
  <c r="E129" i="7"/>
  <c r="E128" i="7"/>
  <c r="E127" i="7"/>
  <c r="E126" i="7"/>
  <c r="E125" i="7"/>
  <c r="E124" i="7"/>
  <c r="E123" i="7"/>
  <c r="E122" i="7"/>
  <c r="E121" i="7"/>
  <c r="E120" i="7"/>
  <c r="E119" i="7"/>
  <c r="E118" i="7"/>
  <c r="E117" i="7"/>
  <c r="E116" i="7"/>
  <c r="E115" i="7"/>
  <c r="E114" i="7"/>
  <c r="E113" i="7"/>
  <c r="E112" i="7"/>
  <c r="E111" i="7"/>
  <c r="E110" i="7"/>
  <c r="E109" i="7"/>
  <c r="E108" i="7"/>
  <c r="E107" i="7"/>
  <c r="E106" i="7"/>
  <c r="E105" i="7"/>
  <c r="E104" i="7"/>
  <c r="E103" i="7"/>
  <c r="E102" i="7"/>
  <c r="E101" i="7"/>
  <c r="E100" i="7"/>
  <c r="E99" i="7"/>
  <c r="E98" i="7"/>
  <c r="E97" i="7"/>
  <c r="E96" i="7"/>
  <c r="E95" i="7"/>
  <c r="E94" i="7"/>
  <c r="E93" i="7"/>
  <c r="E92" i="7"/>
  <c r="E91" i="7"/>
  <c r="E90" i="7"/>
  <c r="E89" i="7"/>
  <c r="E88" i="7"/>
  <c r="E87" i="7"/>
  <c r="E86" i="7"/>
  <c r="E85" i="7"/>
  <c r="E84" i="7"/>
  <c r="E83" i="7"/>
  <c r="E82" i="7"/>
  <c r="E81" i="7"/>
  <c r="E80" i="7"/>
  <c r="E79" i="7"/>
  <c r="E78" i="7"/>
  <c r="E77" i="7"/>
  <c r="E76" i="7"/>
  <c r="E75" i="7"/>
  <c r="E74" i="7"/>
  <c r="E73" i="7"/>
  <c r="E72" i="7"/>
  <c r="E71" i="7"/>
  <c r="E70" i="7"/>
  <c r="E69" i="7"/>
  <c r="E68" i="7"/>
  <c r="E67" i="7"/>
  <c r="E66" i="7"/>
  <c r="E65" i="7"/>
  <c r="E64" i="7"/>
  <c r="E63" i="7"/>
  <c r="E62" i="7"/>
  <c r="E61" i="7"/>
  <c r="E60" i="7"/>
  <c r="E59" i="7"/>
  <c r="E58" i="7"/>
  <c r="E57" i="7"/>
  <c r="E56" i="7"/>
  <c r="E55" i="7"/>
  <c r="E54" i="7"/>
  <c r="E53" i="7"/>
  <c r="E52" i="7"/>
  <c r="E51" i="7"/>
  <c r="E50" i="7"/>
  <c r="E49" i="7"/>
  <c r="E48" i="7"/>
  <c r="E47" i="7"/>
  <c r="E46" i="7"/>
  <c r="E45" i="7"/>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86" i="7" s="1"/>
  <c r="B6" i="7"/>
  <c r="B5" i="7"/>
  <c r="B1" i="7"/>
  <c r="C194" i="6"/>
  <c r="B194" i="6"/>
  <c r="D193" i="6"/>
  <c r="D192" i="6"/>
  <c r="D191" i="6"/>
  <c r="D190" i="6"/>
  <c r="D189" i="6"/>
  <c r="D188" i="6"/>
  <c r="D187" i="6"/>
  <c r="D186" i="6"/>
  <c r="D185" i="6"/>
  <c r="D184" i="6"/>
  <c r="D183" i="6"/>
  <c r="D182" i="6"/>
  <c r="D181" i="6"/>
  <c r="D180" i="6"/>
  <c r="D179" i="6"/>
  <c r="D178" i="6"/>
  <c r="D177" i="6"/>
  <c r="D176" i="6"/>
  <c r="D175" i="6"/>
  <c r="D174" i="6"/>
  <c r="A166" i="6"/>
  <c r="A165" i="6"/>
  <c r="A164" i="6"/>
  <c r="K158" i="6"/>
  <c r="K157" i="6"/>
  <c r="S151" i="6"/>
  <c r="R151" i="6"/>
  <c r="Q151" i="6"/>
  <c r="P151" i="6"/>
  <c r="O151" i="6"/>
  <c r="N151" i="6"/>
  <c r="L150" i="6"/>
  <c r="K150" i="6"/>
  <c r="J150" i="6"/>
  <c r="I150" i="6"/>
  <c r="T149" i="6"/>
  <c r="G149" i="6"/>
  <c r="T148" i="6"/>
  <c r="G148" i="6"/>
  <c r="T147" i="6"/>
  <c r="G147" i="6"/>
  <c r="T146" i="6"/>
  <c r="G146" i="6"/>
  <c r="T145" i="6"/>
  <c r="G145" i="6"/>
  <c r="T144" i="6"/>
  <c r="G144" i="6"/>
  <c r="T143" i="6"/>
  <c r="G143" i="6"/>
  <c r="T142" i="6"/>
  <c r="G142" i="6"/>
  <c r="T141" i="6"/>
  <c r="G141" i="6"/>
  <c r="T140" i="6"/>
  <c r="G140" i="6"/>
  <c r="T139" i="6"/>
  <c r="G139" i="6"/>
  <c r="T138" i="6"/>
  <c r="G138" i="6"/>
  <c r="T137" i="6"/>
  <c r="G137" i="6"/>
  <c r="T136" i="6"/>
  <c r="G136" i="6"/>
  <c r="T135" i="6"/>
  <c r="G135" i="6"/>
  <c r="T134" i="6"/>
  <c r="G134" i="6"/>
  <c r="T133" i="6"/>
  <c r="G133" i="6"/>
  <c r="T132" i="6"/>
  <c r="G132" i="6"/>
  <c r="T131" i="6"/>
  <c r="G131" i="6"/>
  <c r="T130" i="6"/>
  <c r="G130" i="6"/>
  <c r="T129" i="6"/>
  <c r="G129" i="6"/>
  <c r="T128" i="6"/>
  <c r="G128" i="6"/>
  <c r="T127" i="6"/>
  <c r="G127" i="6"/>
  <c r="T126" i="6"/>
  <c r="G126" i="6"/>
  <c r="T125" i="6"/>
  <c r="G125" i="6"/>
  <c r="T124" i="6"/>
  <c r="G124" i="6"/>
  <c r="T123" i="6"/>
  <c r="G123" i="6"/>
  <c r="T122" i="6"/>
  <c r="G122" i="6"/>
  <c r="T121" i="6"/>
  <c r="G121" i="6"/>
  <c r="T120" i="6"/>
  <c r="G120" i="6"/>
  <c r="T119" i="6"/>
  <c r="G119" i="6"/>
  <c r="M119" i="6" s="1"/>
  <c r="T118" i="6"/>
  <c r="G118" i="6"/>
  <c r="T117" i="6"/>
  <c r="G117" i="6"/>
  <c r="T116" i="6"/>
  <c r="G116" i="6"/>
  <c r="T115" i="6"/>
  <c r="G115" i="6"/>
  <c r="T114" i="6"/>
  <c r="G114" i="6"/>
  <c r="T113" i="6"/>
  <c r="G113" i="6"/>
  <c r="T112" i="6"/>
  <c r="G112" i="6"/>
  <c r="T111" i="6"/>
  <c r="G111" i="6"/>
  <c r="T110" i="6"/>
  <c r="G110" i="6"/>
  <c r="T109" i="6"/>
  <c r="G109" i="6"/>
  <c r="T108" i="6"/>
  <c r="G108" i="6"/>
  <c r="T107" i="6"/>
  <c r="G107" i="6"/>
  <c r="T106" i="6"/>
  <c r="G106" i="6"/>
  <c r="T105" i="6"/>
  <c r="G105" i="6"/>
  <c r="L99" i="6"/>
  <c r="L100" i="6" s="1"/>
  <c r="L156" i="6" s="1"/>
  <c r="L159" i="6" s="1"/>
  <c r="K99" i="6"/>
  <c r="K100" i="6" s="1"/>
  <c r="K156" i="6" s="1"/>
  <c r="K159" i="6" s="1"/>
  <c r="K160" i="6" s="1"/>
  <c r="J99" i="6"/>
  <c r="J100" i="6" s="1"/>
  <c r="J156" i="6" s="1"/>
  <c r="J159" i="6" s="1"/>
  <c r="I99" i="6"/>
  <c r="I100" i="6" s="1"/>
  <c r="I156" i="6" s="1"/>
  <c r="I157" i="6" s="1"/>
  <c r="T98" i="6"/>
  <c r="G98" i="6"/>
  <c r="T97" i="6"/>
  <c r="G97" i="6"/>
  <c r="T96" i="6"/>
  <c r="G96" i="6"/>
  <c r="T95" i="6"/>
  <c r="G95" i="6"/>
  <c r="T94" i="6"/>
  <c r="G94" i="6"/>
  <c r="T93" i="6"/>
  <c r="G93" i="6"/>
  <c r="T92" i="6"/>
  <c r="G92" i="6"/>
  <c r="T91" i="6"/>
  <c r="G91" i="6"/>
  <c r="T90" i="6"/>
  <c r="G90" i="6"/>
  <c r="T89" i="6"/>
  <c r="G89" i="6"/>
  <c r="T88" i="6"/>
  <c r="G88" i="6"/>
  <c r="T87" i="6"/>
  <c r="G87" i="6"/>
  <c r="T86" i="6"/>
  <c r="G86" i="6"/>
  <c r="T85" i="6"/>
  <c r="G85" i="6"/>
  <c r="T84" i="6"/>
  <c r="G84" i="6"/>
  <c r="T83" i="6"/>
  <c r="G83" i="6"/>
  <c r="T82" i="6"/>
  <c r="G82" i="6"/>
  <c r="T81" i="6"/>
  <c r="G81" i="6"/>
  <c r="T80" i="6"/>
  <c r="G80" i="6"/>
  <c r="T79" i="6"/>
  <c r="G79" i="6"/>
  <c r="T78" i="6"/>
  <c r="G78" i="6"/>
  <c r="T77" i="6"/>
  <c r="G77" i="6"/>
  <c r="T76" i="6"/>
  <c r="G76" i="6"/>
  <c r="T75" i="6"/>
  <c r="G75" i="6"/>
  <c r="T74" i="6"/>
  <c r="G74" i="6"/>
  <c r="T73" i="6"/>
  <c r="G73" i="6"/>
  <c r="T72" i="6"/>
  <c r="G72" i="6"/>
  <c r="T71" i="6"/>
  <c r="G71" i="6"/>
  <c r="T70" i="6"/>
  <c r="G70" i="6"/>
  <c r="T69" i="6"/>
  <c r="G69" i="6"/>
  <c r="T68" i="6"/>
  <c r="G68" i="6"/>
  <c r="T67" i="6"/>
  <c r="G67" i="6"/>
  <c r="T66" i="6"/>
  <c r="G66" i="6"/>
  <c r="T65" i="6"/>
  <c r="G65" i="6"/>
  <c r="T64" i="6"/>
  <c r="G64" i="6"/>
  <c r="T63" i="6"/>
  <c r="G63" i="6"/>
  <c r="L61" i="6"/>
  <c r="K61" i="6"/>
  <c r="J61" i="6"/>
  <c r="I61" i="6"/>
  <c r="T60" i="6"/>
  <c r="F60" i="6"/>
  <c r="G60" i="6" s="1"/>
  <c r="T59" i="6"/>
  <c r="F59" i="6"/>
  <c r="G59" i="6" s="1"/>
  <c r="T58" i="6"/>
  <c r="F58" i="6"/>
  <c r="G58" i="6" s="1"/>
  <c r="T57" i="6"/>
  <c r="F57" i="6"/>
  <c r="G57" i="6" s="1"/>
  <c r="T56" i="6"/>
  <c r="F56" i="6"/>
  <c r="G56" i="6" s="1"/>
  <c r="T55" i="6"/>
  <c r="F55" i="6"/>
  <c r="G55" i="6" s="1"/>
  <c r="T54" i="6"/>
  <c r="F54" i="6"/>
  <c r="G54" i="6" s="1"/>
  <c r="T53" i="6"/>
  <c r="F53" i="6"/>
  <c r="G53" i="6" s="1"/>
  <c r="T52" i="6"/>
  <c r="F52" i="6"/>
  <c r="G52" i="6" s="1"/>
  <c r="T51" i="6"/>
  <c r="F51" i="6"/>
  <c r="G51" i="6" s="1"/>
  <c r="T50" i="6"/>
  <c r="F50" i="6"/>
  <c r="G50" i="6" s="1"/>
  <c r="T49" i="6"/>
  <c r="F49" i="6"/>
  <c r="G49" i="6" s="1"/>
  <c r="T48" i="6"/>
  <c r="F48" i="6"/>
  <c r="G48" i="6" s="1"/>
  <c r="T47" i="6"/>
  <c r="F47" i="6"/>
  <c r="G47" i="6" s="1"/>
  <c r="T46" i="6"/>
  <c r="F46" i="6"/>
  <c r="G46" i="6" s="1"/>
  <c r="T45" i="6"/>
  <c r="F45" i="6"/>
  <c r="G45" i="6" s="1"/>
  <c r="T44" i="6"/>
  <c r="F44" i="6"/>
  <c r="G44" i="6" s="1"/>
  <c r="T43" i="6"/>
  <c r="F43" i="6"/>
  <c r="G43" i="6" s="1"/>
  <c r="T42" i="6"/>
  <c r="F42" i="6"/>
  <c r="G42" i="6" s="1"/>
  <c r="T41" i="6"/>
  <c r="F41" i="6"/>
  <c r="G41" i="6" s="1"/>
  <c r="T40" i="6"/>
  <c r="F40" i="6"/>
  <c r="G40" i="6" s="1"/>
  <c r="T39" i="6"/>
  <c r="F39" i="6"/>
  <c r="G39" i="6" s="1"/>
  <c r="T38" i="6"/>
  <c r="F38" i="6"/>
  <c r="G38" i="6" s="1"/>
  <c r="T37" i="6"/>
  <c r="F37" i="6"/>
  <c r="G37" i="6" s="1"/>
  <c r="T36" i="6"/>
  <c r="F36" i="6"/>
  <c r="G36" i="6" s="1"/>
  <c r="T35" i="6"/>
  <c r="F35" i="6"/>
  <c r="G35" i="6" s="1"/>
  <c r="T34" i="6"/>
  <c r="F34" i="6"/>
  <c r="G34" i="6" s="1"/>
  <c r="T33" i="6"/>
  <c r="F33" i="6"/>
  <c r="G33" i="6" s="1"/>
  <c r="T32" i="6"/>
  <c r="F32" i="6"/>
  <c r="G32" i="6" s="1"/>
  <c r="T31" i="6"/>
  <c r="F31" i="6"/>
  <c r="G31" i="6" s="1"/>
  <c r="T30" i="6"/>
  <c r="F30" i="6"/>
  <c r="G30" i="6" s="1"/>
  <c r="T29" i="6"/>
  <c r="F29" i="6"/>
  <c r="G29" i="6" s="1"/>
  <c r="T28" i="6"/>
  <c r="F28" i="6"/>
  <c r="G28" i="6" s="1"/>
  <c r="T27" i="6"/>
  <c r="F27" i="6"/>
  <c r="G27" i="6" s="1"/>
  <c r="T26" i="6"/>
  <c r="F26" i="6"/>
  <c r="G26" i="6" s="1"/>
  <c r="T25" i="6"/>
  <c r="F25" i="6"/>
  <c r="G25" i="6" s="1"/>
  <c r="T24" i="6"/>
  <c r="F24" i="6"/>
  <c r="G24" i="6" s="1"/>
  <c r="T23" i="6"/>
  <c r="F23" i="6"/>
  <c r="G23" i="6" s="1"/>
  <c r="T22" i="6"/>
  <c r="F22" i="6"/>
  <c r="G22" i="6" s="1"/>
  <c r="T21" i="6"/>
  <c r="F21" i="6"/>
  <c r="G21" i="6" s="1"/>
  <c r="T20" i="6"/>
  <c r="F20" i="6"/>
  <c r="G20" i="6" s="1"/>
  <c r="T19" i="6"/>
  <c r="F19" i="6"/>
  <c r="G19" i="6" s="1"/>
  <c r="T18" i="6"/>
  <c r="F18" i="6"/>
  <c r="G18" i="6" s="1"/>
  <c r="T17" i="6"/>
  <c r="F17" i="6"/>
  <c r="G17" i="6" s="1"/>
  <c r="T16" i="6"/>
  <c r="F16" i="6"/>
  <c r="G16" i="6" s="1"/>
  <c r="T15" i="6"/>
  <c r="F15" i="6"/>
  <c r="G15" i="6" s="1"/>
  <c r="T14" i="6"/>
  <c r="F14" i="6"/>
  <c r="G14" i="6" s="1"/>
  <c r="T13" i="6"/>
  <c r="F13" i="6"/>
  <c r="G13" i="6" s="1"/>
  <c r="T12" i="6"/>
  <c r="F12" i="6"/>
  <c r="G12" i="6" s="1"/>
  <c r="F1" i="6"/>
  <c r="F10" i="5"/>
  <c r="D9" i="5"/>
  <c r="F9" i="5" s="1"/>
  <c r="F11" i="5" s="1"/>
  <c r="F13" i="5" s="1"/>
  <c r="E24" i="3" s="1"/>
  <c r="F1" i="5"/>
  <c r="D166" i="4"/>
  <c r="C166" i="4"/>
  <c r="B166" i="4"/>
  <c r="E165" i="4"/>
  <c r="E164" i="4"/>
  <c r="E163" i="4"/>
  <c r="E162" i="4"/>
  <c r="E161" i="4"/>
  <c r="E160" i="4"/>
  <c r="E159" i="4"/>
  <c r="E158" i="4"/>
  <c r="E157" i="4"/>
  <c r="E156" i="4"/>
  <c r="E155" i="4"/>
  <c r="E154" i="4"/>
  <c r="E153" i="4"/>
  <c r="E152" i="4"/>
  <c r="E151" i="4"/>
  <c r="E150" i="4"/>
  <c r="E149" i="4"/>
  <c r="E148" i="4"/>
  <c r="E147" i="4"/>
  <c r="E146" i="4"/>
  <c r="A141" i="4"/>
  <c r="A140" i="4"/>
  <c r="A139" i="4"/>
  <c r="A138" i="4"/>
  <c r="A137" i="4"/>
  <c r="N127" i="4"/>
  <c r="M127" i="4"/>
  <c r="L127" i="4"/>
  <c r="K127" i="4"/>
  <c r="J127" i="4"/>
  <c r="I127"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78" i="4"/>
  <c r="G77" i="4"/>
  <c r="G76" i="4"/>
  <c r="G75" i="4"/>
  <c r="G74" i="4"/>
  <c r="G73" i="4"/>
  <c r="G72" i="4"/>
  <c r="G71" i="4"/>
  <c r="G70" i="4"/>
  <c r="G69" i="4"/>
  <c r="G68" i="4"/>
  <c r="G67" i="4"/>
  <c r="G66" i="4"/>
  <c r="G65" i="4"/>
  <c r="G64" i="4"/>
  <c r="G63" i="4"/>
  <c r="G62" i="4"/>
  <c r="G61" i="4"/>
  <c r="G60" i="4"/>
  <c r="G59" i="4"/>
  <c r="G58" i="4"/>
  <c r="G57" i="4"/>
  <c r="G56" i="4"/>
  <c r="G55" i="4"/>
  <c r="G54" i="4"/>
  <c r="F51" i="4"/>
  <c r="G51" i="4" s="1"/>
  <c r="F50" i="4"/>
  <c r="G50" i="4" s="1"/>
  <c r="F49" i="4"/>
  <c r="G49" i="4" s="1"/>
  <c r="F48" i="4"/>
  <c r="G48" i="4" s="1"/>
  <c r="F47" i="4"/>
  <c r="G47" i="4" s="1"/>
  <c r="F46" i="4"/>
  <c r="G46" i="4" s="1"/>
  <c r="F45" i="4"/>
  <c r="G45" i="4" s="1"/>
  <c r="F44" i="4"/>
  <c r="G44" i="4" s="1"/>
  <c r="F43" i="4"/>
  <c r="G43" i="4" s="1"/>
  <c r="F42" i="4"/>
  <c r="G42" i="4" s="1"/>
  <c r="F41" i="4"/>
  <c r="G41" i="4" s="1"/>
  <c r="F40" i="4"/>
  <c r="G40" i="4" s="1"/>
  <c r="F39" i="4"/>
  <c r="G39" i="4" s="1"/>
  <c r="F38" i="4"/>
  <c r="G38" i="4" s="1"/>
  <c r="F37" i="4"/>
  <c r="G37" i="4" s="1"/>
  <c r="F36" i="4"/>
  <c r="G36" i="4" s="1"/>
  <c r="F35" i="4"/>
  <c r="G35" i="4" s="1"/>
  <c r="F34" i="4"/>
  <c r="G34" i="4" s="1"/>
  <c r="F33" i="4"/>
  <c r="G33" i="4" s="1"/>
  <c r="F32" i="4"/>
  <c r="G32" i="4" s="1"/>
  <c r="F31" i="4"/>
  <c r="G31" i="4" s="1"/>
  <c r="F30" i="4"/>
  <c r="G30" i="4" s="1"/>
  <c r="F29" i="4"/>
  <c r="G29" i="4" s="1"/>
  <c r="F28" i="4"/>
  <c r="G28" i="4" s="1"/>
  <c r="F27" i="4"/>
  <c r="G27" i="4" s="1"/>
  <c r="F26" i="4"/>
  <c r="G26" i="4" s="1"/>
  <c r="F25" i="4"/>
  <c r="G25" i="4" s="1"/>
  <c r="F24" i="4"/>
  <c r="G24" i="4" s="1"/>
  <c r="F23" i="4"/>
  <c r="G23" i="4" s="1"/>
  <c r="F22" i="4"/>
  <c r="G22" i="4" s="1"/>
  <c r="F21" i="4"/>
  <c r="G21" i="4" s="1"/>
  <c r="F20" i="4"/>
  <c r="G20" i="4" s="1"/>
  <c r="F19" i="4"/>
  <c r="G19" i="4" s="1"/>
  <c r="F18" i="4"/>
  <c r="G18" i="4" s="1"/>
  <c r="F17" i="4"/>
  <c r="G17" i="4" s="1"/>
  <c r="F16" i="4"/>
  <c r="G16" i="4" s="1"/>
  <c r="F15" i="4"/>
  <c r="G15" i="4" s="1"/>
  <c r="F14" i="4"/>
  <c r="G14" i="4" s="1"/>
  <c r="F13" i="4"/>
  <c r="G13" i="4" s="1"/>
  <c r="F12" i="4"/>
  <c r="G12" i="4" s="1"/>
  <c r="F11" i="4"/>
  <c r="G11" i="4" s="1"/>
  <c r="C6" i="4"/>
  <c r="C5" i="4"/>
  <c r="F1" i="4"/>
  <c r="AE231" i="2"/>
  <c r="AD228" i="2"/>
  <c r="AD229" i="2" s="1"/>
  <c r="AC228" i="2"/>
  <c r="AC229" i="2" s="1"/>
  <c r="AB228" i="2"/>
  <c r="AB229" i="2" s="1"/>
  <c r="AA228" i="2"/>
  <c r="AA229" i="2" s="1"/>
  <c r="Z228" i="2"/>
  <c r="Z229" i="2" s="1"/>
  <c r="Y228" i="2"/>
  <c r="Y229" i="2" s="1"/>
  <c r="X228" i="2"/>
  <c r="X229" i="2" s="1"/>
  <c r="W228" i="2"/>
  <c r="W229" i="2" s="1"/>
  <c r="V228" i="2"/>
  <c r="V229" i="2" s="1"/>
  <c r="U228" i="2"/>
  <c r="U229" i="2" s="1"/>
  <c r="T228" i="2"/>
  <c r="T229" i="2" s="1"/>
  <c r="S228" i="2"/>
  <c r="S229" i="2" s="1"/>
  <c r="R228" i="2"/>
  <c r="R229" i="2" s="1"/>
  <c r="Q228" i="2"/>
  <c r="Q229" i="2" s="1"/>
  <c r="P228" i="2"/>
  <c r="P229" i="2" s="1"/>
  <c r="O228" i="2"/>
  <c r="O229" i="2" s="1"/>
  <c r="N228" i="2"/>
  <c r="N229" i="2" s="1"/>
  <c r="M228" i="2"/>
  <c r="M229" i="2" s="1"/>
  <c r="L228" i="2"/>
  <c r="L229" i="2" s="1"/>
  <c r="K228" i="2"/>
  <c r="K229" i="2" s="1"/>
  <c r="J228" i="2"/>
  <c r="J229" i="2" s="1"/>
  <c r="I228" i="2"/>
  <c r="I229" i="2" s="1"/>
  <c r="H228" i="2"/>
  <c r="H229" i="2" s="1"/>
  <c r="G228" i="2"/>
  <c r="E228" i="2"/>
  <c r="C228" i="2"/>
  <c r="AD222" i="2"/>
  <c r="AC222" i="2"/>
  <c r="AB222" i="2"/>
  <c r="AA222" i="2"/>
  <c r="Z222" i="2"/>
  <c r="Y222" i="2"/>
  <c r="X222" i="2"/>
  <c r="W222" i="2"/>
  <c r="V222" i="2"/>
  <c r="U222" i="2"/>
  <c r="T222" i="2"/>
  <c r="S222" i="2"/>
  <c r="R222" i="2"/>
  <c r="Q222" i="2"/>
  <c r="P222" i="2"/>
  <c r="O222" i="2"/>
  <c r="N222" i="2"/>
  <c r="M222" i="2"/>
  <c r="L222" i="2"/>
  <c r="K222" i="2"/>
  <c r="J222" i="2"/>
  <c r="I222" i="2"/>
  <c r="H222" i="2"/>
  <c r="G222" i="2"/>
  <c r="G223" i="2" s="1"/>
  <c r="H223" i="2" s="1"/>
  <c r="I223" i="2" s="1"/>
  <c r="J223" i="2" s="1"/>
  <c r="K223" i="2" s="1"/>
  <c r="L223" i="2" s="1"/>
  <c r="M223" i="2" s="1"/>
  <c r="N223" i="2" s="1"/>
  <c r="O223" i="2" s="1"/>
  <c r="P223" i="2" s="1"/>
  <c r="Q223" i="2" s="1"/>
  <c r="R223" i="2" s="1"/>
  <c r="S223" i="2" s="1"/>
  <c r="T223" i="2" s="1"/>
  <c r="U223" i="2" s="1"/>
  <c r="V223" i="2" s="1"/>
  <c r="W223" i="2" s="1"/>
  <c r="X223" i="2" s="1"/>
  <c r="Y223" i="2" s="1"/>
  <c r="Z223" i="2" s="1"/>
  <c r="AA223" i="2" s="1"/>
  <c r="AB223" i="2" s="1"/>
  <c r="AC223" i="2" s="1"/>
  <c r="AD223" i="2" s="1"/>
  <c r="F210" i="2"/>
  <c r="AE210" i="2" s="1"/>
  <c r="D210" i="2"/>
  <c r="F209" i="2"/>
  <c r="AE209" i="2" s="1"/>
  <c r="D209" i="2"/>
  <c r="F208" i="2"/>
  <c r="AE208" i="2" s="1"/>
  <c r="D208" i="2"/>
  <c r="F207" i="2"/>
  <c r="AE207" i="2" s="1"/>
  <c r="D207" i="2"/>
  <c r="F206" i="2"/>
  <c r="AE206" i="2" s="1"/>
  <c r="D206" i="2"/>
  <c r="AD205" i="2"/>
  <c r="AC205" i="2"/>
  <c r="AB205" i="2"/>
  <c r="AA205" i="2"/>
  <c r="Z205" i="2"/>
  <c r="Y205" i="2"/>
  <c r="X205" i="2"/>
  <c r="W205" i="2"/>
  <c r="V205" i="2"/>
  <c r="U205" i="2"/>
  <c r="T205" i="2"/>
  <c r="S205" i="2"/>
  <c r="R205" i="2"/>
  <c r="Q205" i="2"/>
  <c r="P205" i="2"/>
  <c r="O205" i="2"/>
  <c r="N205" i="2"/>
  <c r="M205" i="2"/>
  <c r="L205" i="2"/>
  <c r="K205" i="2"/>
  <c r="J205" i="2"/>
  <c r="I205" i="2"/>
  <c r="H205" i="2"/>
  <c r="G205" i="2"/>
  <c r="F205" i="2"/>
  <c r="AE205" i="2" s="1"/>
  <c r="F204" i="2"/>
  <c r="AE204" i="2" s="1"/>
  <c r="D204" i="2"/>
  <c r="F203" i="2"/>
  <c r="AE203" i="2" s="1"/>
  <c r="D203" i="2"/>
  <c r="F202" i="2"/>
  <c r="AE202" i="2" s="1"/>
  <c r="D202" i="2"/>
  <c r="F201" i="2"/>
  <c r="AE201" i="2" s="1"/>
  <c r="D201" i="2"/>
  <c r="F200" i="2"/>
  <c r="AE200" i="2" s="1"/>
  <c r="D200" i="2"/>
  <c r="AD199" i="2"/>
  <c r="AC199" i="2"/>
  <c r="AB199" i="2"/>
  <c r="AA199" i="2"/>
  <c r="Z199" i="2"/>
  <c r="Y199" i="2"/>
  <c r="X199" i="2"/>
  <c r="W199" i="2"/>
  <c r="V199" i="2"/>
  <c r="U199" i="2"/>
  <c r="T199" i="2"/>
  <c r="S199" i="2"/>
  <c r="R199" i="2"/>
  <c r="Q199" i="2"/>
  <c r="P199" i="2"/>
  <c r="O199" i="2"/>
  <c r="N199" i="2"/>
  <c r="M199" i="2"/>
  <c r="L199" i="2"/>
  <c r="K199" i="2"/>
  <c r="J199" i="2"/>
  <c r="I199" i="2"/>
  <c r="H199" i="2"/>
  <c r="G199" i="2"/>
  <c r="F199" i="2"/>
  <c r="AE199" i="2" s="1"/>
  <c r="F198" i="2"/>
  <c r="AE198" i="2" s="1"/>
  <c r="D198" i="2"/>
  <c r="F197" i="2"/>
  <c r="AE197" i="2" s="1"/>
  <c r="D197" i="2"/>
  <c r="F196" i="2"/>
  <c r="AE196" i="2" s="1"/>
  <c r="D196" i="2"/>
  <c r="F195" i="2"/>
  <c r="AE195" i="2" s="1"/>
  <c r="D195" i="2"/>
  <c r="F194" i="2"/>
  <c r="AE194" i="2" s="1"/>
  <c r="D194" i="2"/>
  <c r="AD193" i="2"/>
  <c r="AC193" i="2"/>
  <c r="AB193" i="2"/>
  <c r="AA193" i="2"/>
  <c r="Z193" i="2"/>
  <c r="Y193" i="2"/>
  <c r="X193" i="2"/>
  <c r="W193" i="2"/>
  <c r="V193" i="2"/>
  <c r="U193" i="2"/>
  <c r="T193" i="2"/>
  <c r="S193" i="2"/>
  <c r="R193" i="2"/>
  <c r="Q193" i="2"/>
  <c r="P193" i="2"/>
  <c r="O193" i="2"/>
  <c r="N193" i="2"/>
  <c r="M193" i="2"/>
  <c r="L193" i="2"/>
  <c r="K193" i="2"/>
  <c r="J193" i="2"/>
  <c r="I193" i="2"/>
  <c r="H193" i="2"/>
  <c r="G193" i="2"/>
  <c r="F193" i="2"/>
  <c r="AE193" i="2" s="1"/>
  <c r="F192" i="2"/>
  <c r="AE192" i="2" s="1"/>
  <c r="D192" i="2"/>
  <c r="F191" i="2"/>
  <c r="AE191" i="2" s="1"/>
  <c r="D191" i="2"/>
  <c r="F190" i="2"/>
  <c r="AE190" i="2" s="1"/>
  <c r="D190" i="2"/>
  <c r="F189" i="2"/>
  <c r="AE189" i="2" s="1"/>
  <c r="D189" i="2"/>
  <c r="F188" i="2"/>
  <c r="AE188" i="2" s="1"/>
  <c r="D188" i="2"/>
  <c r="AD187" i="2"/>
  <c r="AC187" i="2"/>
  <c r="AB187" i="2"/>
  <c r="AA187" i="2"/>
  <c r="Z187" i="2"/>
  <c r="Y187" i="2"/>
  <c r="X187" i="2"/>
  <c r="W187" i="2"/>
  <c r="V187" i="2"/>
  <c r="U187" i="2"/>
  <c r="T187" i="2"/>
  <c r="S187" i="2"/>
  <c r="R187" i="2"/>
  <c r="Q187" i="2"/>
  <c r="P187" i="2"/>
  <c r="O187" i="2"/>
  <c r="N187" i="2"/>
  <c r="M187" i="2"/>
  <c r="L187" i="2"/>
  <c r="K187" i="2"/>
  <c r="J187" i="2"/>
  <c r="I187" i="2"/>
  <c r="H187" i="2"/>
  <c r="G187" i="2"/>
  <c r="F187" i="2"/>
  <c r="AE187" i="2" s="1"/>
  <c r="F186" i="2"/>
  <c r="AE186" i="2" s="1"/>
  <c r="D186" i="2"/>
  <c r="F185" i="2"/>
  <c r="AE185" i="2" s="1"/>
  <c r="D185" i="2"/>
  <c r="F184" i="2"/>
  <c r="AE184" i="2" s="1"/>
  <c r="D184" i="2"/>
  <c r="F183" i="2"/>
  <c r="AE183" i="2" s="1"/>
  <c r="D183" i="2"/>
  <c r="F182" i="2"/>
  <c r="AE182" i="2" s="1"/>
  <c r="D182" i="2"/>
  <c r="AD181" i="2"/>
  <c r="AC181" i="2"/>
  <c r="AB181" i="2"/>
  <c r="AA181" i="2"/>
  <c r="Z181" i="2"/>
  <c r="Y181" i="2"/>
  <c r="X181" i="2"/>
  <c r="W181" i="2"/>
  <c r="V181" i="2"/>
  <c r="U181" i="2"/>
  <c r="T181" i="2"/>
  <c r="S181" i="2"/>
  <c r="R181" i="2"/>
  <c r="Q181" i="2"/>
  <c r="P181" i="2"/>
  <c r="O181" i="2"/>
  <c r="N181" i="2"/>
  <c r="M181" i="2"/>
  <c r="L181" i="2"/>
  <c r="K181" i="2"/>
  <c r="J181" i="2"/>
  <c r="I181" i="2"/>
  <c r="H181" i="2"/>
  <c r="G181" i="2"/>
  <c r="F181" i="2"/>
  <c r="AE181" i="2" s="1"/>
  <c r="AD180" i="2"/>
  <c r="AC180" i="2"/>
  <c r="AB180" i="2"/>
  <c r="AA180" i="2"/>
  <c r="Z180" i="2"/>
  <c r="Y180" i="2"/>
  <c r="X180" i="2"/>
  <c r="W180" i="2"/>
  <c r="V180" i="2"/>
  <c r="U180" i="2"/>
  <c r="T180" i="2"/>
  <c r="S180" i="2"/>
  <c r="R180" i="2"/>
  <c r="Q180" i="2"/>
  <c r="P180" i="2"/>
  <c r="O180" i="2"/>
  <c r="N180" i="2"/>
  <c r="M180" i="2"/>
  <c r="L180" i="2"/>
  <c r="K180" i="2"/>
  <c r="J180" i="2"/>
  <c r="I180" i="2"/>
  <c r="H180" i="2"/>
  <c r="G180" i="2"/>
  <c r="F180" i="2"/>
  <c r="AE180" i="2" s="1"/>
  <c r="F179" i="2"/>
  <c r="AE179" i="2" s="1"/>
  <c r="D179" i="2"/>
  <c r="F178" i="2"/>
  <c r="AE178" i="2" s="1"/>
  <c r="D178" i="2"/>
  <c r="F177" i="2"/>
  <c r="AE177" i="2" s="1"/>
  <c r="D177" i="2"/>
  <c r="F176" i="2"/>
  <c r="AE176" i="2" s="1"/>
  <c r="D176" i="2"/>
  <c r="F175" i="2"/>
  <c r="AE175" i="2" s="1"/>
  <c r="D175" i="2"/>
  <c r="AD174" i="2"/>
  <c r="AC174" i="2"/>
  <c r="AB174" i="2"/>
  <c r="AA174" i="2"/>
  <c r="Z174" i="2"/>
  <c r="Y174" i="2"/>
  <c r="X174" i="2"/>
  <c r="W174" i="2"/>
  <c r="V174" i="2"/>
  <c r="U174" i="2"/>
  <c r="T174" i="2"/>
  <c r="S174" i="2"/>
  <c r="R174" i="2"/>
  <c r="Q174" i="2"/>
  <c r="P174" i="2"/>
  <c r="O174" i="2"/>
  <c r="N174" i="2"/>
  <c r="M174" i="2"/>
  <c r="L174" i="2"/>
  <c r="K174" i="2"/>
  <c r="J174" i="2"/>
  <c r="I174" i="2"/>
  <c r="H174" i="2"/>
  <c r="G174" i="2"/>
  <c r="F174" i="2"/>
  <c r="AE174" i="2" s="1"/>
  <c r="F173" i="2"/>
  <c r="AE173" i="2" s="1"/>
  <c r="D173" i="2"/>
  <c r="F172" i="2"/>
  <c r="AE172" i="2" s="1"/>
  <c r="D172" i="2"/>
  <c r="F171" i="2"/>
  <c r="AE171" i="2" s="1"/>
  <c r="D171" i="2"/>
  <c r="F170" i="2"/>
  <c r="AE170" i="2" s="1"/>
  <c r="D170" i="2"/>
  <c r="F169" i="2"/>
  <c r="AE169" i="2" s="1"/>
  <c r="D169" i="2"/>
  <c r="AD168" i="2"/>
  <c r="AC168" i="2"/>
  <c r="AB168" i="2"/>
  <c r="AA168" i="2"/>
  <c r="Z168" i="2"/>
  <c r="Y168" i="2"/>
  <c r="X168" i="2"/>
  <c r="W168" i="2"/>
  <c r="V168" i="2"/>
  <c r="U168" i="2"/>
  <c r="T168" i="2"/>
  <c r="S168" i="2"/>
  <c r="R168" i="2"/>
  <c r="Q168" i="2"/>
  <c r="P168" i="2"/>
  <c r="O168" i="2"/>
  <c r="N168" i="2"/>
  <c r="M168" i="2"/>
  <c r="L168" i="2"/>
  <c r="K168" i="2"/>
  <c r="J168" i="2"/>
  <c r="I168" i="2"/>
  <c r="H168" i="2"/>
  <c r="G168" i="2"/>
  <c r="F168" i="2"/>
  <c r="AE168" i="2" s="1"/>
  <c r="F167" i="2"/>
  <c r="AE167" i="2" s="1"/>
  <c r="D167" i="2"/>
  <c r="F166" i="2"/>
  <c r="AE166" i="2" s="1"/>
  <c r="D166" i="2"/>
  <c r="F165" i="2"/>
  <c r="AE165" i="2" s="1"/>
  <c r="D165" i="2"/>
  <c r="F164" i="2"/>
  <c r="AE164" i="2" s="1"/>
  <c r="D164" i="2"/>
  <c r="F163" i="2"/>
  <c r="AE163" i="2" s="1"/>
  <c r="D163" i="2"/>
  <c r="AD162" i="2"/>
  <c r="AC162" i="2"/>
  <c r="AB162" i="2"/>
  <c r="AA162" i="2"/>
  <c r="Z162" i="2"/>
  <c r="Y162" i="2"/>
  <c r="X162" i="2"/>
  <c r="W162" i="2"/>
  <c r="V162" i="2"/>
  <c r="U162" i="2"/>
  <c r="T162" i="2"/>
  <c r="S162" i="2"/>
  <c r="R162" i="2"/>
  <c r="Q162" i="2"/>
  <c r="P162" i="2"/>
  <c r="O162" i="2"/>
  <c r="N162" i="2"/>
  <c r="M162" i="2"/>
  <c r="L162" i="2"/>
  <c r="K162" i="2"/>
  <c r="J162" i="2"/>
  <c r="I162" i="2"/>
  <c r="H162" i="2"/>
  <c r="G162" i="2"/>
  <c r="F162" i="2"/>
  <c r="AE162" i="2" s="1"/>
  <c r="F161" i="2"/>
  <c r="AE161" i="2" s="1"/>
  <c r="D161" i="2"/>
  <c r="F160" i="2"/>
  <c r="AE160" i="2" s="1"/>
  <c r="D160" i="2"/>
  <c r="F159" i="2"/>
  <c r="AE159" i="2" s="1"/>
  <c r="D159" i="2"/>
  <c r="F158" i="2"/>
  <c r="AE158" i="2" s="1"/>
  <c r="D158" i="2"/>
  <c r="F157" i="2"/>
  <c r="AE157" i="2" s="1"/>
  <c r="D157" i="2"/>
  <c r="AD156" i="2"/>
  <c r="AC156" i="2"/>
  <c r="AB156" i="2"/>
  <c r="AA156" i="2"/>
  <c r="Z156" i="2"/>
  <c r="Y156" i="2"/>
  <c r="X156" i="2"/>
  <c r="W156" i="2"/>
  <c r="V156" i="2"/>
  <c r="U156" i="2"/>
  <c r="T156" i="2"/>
  <c r="S156" i="2"/>
  <c r="R156" i="2"/>
  <c r="Q156" i="2"/>
  <c r="P156" i="2"/>
  <c r="O156" i="2"/>
  <c r="N156" i="2"/>
  <c r="M156" i="2"/>
  <c r="L156" i="2"/>
  <c r="K156" i="2"/>
  <c r="J156" i="2"/>
  <c r="I156" i="2"/>
  <c r="H156" i="2"/>
  <c r="G156" i="2"/>
  <c r="F156" i="2"/>
  <c r="AE156" i="2" s="1"/>
  <c r="F155" i="2"/>
  <c r="AE155" i="2" s="1"/>
  <c r="D155" i="2"/>
  <c r="F154" i="2"/>
  <c r="AE154" i="2" s="1"/>
  <c r="D154" i="2"/>
  <c r="F153" i="2"/>
  <c r="AE153" i="2" s="1"/>
  <c r="D153" i="2"/>
  <c r="F152" i="2"/>
  <c r="AE152" i="2" s="1"/>
  <c r="D152" i="2"/>
  <c r="F151" i="2"/>
  <c r="AE151" i="2" s="1"/>
  <c r="D151" i="2"/>
  <c r="AD150" i="2"/>
  <c r="AC150" i="2"/>
  <c r="AB150" i="2"/>
  <c r="AA150" i="2"/>
  <c r="Z150" i="2"/>
  <c r="Y150" i="2"/>
  <c r="X150" i="2"/>
  <c r="W150" i="2"/>
  <c r="V150" i="2"/>
  <c r="U150" i="2"/>
  <c r="T150" i="2"/>
  <c r="S150" i="2"/>
  <c r="R150" i="2"/>
  <c r="Q150" i="2"/>
  <c r="P150" i="2"/>
  <c r="O150" i="2"/>
  <c r="N150" i="2"/>
  <c r="M150" i="2"/>
  <c r="L150" i="2"/>
  <c r="K150" i="2"/>
  <c r="J150" i="2"/>
  <c r="I150" i="2"/>
  <c r="H150" i="2"/>
  <c r="G150" i="2"/>
  <c r="F150" i="2"/>
  <c r="AE150" i="2" s="1"/>
  <c r="AD149" i="2"/>
  <c r="AC149" i="2"/>
  <c r="AB149" i="2"/>
  <c r="AA149" i="2"/>
  <c r="Z149" i="2"/>
  <c r="Y149" i="2"/>
  <c r="X149" i="2"/>
  <c r="W149" i="2"/>
  <c r="V149" i="2"/>
  <c r="U149" i="2"/>
  <c r="T149" i="2"/>
  <c r="S149" i="2"/>
  <c r="R149" i="2"/>
  <c r="Q149" i="2"/>
  <c r="P149" i="2"/>
  <c r="O149" i="2"/>
  <c r="N149" i="2"/>
  <c r="M149" i="2"/>
  <c r="L149" i="2"/>
  <c r="K149" i="2"/>
  <c r="J149" i="2"/>
  <c r="I149" i="2"/>
  <c r="H149" i="2"/>
  <c r="G149" i="2"/>
  <c r="F149" i="2"/>
  <c r="AE149" i="2" s="1"/>
  <c r="F148" i="2"/>
  <c r="AE148" i="2" s="1"/>
  <c r="D148" i="2"/>
  <c r="F147" i="2"/>
  <c r="AE147" i="2" s="1"/>
  <c r="D147" i="2"/>
  <c r="F146" i="2"/>
  <c r="AE146" i="2" s="1"/>
  <c r="D146" i="2"/>
  <c r="F145" i="2"/>
  <c r="AE145" i="2" s="1"/>
  <c r="D145" i="2"/>
  <c r="F144" i="2"/>
  <c r="AE144" i="2" s="1"/>
  <c r="D144" i="2"/>
  <c r="AD143" i="2"/>
  <c r="AC143" i="2"/>
  <c r="AB143" i="2"/>
  <c r="AA143" i="2"/>
  <c r="Z143" i="2"/>
  <c r="Y143" i="2"/>
  <c r="X143" i="2"/>
  <c r="W143" i="2"/>
  <c r="V143" i="2"/>
  <c r="U143" i="2"/>
  <c r="T143" i="2"/>
  <c r="S143" i="2"/>
  <c r="R143" i="2"/>
  <c r="Q143" i="2"/>
  <c r="P143" i="2"/>
  <c r="O143" i="2"/>
  <c r="N143" i="2"/>
  <c r="M143" i="2"/>
  <c r="L143" i="2"/>
  <c r="K143" i="2"/>
  <c r="J143" i="2"/>
  <c r="I143" i="2"/>
  <c r="H143" i="2"/>
  <c r="G143" i="2"/>
  <c r="F143" i="2"/>
  <c r="AE143" i="2" s="1"/>
  <c r="F142" i="2"/>
  <c r="AE142" i="2" s="1"/>
  <c r="D142" i="2"/>
  <c r="F141" i="2"/>
  <c r="AE141" i="2" s="1"/>
  <c r="D141" i="2"/>
  <c r="F140" i="2"/>
  <c r="AE140" i="2" s="1"/>
  <c r="D140" i="2"/>
  <c r="F139" i="2"/>
  <c r="AE139" i="2" s="1"/>
  <c r="D139" i="2"/>
  <c r="F138" i="2"/>
  <c r="AE138" i="2" s="1"/>
  <c r="D138" i="2"/>
  <c r="AD137" i="2"/>
  <c r="AC137" i="2"/>
  <c r="AB137" i="2"/>
  <c r="AA137" i="2"/>
  <c r="Z137" i="2"/>
  <c r="Y137" i="2"/>
  <c r="X137" i="2"/>
  <c r="W137" i="2"/>
  <c r="V137" i="2"/>
  <c r="U137" i="2"/>
  <c r="T137" i="2"/>
  <c r="S137" i="2"/>
  <c r="R137" i="2"/>
  <c r="Q137" i="2"/>
  <c r="P137" i="2"/>
  <c r="O137" i="2"/>
  <c r="N137" i="2"/>
  <c r="M137" i="2"/>
  <c r="L137" i="2"/>
  <c r="K137" i="2"/>
  <c r="J137" i="2"/>
  <c r="I137" i="2"/>
  <c r="H137" i="2"/>
  <c r="G137" i="2"/>
  <c r="F137" i="2"/>
  <c r="AE137" i="2" s="1"/>
  <c r="F136" i="2"/>
  <c r="AE136" i="2" s="1"/>
  <c r="D136" i="2"/>
  <c r="F135" i="2"/>
  <c r="AE135" i="2" s="1"/>
  <c r="D135" i="2"/>
  <c r="F134" i="2"/>
  <c r="AE134" i="2" s="1"/>
  <c r="D134" i="2"/>
  <c r="F133" i="2"/>
  <c r="AE133" i="2" s="1"/>
  <c r="D133" i="2"/>
  <c r="F132" i="2"/>
  <c r="AE132" i="2" s="1"/>
  <c r="D132" i="2"/>
  <c r="AD131" i="2"/>
  <c r="AC131" i="2"/>
  <c r="AB131" i="2"/>
  <c r="AA131" i="2"/>
  <c r="Z131" i="2"/>
  <c r="Y131" i="2"/>
  <c r="X131" i="2"/>
  <c r="W131" i="2"/>
  <c r="V131" i="2"/>
  <c r="U131" i="2"/>
  <c r="T131" i="2"/>
  <c r="S131" i="2"/>
  <c r="R131" i="2"/>
  <c r="Q131" i="2"/>
  <c r="P131" i="2"/>
  <c r="O131" i="2"/>
  <c r="N131" i="2"/>
  <c r="M131" i="2"/>
  <c r="L131" i="2"/>
  <c r="K131" i="2"/>
  <c r="J131" i="2"/>
  <c r="I131" i="2"/>
  <c r="H131" i="2"/>
  <c r="G131" i="2"/>
  <c r="F131" i="2"/>
  <c r="AE131" i="2" s="1"/>
  <c r="F130" i="2"/>
  <c r="AE130" i="2" s="1"/>
  <c r="D130" i="2"/>
  <c r="F129" i="2"/>
  <c r="AE129" i="2" s="1"/>
  <c r="D129" i="2"/>
  <c r="F128" i="2"/>
  <c r="AE128" i="2" s="1"/>
  <c r="D128" i="2"/>
  <c r="F127" i="2"/>
  <c r="AE127" i="2" s="1"/>
  <c r="D127" i="2"/>
  <c r="F126" i="2"/>
  <c r="AE126" i="2" s="1"/>
  <c r="D126" i="2"/>
  <c r="AD125" i="2"/>
  <c r="AC125" i="2"/>
  <c r="AB125" i="2"/>
  <c r="AA125" i="2"/>
  <c r="Z125" i="2"/>
  <c r="Y125" i="2"/>
  <c r="X125" i="2"/>
  <c r="W125" i="2"/>
  <c r="V125" i="2"/>
  <c r="U125" i="2"/>
  <c r="T125" i="2"/>
  <c r="S125" i="2"/>
  <c r="R125" i="2"/>
  <c r="Q125" i="2"/>
  <c r="P125" i="2"/>
  <c r="O125" i="2"/>
  <c r="N125" i="2"/>
  <c r="M125" i="2"/>
  <c r="L125" i="2"/>
  <c r="K125" i="2"/>
  <c r="J125" i="2"/>
  <c r="I125" i="2"/>
  <c r="H125" i="2"/>
  <c r="G125" i="2"/>
  <c r="F125" i="2"/>
  <c r="AE125" i="2" s="1"/>
  <c r="F124" i="2"/>
  <c r="AE124" i="2" s="1"/>
  <c r="D124" i="2"/>
  <c r="F123" i="2"/>
  <c r="AE123" i="2" s="1"/>
  <c r="D123" i="2"/>
  <c r="F122" i="2"/>
  <c r="AE122" i="2" s="1"/>
  <c r="D122" i="2"/>
  <c r="F121" i="2"/>
  <c r="AE121" i="2" s="1"/>
  <c r="D121" i="2"/>
  <c r="F120" i="2"/>
  <c r="AE120" i="2" s="1"/>
  <c r="D120" i="2"/>
  <c r="AD119" i="2"/>
  <c r="AC119" i="2"/>
  <c r="AB119" i="2"/>
  <c r="AA119" i="2"/>
  <c r="Z119" i="2"/>
  <c r="Y119" i="2"/>
  <c r="X119" i="2"/>
  <c r="W119" i="2"/>
  <c r="V119" i="2"/>
  <c r="U119" i="2"/>
  <c r="T119" i="2"/>
  <c r="S119" i="2"/>
  <c r="R119" i="2"/>
  <c r="Q119" i="2"/>
  <c r="P119" i="2"/>
  <c r="O119" i="2"/>
  <c r="N119" i="2"/>
  <c r="M119" i="2"/>
  <c r="L119" i="2"/>
  <c r="K119" i="2"/>
  <c r="J119" i="2"/>
  <c r="I119" i="2"/>
  <c r="H119" i="2"/>
  <c r="G119" i="2"/>
  <c r="F119" i="2"/>
  <c r="AE119" i="2" s="1"/>
  <c r="AD118" i="2"/>
  <c r="AC118" i="2"/>
  <c r="AB118" i="2"/>
  <c r="AA118" i="2"/>
  <c r="Z118" i="2"/>
  <c r="Y118" i="2"/>
  <c r="X118" i="2"/>
  <c r="W118" i="2"/>
  <c r="V118" i="2"/>
  <c r="U118" i="2"/>
  <c r="T118" i="2"/>
  <c r="S118" i="2"/>
  <c r="R118" i="2"/>
  <c r="Q118" i="2"/>
  <c r="P118" i="2"/>
  <c r="O118" i="2"/>
  <c r="N118" i="2"/>
  <c r="M118" i="2"/>
  <c r="L118" i="2"/>
  <c r="K118" i="2"/>
  <c r="J118" i="2"/>
  <c r="I118" i="2"/>
  <c r="H118" i="2"/>
  <c r="G118" i="2"/>
  <c r="F118" i="2"/>
  <c r="AE118" i="2" s="1"/>
  <c r="F117" i="2"/>
  <c r="AE117" i="2" s="1"/>
  <c r="D117" i="2"/>
  <c r="F116" i="2"/>
  <c r="AE116" i="2" s="1"/>
  <c r="D116" i="2"/>
  <c r="F115" i="2"/>
  <c r="AE115" i="2" s="1"/>
  <c r="D115" i="2"/>
  <c r="F114" i="2"/>
  <c r="AE114" i="2" s="1"/>
  <c r="D114" i="2"/>
  <c r="F113" i="2"/>
  <c r="AE113" i="2" s="1"/>
  <c r="D113" i="2"/>
  <c r="AD112" i="2"/>
  <c r="AC112" i="2"/>
  <c r="AB112" i="2"/>
  <c r="AA112" i="2"/>
  <c r="Z112" i="2"/>
  <c r="Y112" i="2"/>
  <c r="X112" i="2"/>
  <c r="W112" i="2"/>
  <c r="V112" i="2"/>
  <c r="U112" i="2"/>
  <c r="T112" i="2"/>
  <c r="S112" i="2"/>
  <c r="R112" i="2"/>
  <c r="Q112" i="2"/>
  <c r="P112" i="2"/>
  <c r="O112" i="2"/>
  <c r="N112" i="2"/>
  <c r="M112" i="2"/>
  <c r="L112" i="2"/>
  <c r="K112" i="2"/>
  <c r="J112" i="2"/>
  <c r="I112" i="2"/>
  <c r="H112" i="2"/>
  <c r="G112" i="2"/>
  <c r="F112" i="2"/>
  <c r="AE112" i="2" s="1"/>
  <c r="F111" i="2"/>
  <c r="AE111" i="2" s="1"/>
  <c r="D111" i="2"/>
  <c r="F110" i="2"/>
  <c r="AE110" i="2" s="1"/>
  <c r="D110" i="2"/>
  <c r="F109" i="2"/>
  <c r="AE109" i="2" s="1"/>
  <c r="D109" i="2"/>
  <c r="F108" i="2"/>
  <c r="AE108" i="2" s="1"/>
  <c r="D108" i="2"/>
  <c r="F107" i="2"/>
  <c r="AE107" i="2" s="1"/>
  <c r="D107" i="2"/>
  <c r="AD106" i="2"/>
  <c r="AC106" i="2"/>
  <c r="AB106" i="2"/>
  <c r="AB87" i="2" s="1"/>
  <c r="AA106" i="2"/>
  <c r="AA87" i="2" s="1"/>
  <c r="Z106" i="2"/>
  <c r="Z87" i="2" s="1"/>
  <c r="Y106" i="2"/>
  <c r="Y87" i="2" s="1"/>
  <c r="X106" i="2"/>
  <c r="X87" i="2" s="1"/>
  <c r="W106" i="2"/>
  <c r="W87" i="2" s="1"/>
  <c r="V106" i="2"/>
  <c r="V87" i="2" s="1"/>
  <c r="U106" i="2"/>
  <c r="U87" i="2" s="1"/>
  <c r="T106" i="2"/>
  <c r="T87" i="2" s="1"/>
  <c r="S106" i="2"/>
  <c r="S87" i="2" s="1"/>
  <c r="R106" i="2"/>
  <c r="R87" i="2" s="1"/>
  <c r="Q106" i="2"/>
  <c r="Q87" i="2" s="1"/>
  <c r="P106" i="2"/>
  <c r="P87" i="2" s="1"/>
  <c r="O106" i="2"/>
  <c r="O87" i="2" s="1"/>
  <c r="N106" i="2"/>
  <c r="N87" i="2" s="1"/>
  <c r="M106" i="2"/>
  <c r="M87" i="2" s="1"/>
  <c r="L106" i="2"/>
  <c r="L87" i="2" s="1"/>
  <c r="K106" i="2"/>
  <c r="K87" i="2" s="1"/>
  <c r="J106" i="2"/>
  <c r="J87" i="2" s="1"/>
  <c r="I106" i="2"/>
  <c r="I87" i="2" s="1"/>
  <c r="H106" i="2"/>
  <c r="H87" i="2" s="1"/>
  <c r="G106" i="2"/>
  <c r="G87" i="2" s="1"/>
  <c r="F106" i="2"/>
  <c r="AE106" i="2" s="1"/>
  <c r="F105" i="2"/>
  <c r="AE105" i="2" s="1"/>
  <c r="D105" i="2"/>
  <c r="F104" i="2"/>
  <c r="AE104" i="2" s="1"/>
  <c r="D104" i="2"/>
  <c r="F103" i="2"/>
  <c r="AE103" i="2" s="1"/>
  <c r="D103" i="2"/>
  <c r="F102" i="2"/>
  <c r="AE102" i="2" s="1"/>
  <c r="D102" i="2"/>
  <c r="F101" i="2"/>
  <c r="D101" i="2"/>
  <c r="D15" i="2" s="1"/>
  <c r="AD100" i="2"/>
  <c r="AD87" i="2" s="1"/>
  <c r="AC100" i="2"/>
  <c r="AC87" i="2" s="1"/>
  <c r="AB100" i="2"/>
  <c r="AA100" i="2"/>
  <c r="Z100" i="2"/>
  <c r="Y100" i="2"/>
  <c r="X100" i="2"/>
  <c r="W100" i="2"/>
  <c r="V100" i="2"/>
  <c r="U100" i="2"/>
  <c r="T100" i="2"/>
  <c r="S100" i="2"/>
  <c r="R100" i="2"/>
  <c r="Q100" i="2"/>
  <c r="P100" i="2"/>
  <c r="O100" i="2"/>
  <c r="N100" i="2"/>
  <c r="M100" i="2"/>
  <c r="L100" i="2"/>
  <c r="K100" i="2"/>
  <c r="J100" i="2"/>
  <c r="I100" i="2"/>
  <c r="H100" i="2"/>
  <c r="G100" i="2"/>
  <c r="F99" i="2"/>
  <c r="AE99" i="2" s="1"/>
  <c r="D99" i="2"/>
  <c r="F98" i="2"/>
  <c r="AE98" i="2" s="1"/>
  <c r="D98" i="2"/>
  <c r="F97" i="2"/>
  <c r="AE97" i="2" s="1"/>
  <c r="D97" i="2"/>
  <c r="F96" i="2"/>
  <c r="AE96" i="2" s="1"/>
  <c r="D96" i="2"/>
  <c r="F95" i="2"/>
  <c r="AE95" i="2" s="1"/>
  <c r="D95" i="2"/>
  <c r="AD94" i="2"/>
  <c r="AC94" i="2"/>
  <c r="AB94" i="2"/>
  <c r="AA94" i="2"/>
  <c r="Z94" i="2"/>
  <c r="Y94" i="2"/>
  <c r="X94" i="2"/>
  <c r="W94" i="2"/>
  <c r="V94" i="2"/>
  <c r="U94" i="2"/>
  <c r="T94" i="2"/>
  <c r="S94" i="2"/>
  <c r="R94" i="2"/>
  <c r="Q94" i="2"/>
  <c r="P94" i="2"/>
  <c r="O94" i="2"/>
  <c r="N94" i="2"/>
  <c r="M94" i="2"/>
  <c r="L94" i="2"/>
  <c r="K94" i="2"/>
  <c r="J94" i="2"/>
  <c r="I94" i="2"/>
  <c r="H94" i="2"/>
  <c r="G94" i="2"/>
  <c r="F94" i="2"/>
  <c r="AE94" i="2" s="1"/>
  <c r="F93" i="2"/>
  <c r="AE93" i="2" s="1"/>
  <c r="D93" i="2"/>
  <c r="F92" i="2"/>
  <c r="AE92" i="2" s="1"/>
  <c r="D92" i="2"/>
  <c r="F91" i="2"/>
  <c r="AE91" i="2" s="1"/>
  <c r="D91" i="2"/>
  <c r="F90" i="2"/>
  <c r="AE90" i="2" s="1"/>
  <c r="D90" i="2"/>
  <c r="F89" i="2"/>
  <c r="AE89" i="2" s="1"/>
  <c r="D89" i="2"/>
  <c r="AD88" i="2"/>
  <c r="AC88" i="2"/>
  <c r="AB88" i="2"/>
  <c r="AA88" i="2"/>
  <c r="Z88" i="2"/>
  <c r="Y88" i="2"/>
  <c r="X88" i="2"/>
  <c r="W88" i="2"/>
  <c r="V88" i="2"/>
  <c r="U88" i="2"/>
  <c r="T88" i="2"/>
  <c r="S88" i="2"/>
  <c r="R88" i="2"/>
  <c r="Q88" i="2"/>
  <c r="P88" i="2"/>
  <c r="O88" i="2"/>
  <c r="N88" i="2"/>
  <c r="M88" i="2"/>
  <c r="L88" i="2"/>
  <c r="K88" i="2"/>
  <c r="J88" i="2"/>
  <c r="I88" i="2"/>
  <c r="H88" i="2"/>
  <c r="G88" i="2"/>
  <c r="F88" i="2"/>
  <c r="AE88" i="2" s="1"/>
  <c r="F86" i="2"/>
  <c r="AE86" i="2" s="1"/>
  <c r="D86" i="2"/>
  <c r="F85" i="2"/>
  <c r="AE85" i="2" s="1"/>
  <c r="D85" i="2"/>
  <c r="F84" i="2"/>
  <c r="AE84" i="2" s="1"/>
  <c r="D84" i="2"/>
  <c r="F83" i="2"/>
  <c r="AE83" i="2" s="1"/>
  <c r="D83" i="2"/>
  <c r="F82" i="2"/>
  <c r="AE82" i="2" s="1"/>
  <c r="D82" i="2"/>
  <c r="AD81" i="2"/>
  <c r="AC81" i="2"/>
  <c r="AB81" i="2"/>
  <c r="AA81" i="2"/>
  <c r="Z81" i="2"/>
  <c r="Y81" i="2"/>
  <c r="X81" i="2"/>
  <c r="W81" i="2"/>
  <c r="V81" i="2"/>
  <c r="U81" i="2"/>
  <c r="T81" i="2"/>
  <c r="S81" i="2"/>
  <c r="R81" i="2"/>
  <c r="Q81" i="2"/>
  <c r="P81" i="2"/>
  <c r="O81" i="2"/>
  <c r="N81" i="2"/>
  <c r="M81" i="2"/>
  <c r="L81" i="2"/>
  <c r="K81" i="2"/>
  <c r="J81" i="2"/>
  <c r="I81" i="2"/>
  <c r="H81" i="2"/>
  <c r="G81" i="2"/>
  <c r="F81" i="2"/>
  <c r="AE81" i="2" s="1"/>
  <c r="F80" i="2"/>
  <c r="AE80" i="2" s="1"/>
  <c r="D80" i="2"/>
  <c r="F79" i="2"/>
  <c r="AE79" i="2" s="1"/>
  <c r="D79" i="2"/>
  <c r="F78" i="2"/>
  <c r="AE78" i="2" s="1"/>
  <c r="D78" i="2"/>
  <c r="F77" i="2"/>
  <c r="AE77" i="2" s="1"/>
  <c r="D77" i="2"/>
  <c r="F76" i="2"/>
  <c r="AE76" i="2" s="1"/>
  <c r="D76" i="2"/>
  <c r="AD75" i="2"/>
  <c r="AC75" i="2"/>
  <c r="AB75" i="2"/>
  <c r="AA75" i="2"/>
  <c r="Z75" i="2"/>
  <c r="Y75" i="2"/>
  <c r="X75" i="2"/>
  <c r="W75" i="2"/>
  <c r="V75" i="2"/>
  <c r="U75" i="2"/>
  <c r="T75" i="2"/>
  <c r="S75" i="2"/>
  <c r="R75" i="2"/>
  <c r="Q75" i="2"/>
  <c r="P75" i="2"/>
  <c r="O75" i="2"/>
  <c r="N75" i="2"/>
  <c r="M75" i="2"/>
  <c r="L75" i="2"/>
  <c r="K75" i="2"/>
  <c r="J75" i="2"/>
  <c r="I75" i="2"/>
  <c r="H75" i="2"/>
  <c r="G75" i="2"/>
  <c r="F75" i="2"/>
  <c r="AE75" i="2" s="1"/>
  <c r="F74" i="2"/>
  <c r="AE74" i="2" s="1"/>
  <c r="D74" i="2"/>
  <c r="F73" i="2"/>
  <c r="AE73" i="2" s="1"/>
  <c r="D73" i="2"/>
  <c r="F72" i="2"/>
  <c r="AE72" i="2" s="1"/>
  <c r="D72" i="2"/>
  <c r="F71" i="2"/>
  <c r="AE71" i="2" s="1"/>
  <c r="D71" i="2"/>
  <c r="F70" i="2"/>
  <c r="AE70" i="2" s="1"/>
  <c r="D70" i="2"/>
  <c r="AD69" i="2"/>
  <c r="AC69" i="2"/>
  <c r="AB69" i="2"/>
  <c r="AA69" i="2"/>
  <c r="Z69" i="2"/>
  <c r="Y69" i="2"/>
  <c r="X69" i="2"/>
  <c r="W69" i="2"/>
  <c r="V69" i="2"/>
  <c r="U69" i="2"/>
  <c r="T69" i="2"/>
  <c r="S69" i="2"/>
  <c r="R69" i="2"/>
  <c r="Q69" i="2"/>
  <c r="P69" i="2"/>
  <c r="O69" i="2"/>
  <c r="N69" i="2"/>
  <c r="M69" i="2"/>
  <c r="L69" i="2"/>
  <c r="K69" i="2"/>
  <c r="J69" i="2"/>
  <c r="I69" i="2"/>
  <c r="H69" i="2"/>
  <c r="G69" i="2"/>
  <c r="F69" i="2"/>
  <c r="AE69" i="2" s="1"/>
  <c r="F68" i="2"/>
  <c r="AE68" i="2" s="1"/>
  <c r="D68" i="2"/>
  <c r="F67" i="2"/>
  <c r="AE67" i="2" s="1"/>
  <c r="D67" i="2"/>
  <c r="F66" i="2"/>
  <c r="AE66" i="2" s="1"/>
  <c r="D66" i="2"/>
  <c r="F65" i="2"/>
  <c r="AE65" i="2" s="1"/>
  <c r="D65" i="2"/>
  <c r="F64" i="2"/>
  <c r="AE64" i="2" s="1"/>
  <c r="D64" i="2"/>
  <c r="AD63" i="2"/>
  <c r="AC63" i="2"/>
  <c r="AB63" i="2"/>
  <c r="AA63" i="2"/>
  <c r="Z63" i="2"/>
  <c r="Y63" i="2"/>
  <c r="X63" i="2"/>
  <c r="W63" i="2"/>
  <c r="V63" i="2"/>
  <c r="U63" i="2"/>
  <c r="T63" i="2"/>
  <c r="S63" i="2"/>
  <c r="R63" i="2"/>
  <c r="Q63" i="2"/>
  <c r="P63" i="2"/>
  <c r="O63" i="2"/>
  <c r="N63" i="2"/>
  <c r="M63" i="2"/>
  <c r="L63" i="2"/>
  <c r="K63" i="2"/>
  <c r="J63" i="2"/>
  <c r="I63" i="2"/>
  <c r="H63" i="2"/>
  <c r="G63" i="2"/>
  <c r="F63" i="2"/>
  <c r="AE63" i="2" s="1"/>
  <c r="F62" i="2"/>
  <c r="AE62" i="2" s="1"/>
  <c r="D62" i="2"/>
  <c r="F61" i="2"/>
  <c r="AE61" i="2" s="1"/>
  <c r="D61" i="2"/>
  <c r="F60" i="2"/>
  <c r="AE60" i="2" s="1"/>
  <c r="D60" i="2"/>
  <c r="F59" i="2"/>
  <c r="AE59" i="2" s="1"/>
  <c r="D59" i="2"/>
  <c r="F58" i="2"/>
  <c r="AE58" i="2" s="1"/>
  <c r="D58" i="2"/>
  <c r="AD57" i="2"/>
  <c r="AC57" i="2"/>
  <c r="AB57" i="2"/>
  <c r="AA57" i="2"/>
  <c r="Z57" i="2"/>
  <c r="Y57" i="2"/>
  <c r="X57" i="2"/>
  <c r="W57" i="2"/>
  <c r="V57" i="2"/>
  <c r="U57" i="2"/>
  <c r="T57" i="2"/>
  <c r="S57" i="2"/>
  <c r="R57" i="2"/>
  <c r="Q57" i="2"/>
  <c r="P57" i="2"/>
  <c r="O57" i="2"/>
  <c r="N57" i="2"/>
  <c r="M57" i="2"/>
  <c r="L57" i="2"/>
  <c r="K57" i="2"/>
  <c r="J57" i="2"/>
  <c r="I57" i="2"/>
  <c r="H57" i="2"/>
  <c r="G57" i="2"/>
  <c r="F57" i="2"/>
  <c r="AE57" i="2" s="1"/>
  <c r="AD56" i="2"/>
  <c r="AC56" i="2"/>
  <c r="AB56" i="2"/>
  <c r="AA56" i="2"/>
  <c r="Z56" i="2"/>
  <c r="Y56" i="2"/>
  <c r="X56" i="2"/>
  <c r="W56" i="2"/>
  <c r="V56" i="2"/>
  <c r="U56" i="2"/>
  <c r="T56" i="2"/>
  <c r="S56" i="2"/>
  <c r="R56" i="2"/>
  <c r="Q56" i="2"/>
  <c r="P56" i="2"/>
  <c r="O56" i="2"/>
  <c r="N56" i="2"/>
  <c r="M56" i="2"/>
  <c r="L56" i="2"/>
  <c r="K56" i="2"/>
  <c r="J56" i="2"/>
  <c r="I56" i="2"/>
  <c r="H56" i="2"/>
  <c r="G56" i="2"/>
  <c r="F56" i="2"/>
  <c r="AE56" i="2" s="1"/>
  <c r="F55" i="2"/>
  <c r="AE55" i="2" s="1"/>
  <c r="D55" i="2"/>
  <c r="F54" i="2"/>
  <c r="AE54" i="2" s="1"/>
  <c r="D54" i="2"/>
  <c r="F53" i="2"/>
  <c r="AE53" i="2" s="1"/>
  <c r="D53" i="2"/>
  <c r="F52" i="2"/>
  <c r="AE52" i="2" s="1"/>
  <c r="D52" i="2"/>
  <c r="F51" i="2"/>
  <c r="AE51" i="2" s="1"/>
  <c r="D51" i="2"/>
  <c r="AD50" i="2"/>
  <c r="AC50" i="2"/>
  <c r="AB50" i="2"/>
  <c r="AA50" i="2"/>
  <c r="Z50" i="2"/>
  <c r="Y50" i="2"/>
  <c r="X50" i="2"/>
  <c r="W50" i="2"/>
  <c r="V50" i="2"/>
  <c r="U50" i="2"/>
  <c r="T50" i="2"/>
  <c r="S50" i="2"/>
  <c r="R50" i="2"/>
  <c r="Q50" i="2"/>
  <c r="P50" i="2"/>
  <c r="O50" i="2"/>
  <c r="N50" i="2"/>
  <c r="M50" i="2"/>
  <c r="L50" i="2"/>
  <c r="K50" i="2"/>
  <c r="J50" i="2"/>
  <c r="I50" i="2"/>
  <c r="H50" i="2"/>
  <c r="G50" i="2"/>
  <c r="F50" i="2"/>
  <c r="AE50" i="2" s="1"/>
  <c r="F49" i="2"/>
  <c r="AE49" i="2" s="1"/>
  <c r="D49" i="2"/>
  <c r="F48" i="2"/>
  <c r="AE48" i="2" s="1"/>
  <c r="D48" i="2"/>
  <c r="F47" i="2"/>
  <c r="AE47" i="2" s="1"/>
  <c r="D47" i="2"/>
  <c r="F46" i="2"/>
  <c r="AE46" i="2" s="1"/>
  <c r="D46" i="2"/>
  <c r="F45" i="2"/>
  <c r="AE45" i="2" s="1"/>
  <c r="D45" i="2"/>
  <c r="AD44" i="2"/>
  <c r="AC44" i="2"/>
  <c r="AB44" i="2"/>
  <c r="AA44" i="2"/>
  <c r="Z44" i="2"/>
  <c r="Y44" i="2"/>
  <c r="X44" i="2"/>
  <c r="W44" i="2"/>
  <c r="V44" i="2"/>
  <c r="U44" i="2"/>
  <c r="T44" i="2"/>
  <c r="S44" i="2"/>
  <c r="R44" i="2"/>
  <c r="Q44" i="2"/>
  <c r="P44" i="2"/>
  <c r="O44" i="2"/>
  <c r="N44" i="2"/>
  <c r="M44" i="2"/>
  <c r="L44" i="2"/>
  <c r="K44" i="2"/>
  <c r="J44" i="2"/>
  <c r="I44" i="2"/>
  <c r="H44" i="2"/>
  <c r="G44" i="2"/>
  <c r="F44" i="2"/>
  <c r="AE44" i="2" s="1"/>
  <c r="F43" i="2"/>
  <c r="AE43" i="2" s="1"/>
  <c r="D43" i="2"/>
  <c r="F42" i="2"/>
  <c r="AE42" i="2" s="1"/>
  <c r="D42" i="2"/>
  <c r="F41" i="2"/>
  <c r="AE41" i="2" s="1"/>
  <c r="D41" i="2"/>
  <c r="F40" i="2"/>
  <c r="AE40" i="2" s="1"/>
  <c r="D40" i="2"/>
  <c r="F39" i="2"/>
  <c r="AE39" i="2" s="1"/>
  <c r="D39" i="2"/>
  <c r="AD38" i="2"/>
  <c r="AC38" i="2"/>
  <c r="AB38" i="2"/>
  <c r="AA38" i="2"/>
  <c r="Z38" i="2"/>
  <c r="Y38" i="2"/>
  <c r="X38" i="2"/>
  <c r="W38" i="2"/>
  <c r="V38" i="2"/>
  <c r="U38" i="2"/>
  <c r="T38" i="2"/>
  <c r="S38" i="2"/>
  <c r="R38" i="2"/>
  <c r="Q38" i="2"/>
  <c r="P38" i="2"/>
  <c r="O38" i="2"/>
  <c r="N38" i="2"/>
  <c r="M38" i="2"/>
  <c r="L38" i="2"/>
  <c r="K38" i="2"/>
  <c r="J38" i="2"/>
  <c r="I38" i="2"/>
  <c r="H38" i="2"/>
  <c r="G38" i="2"/>
  <c r="F38" i="2"/>
  <c r="AE38" i="2" s="1"/>
  <c r="F37" i="2"/>
  <c r="AE37" i="2" s="1"/>
  <c r="D37" i="2"/>
  <c r="F36" i="2"/>
  <c r="AE36" i="2" s="1"/>
  <c r="D36" i="2"/>
  <c r="F35" i="2"/>
  <c r="AE35" i="2" s="1"/>
  <c r="D35" i="2"/>
  <c r="F34" i="2"/>
  <c r="AE34" i="2" s="1"/>
  <c r="D34" i="2"/>
  <c r="F33" i="2"/>
  <c r="AE33" i="2" s="1"/>
  <c r="D33" i="2"/>
  <c r="AD32" i="2"/>
  <c r="AC32" i="2"/>
  <c r="AB32" i="2"/>
  <c r="AA32" i="2"/>
  <c r="Z32" i="2"/>
  <c r="Y32" i="2"/>
  <c r="X32" i="2"/>
  <c r="W32" i="2"/>
  <c r="V32" i="2"/>
  <c r="U32" i="2"/>
  <c r="T32" i="2"/>
  <c r="S32" i="2"/>
  <c r="R32" i="2"/>
  <c r="Q32" i="2"/>
  <c r="P32" i="2"/>
  <c r="O32" i="2"/>
  <c r="N32" i="2"/>
  <c r="M32" i="2"/>
  <c r="L32" i="2"/>
  <c r="K32" i="2"/>
  <c r="J32" i="2"/>
  <c r="I32" i="2"/>
  <c r="H32" i="2"/>
  <c r="G32" i="2"/>
  <c r="F32" i="2"/>
  <c r="AE32" i="2" s="1"/>
  <c r="F31" i="2"/>
  <c r="AE31" i="2" s="1"/>
  <c r="D31" i="2"/>
  <c r="F30" i="2"/>
  <c r="AE30" i="2" s="1"/>
  <c r="D30" i="2"/>
  <c r="F29" i="2"/>
  <c r="AE29" i="2" s="1"/>
  <c r="D29" i="2"/>
  <c r="F28" i="2"/>
  <c r="AE28" i="2" s="1"/>
  <c r="D28" i="2"/>
  <c r="F27" i="2"/>
  <c r="AE27" i="2" s="1"/>
  <c r="D27" i="2"/>
  <c r="F26" i="2"/>
  <c r="AE26" i="2" s="1"/>
  <c r="D26" i="2"/>
  <c r="AD25" i="2"/>
  <c r="AC25" i="2"/>
  <c r="AB25" i="2"/>
  <c r="AA25" i="2"/>
  <c r="Z25" i="2"/>
  <c r="Y25" i="2"/>
  <c r="X25" i="2"/>
  <c r="W25" i="2"/>
  <c r="V25" i="2"/>
  <c r="U25" i="2"/>
  <c r="T25" i="2"/>
  <c r="S25" i="2"/>
  <c r="R25" i="2"/>
  <c r="Q25" i="2"/>
  <c r="P25" i="2"/>
  <c r="O25" i="2"/>
  <c r="N25" i="2"/>
  <c r="M25" i="2"/>
  <c r="L25" i="2"/>
  <c r="K25" i="2"/>
  <c r="J25" i="2"/>
  <c r="I25" i="2"/>
  <c r="H25" i="2"/>
  <c r="G25" i="2"/>
  <c r="F25" i="2"/>
  <c r="AE25" i="2" s="1"/>
  <c r="F24" i="2"/>
  <c r="AE24" i="2" s="1"/>
  <c r="D24" i="2"/>
  <c r="F23" i="2"/>
  <c r="AE23" i="2" s="1"/>
  <c r="D23" i="2"/>
  <c r="F22" i="2"/>
  <c r="AE22" i="2" s="1"/>
  <c r="D22" i="2"/>
  <c r="F21" i="2"/>
  <c r="AE21" i="2" s="1"/>
  <c r="D21" i="2"/>
  <c r="F20" i="2"/>
  <c r="AE20" i="2" s="1"/>
  <c r="D20" i="2"/>
  <c r="F19" i="2"/>
  <c r="AE19" i="2" s="1"/>
  <c r="D19" i="2"/>
  <c r="F18" i="2"/>
  <c r="AE18" i="2" s="1"/>
  <c r="D18" i="2"/>
  <c r="AD17" i="2"/>
  <c r="AC17" i="2"/>
  <c r="AB17" i="2"/>
  <c r="AA17" i="2"/>
  <c r="Z17" i="2"/>
  <c r="Y17" i="2"/>
  <c r="X17" i="2"/>
  <c r="W17" i="2"/>
  <c r="V17" i="2"/>
  <c r="U17" i="2"/>
  <c r="T17" i="2"/>
  <c r="S17" i="2"/>
  <c r="R17" i="2"/>
  <c r="Q17" i="2"/>
  <c r="P17" i="2"/>
  <c r="O17" i="2"/>
  <c r="N17" i="2"/>
  <c r="M17" i="2"/>
  <c r="L17" i="2"/>
  <c r="K17" i="2"/>
  <c r="J17" i="2"/>
  <c r="I17" i="2"/>
  <c r="H17" i="2"/>
  <c r="G17" i="2"/>
  <c r="F17" i="2"/>
  <c r="AE17" i="2" s="1"/>
  <c r="AD16" i="2"/>
  <c r="AC16" i="2"/>
  <c r="AB16" i="2"/>
  <c r="AA16" i="2"/>
  <c r="Z16" i="2"/>
  <c r="Y16" i="2"/>
  <c r="X16" i="2"/>
  <c r="W16" i="2"/>
  <c r="V16" i="2"/>
  <c r="U16" i="2"/>
  <c r="T16" i="2"/>
  <c r="S16" i="2"/>
  <c r="R16" i="2"/>
  <c r="Q16" i="2"/>
  <c r="P16" i="2"/>
  <c r="O16" i="2"/>
  <c r="N16" i="2"/>
  <c r="M16" i="2"/>
  <c r="L16" i="2"/>
  <c r="K16" i="2"/>
  <c r="J16" i="2"/>
  <c r="I16" i="2"/>
  <c r="H16" i="2"/>
  <c r="G16" i="2"/>
  <c r="F16" i="2"/>
  <c r="AE16" i="2" s="1"/>
  <c r="AE5" i="2"/>
  <c r="AE4" i="2"/>
  <c r="F1" i="2"/>
  <c r="R37" i="3"/>
  <c r="Q34" i="3"/>
  <c r="P34" i="3"/>
  <c r="O34" i="3"/>
  <c r="N34" i="3"/>
  <c r="M34" i="3"/>
  <c r="L34" i="3"/>
  <c r="K34" i="3"/>
  <c r="J34" i="3"/>
  <c r="I34" i="3"/>
  <c r="H34" i="3"/>
  <c r="G34" i="3"/>
  <c r="F34" i="3"/>
  <c r="Q17" i="3"/>
  <c r="P17" i="3"/>
  <c r="O17" i="3"/>
  <c r="N17" i="3"/>
  <c r="M17" i="3"/>
  <c r="L17" i="3"/>
  <c r="K17" i="3"/>
  <c r="J17" i="3"/>
  <c r="I17" i="3"/>
  <c r="H17" i="3"/>
  <c r="G17" i="3"/>
  <c r="F17" i="3"/>
  <c r="R16" i="3"/>
  <c r="B16" i="3"/>
  <c r="R15" i="3"/>
  <c r="B15" i="3"/>
  <c r="R5" i="3"/>
  <c r="B6" i="5" s="1"/>
  <c r="R4" i="3"/>
  <c r="B5" i="5" s="1"/>
  <c r="F1" i="3"/>
  <c r="C46" i="37" l="1"/>
  <c r="C47" i="37"/>
  <c r="B46" i="37"/>
  <c r="B47" i="37"/>
  <c r="B48" i="37"/>
  <c r="C48" i="37"/>
  <c r="J20" i="25"/>
  <c r="J18" i="25"/>
  <c r="J17" i="25"/>
  <c r="J22" i="25"/>
  <c r="J24" i="25"/>
  <c r="J25" i="25" s="1"/>
  <c r="J27" i="25"/>
  <c r="J26" i="25"/>
  <c r="J16" i="25"/>
  <c r="J28" i="25" s="1"/>
  <c r="J29" i="25" s="1"/>
  <c r="J21" i="25"/>
  <c r="I21" i="25"/>
  <c r="I17" i="25"/>
  <c r="I24" i="25"/>
  <c r="I25" i="25" s="1"/>
  <c r="I22" i="25"/>
  <c r="I27" i="25"/>
  <c r="I16" i="25"/>
  <c r="I26" i="25"/>
  <c r="I20" i="25"/>
  <c r="I18" i="25"/>
  <c r="H16" i="25"/>
  <c r="H17" i="25"/>
  <c r="H22" i="25"/>
  <c r="H27" i="25"/>
  <c r="H20" i="25"/>
  <c r="H24" i="25"/>
  <c r="H25" i="25" s="1"/>
  <c r="H26" i="25"/>
  <c r="H18" i="25"/>
  <c r="H21" i="25"/>
  <c r="G17" i="25"/>
  <c r="G26" i="25"/>
  <c r="G18" i="25"/>
  <c r="G21" i="25"/>
  <c r="G22" i="25"/>
  <c r="G16" i="25"/>
  <c r="G28" i="25" s="1"/>
  <c r="G29" i="25" s="1"/>
  <c r="G24" i="25"/>
  <c r="G25" i="25" s="1"/>
  <c r="G27" i="25"/>
  <c r="G20" i="25"/>
  <c r="F20" i="25"/>
  <c r="F21" i="25"/>
  <c r="F27" i="25"/>
  <c r="F24" i="25"/>
  <c r="F25" i="25" s="1"/>
  <c r="F26" i="25"/>
  <c r="F16" i="25"/>
  <c r="F17" i="25"/>
  <c r="F22" i="25"/>
  <c r="F18" i="25"/>
  <c r="E24" i="25"/>
  <c r="E25" i="25" s="1"/>
  <c r="E22" i="25"/>
  <c r="E21" i="25"/>
  <c r="E20" i="25"/>
  <c r="E18" i="25"/>
  <c r="E27" i="25"/>
  <c r="E17" i="25"/>
  <c r="E26" i="25"/>
  <c r="E16" i="25"/>
  <c r="E28" i="25" s="1"/>
  <c r="E29" i="25" s="1"/>
  <c r="D27" i="25"/>
  <c r="D24" i="25"/>
  <c r="D25" i="25" s="1"/>
  <c r="D16" i="25"/>
  <c r="D22" i="25"/>
  <c r="D20" i="25"/>
  <c r="D26" i="25"/>
  <c r="D18" i="25"/>
  <c r="D17" i="25"/>
  <c r="D21" i="25"/>
  <c r="C22" i="25"/>
  <c r="C21" i="25"/>
  <c r="C20" i="25"/>
  <c r="C17" i="25"/>
  <c r="C27" i="25"/>
  <c r="C18" i="25"/>
  <c r="C26" i="25"/>
  <c r="C16" i="25"/>
  <c r="C24" i="25"/>
  <c r="C25" i="25" s="1"/>
  <c r="I43" i="14"/>
  <c r="I44" i="14"/>
  <c r="F18" i="13"/>
  <c r="F19" i="13"/>
  <c r="B15" i="12"/>
  <c r="B16" i="12"/>
  <c r="B17" i="12"/>
  <c r="B18" i="12"/>
  <c r="B19" i="12"/>
  <c r="B20" i="12"/>
  <c r="B21" i="12"/>
  <c r="B22" i="12"/>
  <c r="B23" i="12"/>
  <c r="B24" i="12"/>
  <c r="B25" i="12"/>
  <c r="B26" i="12"/>
  <c r="B27" i="12"/>
  <c r="B28" i="12"/>
  <c r="B29" i="12"/>
  <c r="B30" i="12"/>
  <c r="B31" i="12"/>
  <c r="B32" i="12"/>
  <c r="B33" i="12"/>
  <c r="B34" i="12"/>
  <c r="B35" i="12"/>
  <c r="B36" i="12"/>
  <c r="B37" i="12"/>
  <c r="B38" i="12"/>
  <c r="B39" i="12"/>
  <c r="B40" i="12"/>
  <c r="B41" i="12"/>
  <c r="B42" i="12"/>
  <c r="B43" i="12"/>
  <c r="B44" i="12"/>
  <c r="B45" i="12"/>
  <c r="B46" i="12"/>
  <c r="B47" i="12"/>
  <c r="B48" i="12"/>
  <c r="B49" i="12"/>
  <c r="B50" i="12"/>
  <c r="B51" i="12"/>
  <c r="B52" i="12"/>
  <c r="B53" i="12"/>
  <c r="B54" i="12"/>
  <c r="B55" i="12"/>
  <c r="B56" i="12"/>
  <c r="B57" i="12"/>
  <c r="B58" i="12"/>
  <c r="B59" i="12"/>
  <c r="B60" i="12"/>
  <c r="B61" i="12"/>
  <c r="B62" i="12"/>
  <c r="B63" i="12"/>
  <c r="B64" i="12"/>
  <c r="B65" i="12"/>
  <c r="B66" i="12"/>
  <c r="B67" i="12"/>
  <c r="B68" i="12"/>
  <c r="B69" i="12"/>
  <c r="B70" i="12"/>
  <c r="B71" i="12"/>
  <c r="B72" i="12"/>
  <c r="B73" i="12"/>
  <c r="B74" i="12"/>
  <c r="B75" i="12"/>
  <c r="B76" i="12"/>
  <c r="B77" i="12"/>
  <c r="B78" i="12"/>
  <c r="B79" i="12"/>
  <c r="B80" i="12"/>
  <c r="B81" i="12"/>
  <c r="B82" i="12"/>
  <c r="B83" i="12"/>
  <c r="B84" i="12"/>
  <c r="B85" i="12"/>
  <c r="B86" i="12"/>
  <c r="B87" i="12"/>
  <c r="B88" i="12"/>
  <c r="B89" i="12"/>
  <c r="B90" i="12"/>
  <c r="B91" i="12"/>
  <c r="B92" i="12"/>
  <c r="B93" i="12"/>
  <c r="B94" i="12"/>
  <c r="B95" i="12"/>
  <c r="B96" i="12"/>
  <c r="B97" i="12"/>
  <c r="B98" i="12"/>
  <c r="B99" i="12"/>
  <c r="B100" i="12"/>
  <c r="B101" i="12"/>
  <c r="B102" i="12"/>
  <c r="B103" i="12"/>
  <c r="B104" i="12"/>
  <c r="B105" i="12"/>
  <c r="B106" i="12"/>
  <c r="B107" i="12"/>
  <c r="B108" i="12"/>
  <c r="B109" i="12"/>
  <c r="B110" i="12"/>
  <c r="B111" i="12"/>
  <c r="B112" i="12"/>
  <c r="B113" i="12"/>
  <c r="B114" i="12"/>
  <c r="B115" i="12"/>
  <c r="B116" i="12"/>
  <c r="B117" i="12"/>
  <c r="B118" i="12"/>
  <c r="B119" i="12"/>
  <c r="B120" i="12"/>
  <c r="B121" i="12"/>
  <c r="B122" i="12"/>
  <c r="B123" i="12"/>
  <c r="B124" i="12"/>
  <c r="B125" i="12"/>
  <c r="B126" i="12"/>
  <c r="B127" i="12"/>
  <c r="B128" i="12"/>
  <c r="B129" i="12"/>
  <c r="B130" i="12"/>
  <c r="B131" i="12"/>
  <c r="B132" i="12"/>
  <c r="B133" i="12"/>
  <c r="B134" i="12"/>
  <c r="B135" i="12"/>
  <c r="B136" i="12"/>
  <c r="B137" i="12"/>
  <c r="B138" i="12"/>
  <c r="B139" i="12"/>
  <c r="B140" i="12"/>
  <c r="B141" i="12"/>
  <c r="B142" i="12"/>
  <c r="B143" i="12"/>
  <c r="B144" i="12"/>
  <c r="B145" i="12"/>
  <c r="B146" i="12"/>
  <c r="B147" i="12"/>
  <c r="B148" i="12"/>
  <c r="B149" i="12"/>
  <c r="B150" i="12"/>
  <c r="B151" i="12"/>
  <c r="B152" i="12"/>
  <c r="B153" i="12"/>
  <c r="B154" i="12"/>
  <c r="B155" i="12"/>
  <c r="B156" i="12"/>
  <c r="B157" i="12"/>
  <c r="B158" i="12"/>
  <c r="B159" i="12"/>
  <c r="B160" i="12"/>
  <c r="B161" i="12"/>
  <c r="B162" i="12"/>
  <c r="B163" i="12"/>
  <c r="B164" i="12"/>
  <c r="B165" i="12"/>
  <c r="B166" i="12"/>
  <c r="B167" i="12"/>
  <c r="B168" i="12"/>
  <c r="B169" i="12"/>
  <c r="B170" i="12"/>
  <c r="B171" i="12"/>
  <c r="B172" i="12"/>
  <c r="B173" i="12"/>
  <c r="B174" i="12"/>
  <c r="B175" i="12"/>
  <c r="B176" i="12"/>
  <c r="B177" i="12"/>
  <c r="B178" i="12"/>
  <c r="B179" i="12"/>
  <c r="B180" i="12"/>
  <c r="B181" i="12"/>
  <c r="B182" i="12"/>
  <c r="B183" i="12"/>
  <c r="B184" i="12"/>
  <c r="B185" i="12"/>
  <c r="B186" i="12"/>
  <c r="B187" i="12"/>
  <c r="B188" i="12"/>
  <c r="B189" i="12"/>
  <c r="B190" i="12"/>
  <c r="B191" i="12"/>
  <c r="B192" i="12"/>
  <c r="B193" i="12"/>
  <c r="B194" i="12"/>
  <c r="B195" i="12"/>
  <c r="B196" i="12"/>
  <c r="B197" i="12"/>
  <c r="B198" i="12"/>
  <c r="B199" i="12"/>
  <c r="B200" i="12"/>
  <c r="B201" i="12"/>
  <c r="B202" i="12"/>
  <c r="B203" i="12"/>
  <c r="B204" i="12"/>
  <c r="B205" i="12"/>
  <c r="B206" i="12"/>
  <c r="B207" i="12"/>
  <c r="B208" i="12"/>
  <c r="B209" i="12"/>
  <c r="B210" i="12"/>
  <c r="B211" i="12"/>
  <c r="B212" i="12"/>
  <c r="B213" i="12"/>
  <c r="B214" i="12"/>
  <c r="B215" i="12"/>
  <c r="B216" i="12"/>
  <c r="B217" i="12"/>
  <c r="B218" i="12"/>
  <c r="B219" i="12"/>
  <c r="B220" i="12"/>
  <c r="B221" i="12"/>
  <c r="B222" i="12"/>
  <c r="B223" i="12"/>
  <c r="B224" i="12"/>
  <c r="B225" i="12"/>
  <c r="B226" i="12"/>
  <c r="B227" i="12"/>
  <c r="B228" i="12"/>
  <c r="B229" i="12"/>
  <c r="B230" i="12"/>
  <c r="B231" i="12"/>
  <c r="B232" i="12"/>
  <c r="B233" i="12"/>
  <c r="B234" i="12"/>
  <c r="B235" i="12"/>
  <c r="B236" i="12"/>
  <c r="B237" i="12"/>
  <c r="B238" i="12"/>
  <c r="B239" i="12"/>
  <c r="B240" i="12"/>
  <c r="B241" i="12"/>
  <c r="B242" i="12"/>
  <c r="B243" i="12"/>
  <c r="B244" i="12"/>
  <c r="B245" i="12"/>
  <c r="B246" i="12"/>
  <c r="B247" i="12"/>
  <c r="B248" i="12"/>
  <c r="B249" i="12"/>
  <c r="B250" i="12"/>
  <c r="B251" i="12"/>
  <c r="B252" i="12"/>
  <c r="B253" i="12"/>
  <c r="B254" i="12"/>
  <c r="B255" i="12"/>
  <c r="B256" i="12"/>
  <c r="B257" i="12"/>
  <c r="B258" i="12"/>
  <c r="B259" i="12"/>
  <c r="B260" i="12"/>
  <c r="B261" i="12"/>
  <c r="B262" i="12"/>
  <c r="B263" i="12"/>
  <c r="B264" i="12"/>
  <c r="E65" i="11"/>
  <c r="E60" i="11"/>
  <c r="F35" i="11"/>
  <c r="F60" i="11" s="1"/>
  <c r="D64" i="11" s="1"/>
  <c r="E64" i="11" s="1"/>
  <c r="F264" i="9"/>
  <c r="G261" i="9"/>
  <c r="F262" i="9"/>
  <c r="F222" i="9"/>
  <c r="G219" i="9"/>
  <c r="F220" i="9"/>
  <c r="G177" i="9"/>
  <c r="F178" i="9"/>
  <c r="F180" i="9"/>
  <c r="G135" i="9"/>
  <c r="F136" i="9"/>
  <c r="F138" i="9"/>
  <c r="F96" i="9"/>
  <c r="G93" i="9"/>
  <c r="F94" i="9"/>
  <c r="G51" i="9"/>
  <c r="F52" i="9"/>
  <c r="F54" i="9"/>
  <c r="E187" i="7"/>
  <c r="E188" i="7" s="1"/>
  <c r="D194" i="6"/>
  <c r="D195" i="6" s="1"/>
  <c r="F174" i="6"/>
  <c r="M149" i="6"/>
  <c r="H149" i="6"/>
  <c r="M148" i="6"/>
  <c r="H148" i="6"/>
  <c r="H147" i="6"/>
  <c r="M147" i="6"/>
  <c r="M146" i="6"/>
  <c r="H146" i="6"/>
  <c r="H145" i="6"/>
  <c r="M145" i="6"/>
  <c r="M144" i="6"/>
  <c r="H144" i="6"/>
  <c r="M143" i="6"/>
  <c r="H143" i="6"/>
  <c r="H142" i="6"/>
  <c r="M142" i="6"/>
  <c r="M141" i="6"/>
  <c r="H141" i="6"/>
  <c r="H140" i="6"/>
  <c r="M140" i="6"/>
  <c r="M139" i="6"/>
  <c r="H139" i="6"/>
  <c r="M138" i="6"/>
  <c r="H138" i="6"/>
  <c r="H137" i="6"/>
  <c r="M137" i="6"/>
  <c r="H136" i="6"/>
  <c r="M136" i="6"/>
  <c r="M135" i="6"/>
  <c r="M134" i="6"/>
  <c r="M133" i="6"/>
  <c r="M132" i="6"/>
  <c r="M131" i="6"/>
  <c r="M130" i="6"/>
  <c r="M129" i="6"/>
  <c r="M128" i="6"/>
  <c r="M127" i="6"/>
  <c r="M126" i="6"/>
  <c r="M125" i="6"/>
  <c r="M124" i="6"/>
  <c r="M123" i="6"/>
  <c r="M122" i="6"/>
  <c r="M121" i="6"/>
  <c r="M120" i="6"/>
  <c r="M118" i="6"/>
  <c r="M117" i="6"/>
  <c r="M116" i="6"/>
  <c r="M115" i="6"/>
  <c r="M114" i="6"/>
  <c r="M113" i="6"/>
  <c r="M112" i="6"/>
  <c r="M111" i="6"/>
  <c r="M110" i="6"/>
  <c r="M109" i="6"/>
  <c r="M108" i="6"/>
  <c r="M107" i="6"/>
  <c r="M106" i="6"/>
  <c r="M105" i="6"/>
  <c r="G150" i="6"/>
  <c r="I158" i="6"/>
  <c r="C195" i="6" s="1"/>
  <c r="I159" i="6"/>
  <c r="G157" i="6"/>
  <c r="M98" i="6"/>
  <c r="M97" i="6"/>
  <c r="M96" i="6"/>
  <c r="M95" i="6"/>
  <c r="M94" i="6"/>
  <c r="M93" i="6"/>
  <c r="M92" i="6"/>
  <c r="M91" i="6"/>
  <c r="M90" i="6"/>
  <c r="M89" i="6"/>
  <c r="M88" i="6"/>
  <c r="M87" i="6"/>
  <c r="M86" i="6"/>
  <c r="M85" i="6"/>
  <c r="M84" i="6"/>
  <c r="M83" i="6"/>
  <c r="M82" i="6"/>
  <c r="M81" i="6"/>
  <c r="M80" i="6"/>
  <c r="M79" i="6"/>
  <c r="M78" i="6"/>
  <c r="M77" i="6"/>
  <c r="M76" i="6"/>
  <c r="G99" i="6"/>
  <c r="M99" i="6" s="1"/>
  <c r="M75" i="6"/>
  <c r="M74" i="6"/>
  <c r="M73" i="6"/>
  <c r="M72" i="6"/>
  <c r="M71" i="6"/>
  <c r="M70" i="6"/>
  <c r="M69" i="6"/>
  <c r="M68" i="6"/>
  <c r="M67" i="6"/>
  <c r="M66" i="6"/>
  <c r="M65" i="6"/>
  <c r="M64" i="6"/>
  <c r="M63" i="6"/>
  <c r="M60" i="6"/>
  <c r="M59" i="6"/>
  <c r="M58" i="6"/>
  <c r="M57" i="6"/>
  <c r="M56" i="6"/>
  <c r="M55" i="6"/>
  <c r="M54" i="6"/>
  <c r="M53" i="6"/>
  <c r="M52" i="6"/>
  <c r="M51" i="6"/>
  <c r="M50" i="6"/>
  <c r="M49" i="6"/>
  <c r="M48" i="6"/>
  <c r="M47" i="6"/>
  <c r="M46" i="6"/>
  <c r="M45" i="6"/>
  <c r="M44" i="6"/>
  <c r="M43" i="6"/>
  <c r="M42" i="6"/>
  <c r="M41" i="6"/>
  <c r="M40" i="6"/>
  <c r="M39" i="6"/>
  <c r="M38" i="6"/>
  <c r="M37" i="6"/>
  <c r="M36" i="6"/>
  <c r="M35" i="6"/>
  <c r="M34" i="6"/>
  <c r="M33" i="6"/>
  <c r="M32" i="6"/>
  <c r="M31" i="6"/>
  <c r="M30" i="6"/>
  <c r="M29" i="6"/>
  <c r="M28" i="6"/>
  <c r="M27" i="6"/>
  <c r="M26" i="6"/>
  <c r="M25" i="6"/>
  <c r="M24" i="6"/>
  <c r="M23" i="6"/>
  <c r="M22" i="6"/>
  <c r="M21" i="6"/>
  <c r="M20" i="6"/>
  <c r="M19" i="6"/>
  <c r="M18" i="6"/>
  <c r="M17" i="6"/>
  <c r="M16" i="6"/>
  <c r="M15" i="6"/>
  <c r="M14" i="6"/>
  <c r="M13" i="6"/>
  <c r="M12" i="6"/>
  <c r="G61" i="6"/>
  <c r="F24" i="3"/>
  <c r="F28" i="3"/>
  <c r="F29" i="3" s="1"/>
  <c r="G28" i="3"/>
  <c r="H28" i="3"/>
  <c r="I28" i="3"/>
  <c r="J28" i="3"/>
  <c r="K28" i="3"/>
  <c r="L28" i="3"/>
  <c r="M28" i="3"/>
  <c r="N28" i="3"/>
  <c r="O28" i="3"/>
  <c r="P28" i="3"/>
  <c r="Q28" i="3"/>
  <c r="D34" i="3"/>
  <c r="E166" i="4"/>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G126" i="4"/>
  <c r="O78" i="4"/>
  <c r="H78" i="4"/>
  <c r="H77" i="4"/>
  <c r="O77" i="4"/>
  <c r="O76" i="4"/>
  <c r="H76" i="4"/>
  <c r="O75" i="4"/>
  <c r="H75" i="4"/>
  <c r="H74" i="4"/>
  <c r="O74" i="4"/>
  <c r="O73" i="4"/>
  <c r="H73" i="4"/>
  <c r="O72" i="4"/>
  <c r="H72" i="4"/>
  <c r="O71" i="4"/>
  <c r="H71" i="4"/>
  <c r="O70" i="4"/>
  <c r="H70" i="4"/>
  <c r="O69" i="4"/>
  <c r="H69" i="4"/>
  <c r="O68" i="4"/>
  <c r="H68" i="4"/>
  <c r="O67" i="4"/>
  <c r="H67" i="4"/>
  <c r="H66" i="4"/>
  <c r="O66" i="4"/>
  <c r="H65" i="4"/>
  <c r="O65" i="4"/>
  <c r="H64" i="4"/>
  <c r="O64" i="4"/>
  <c r="O63" i="4"/>
  <c r="H63" i="4"/>
  <c r="O62" i="4"/>
  <c r="H62" i="4"/>
  <c r="O61" i="4"/>
  <c r="H61" i="4"/>
  <c r="O60" i="4"/>
  <c r="H60" i="4"/>
  <c r="H59" i="4"/>
  <c r="O59" i="4"/>
  <c r="O58" i="4"/>
  <c r="H58" i="4"/>
  <c r="O57" i="4"/>
  <c r="H57" i="4"/>
  <c r="O56" i="4"/>
  <c r="H56" i="4"/>
  <c r="O55" i="4"/>
  <c r="H55" i="4"/>
  <c r="O54" i="4"/>
  <c r="G79"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G52" i="4"/>
  <c r="G80" i="4" s="1"/>
  <c r="AE228" i="2"/>
  <c r="G229" i="2"/>
  <c r="G230" i="2" s="1"/>
  <c r="M232" i="2"/>
  <c r="N232" i="2"/>
  <c r="O232" i="2"/>
  <c r="P232" i="2"/>
  <c r="Q232" i="2"/>
  <c r="R232" i="2"/>
  <c r="S232" i="2"/>
  <c r="T232" i="2"/>
  <c r="U232" i="2"/>
  <c r="V232" i="2"/>
  <c r="W232" i="2"/>
  <c r="X232" i="2"/>
  <c r="Y232" i="2"/>
  <c r="Z232" i="2"/>
  <c r="AA232" i="2"/>
  <c r="AB232" i="2"/>
  <c r="AC232" i="2"/>
  <c r="AD232" i="2"/>
  <c r="J232" i="2"/>
  <c r="G232" i="2"/>
  <c r="G233" i="2" s="1"/>
  <c r="H232" i="2"/>
  <c r="I232" i="2"/>
  <c r="K232" i="2"/>
  <c r="L232" i="2"/>
  <c r="U211" i="2"/>
  <c r="F100" i="2"/>
  <c r="AE101" i="2"/>
  <c r="AD211" i="2"/>
  <c r="AC211" i="2"/>
  <c r="AA211" i="2"/>
  <c r="Z211" i="2"/>
  <c r="Y211" i="2"/>
  <c r="X211" i="2"/>
  <c r="V211" i="2"/>
  <c r="T211" i="2"/>
  <c r="S211" i="2"/>
  <c r="R211" i="2"/>
  <c r="Q211" i="2"/>
  <c r="P211" i="2"/>
  <c r="O211" i="2"/>
  <c r="N211" i="2"/>
  <c r="M211" i="2"/>
  <c r="L211" i="2"/>
  <c r="G211" i="2"/>
  <c r="K211" i="2"/>
  <c r="W211" i="2"/>
  <c r="J211" i="2"/>
  <c r="I211" i="2"/>
  <c r="AB211" i="2"/>
  <c r="H211" i="2"/>
  <c r="D9" i="17"/>
  <c r="B7" i="13"/>
  <c r="E7" i="14"/>
  <c r="E6" i="15"/>
  <c r="C10" i="16"/>
  <c r="C6" i="6"/>
  <c r="C6" i="18"/>
  <c r="B6" i="11"/>
  <c r="B5" i="11"/>
  <c r="B6" i="13"/>
  <c r="C5" i="6"/>
  <c r="E5" i="15"/>
  <c r="D8" i="17"/>
  <c r="C5" i="18"/>
  <c r="E6" i="14"/>
  <c r="C9" i="16"/>
  <c r="R34" i="3"/>
  <c r="R40" i="3" s="1"/>
  <c r="F35" i="3"/>
  <c r="F36" i="3" s="1"/>
  <c r="Q25" i="3"/>
  <c r="Q24" i="3" s="1"/>
  <c r="P25" i="3"/>
  <c r="P24" i="3" s="1"/>
  <c r="O25" i="3"/>
  <c r="O24" i="3" s="1"/>
  <c r="N25" i="3"/>
  <c r="N24" i="3" s="1"/>
  <c r="M25" i="3"/>
  <c r="M24" i="3" s="1"/>
  <c r="L25" i="3"/>
  <c r="L24" i="3" s="1"/>
  <c r="K25" i="3"/>
  <c r="K24" i="3" s="1"/>
  <c r="J25" i="3"/>
  <c r="J24" i="3" s="1"/>
  <c r="I25" i="3"/>
  <c r="I24" i="3" s="1"/>
  <c r="H25" i="3"/>
  <c r="H24" i="3" s="1"/>
  <c r="G25" i="3"/>
  <c r="G24" i="3" s="1"/>
  <c r="F18" i="3"/>
  <c r="G18" i="3" s="1"/>
  <c r="H18" i="3" s="1"/>
  <c r="I18" i="3" s="1"/>
  <c r="J18" i="3" s="1"/>
  <c r="K18" i="3" s="1"/>
  <c r="L18" i="3" s="1"/>
  <c r="M18" i="3" s="1"/>
  <c r="N18" i="3" s="1"/>
  <c r="O18" i="3" s="1"/>
  <c r="P18" i="3" s="1"/>
  <c r="Q18" i="3" s="1"/>
  <c r="F25" i="3"/>
  <c r="F26" i="3" s="1"/>
  <c r="G236" i="8"/>
  <c r="B195" i="6"/>
  <c r="J13" i="25" l="1"/>
  <c r="J34" i="25" s="1"/>
  <c r="J32" i="25"/>
  <c r="G32" i="25"/>
  <c r="G13" i="25"/>
  <c r="G34" i="25" s="1"/>
  <c r="G33" i="25" s="1"/>
  <c r="E32" i="25"/>
  <c r="E13" i="25"/>
  <c r="E34" i="25" s="1"/>
  <c r="E33" i="25" s="1"/>
  <c r="B271" i="12"/>
  <c r="B272" i="12"/>
  <c r="B273" i="12"/>
  <c r="B274" i="12"/>
  <c r="B275" i="12"/>
  <c r="B276" i="12"/>
  <c r="B277" i="12"/>
  <c r="B278" i="12"/>
  <c r="B279" i="12"/>
  <c r="B280" i="12"/>
  <c r="B281" i="12"/>
  <c r="B282" i="12"/>
  <c r="B283" i="12"/>
  <c r="B284" i="12"/>
  <c r="B285" i="12"/>
  <c r="B286" i="12"/>
  <c r="B287" i="12"/>
  <c r="B288" i="12"/>
  <c r="B289" i="12"/>
  <c r="B290" i="12"/>
  <c r="B291" i="12"/>
  <c r="B292" i="12"/>
  <c r="B293" i="12"/>
  <c r="B294" i="12"/>
  <c r="B295" i="12"/>
  <c r="B296" i="12"/>
  <c r="B297" i="12"/>
  <c r="B298" i="12"/>
  <c r="B299" i="12"/>
  <c r="B300" i="12"/>
  <c r="B301" i="12"/>
  <c r="B302" i="12"/>
  <c r="B303" i="12"/>
  <c r="B304" i="12"/>
  <c r="B305" i="12"/>
  <c r="B306" i="12"/>
  <c r="B307" i="12"/>
  <c r="B308" i="12"/>
  <c r="B309" i="12"/>
  <c r="B310" i="12"/>
  <c r="B311" i="12"/>
  <c r="B312" i="12"/>
  <c r="B313" i="12"/>
  <c r="B314" i="12"/>
  <c r="B315" i="12"/>
  <c r="B316" i="12"/>
  <c r="B317" i="12"/>
  <c r="B318" i="12"/>
  <c r="B319" i="12"/>
  <c r="B320" i="12"/>
  <c r="B321" i="12"/>
  <c r="B322" i="12"/>
  <c r="B323" i="12"/>
  <c r="B324" i="12"/>
  <c r="B325" i="12"/>
  <c r="B326" i="12"/>
  <c r="B327" i="12"/>
  <c r="B328" i="12"/>
  <c r="B329" i="12"/>
  <c r="B330" i="12"/>
  <c r="B331" i="12"/>
  <c r="B332" i="12"/>
  <c r="B333" i="12"/>
  <c r="B334" i="12"/>
  <c r="B335" i="12"/>
  <c r="B336" i="12"/>
  <c r="B337" i="12"/>
  <c r="B338" i="12"/>
  <c r="B339" i="12"/>
  <c r="B340" i="12"/>
  <c r="B341" i="12"/>
  <c r="B342" i="12"/>
  <c r="B343" i="12"/>
  <c r="B344" i="12"/>
  <c r="B345" i="12"/>
  <c r="B346" i="12"/>
  <c r="B347" i="12"/>
  <c r="B348" i="12"/>
  <c r="B349" i="12"/>
  <c r="B350" i="12"/>
  <c r="B351" i="12"/>
  <c r="B352" i="12"/>
  <c r="B353" i="12"/>
  <c r="B354" i="12"/>
  <c r="B355" i="12"/>
  <c r="B356" i="12"/>
  <c r="B357" i="12"/>
  <c r="B358" i="12"/>
  <c r="B359" i="12"/>
  <c r="B360" i="12"/>
  <c r="B361" i="12"/>
  <c r="B362" i="12"/>
  <c r="B363" i="12"/>
  <c r="B364" i="12"/>
  <c r="B365" i="12"/>
  <c r="B366" i="12"/>
  <c r="B367" i="12"/>
  <c r="B368" i="12"/>
  <c r="B369" i="12"/>
  <c r="B370" i="12"/>
  <c r="B371" i="12"/>
  <c r="B490" i="12"/>
  <c r="B491" i="12"/>
  <c r="B492" i="12"/>
  <c r="B493" i="12"/>
  <c r="B494" i="12"/>
  <c r="B495" i="12"/>
  <c r="B496" i="12"/>
  <c r="B497" i="12"/>
  <c r="B498" i="12"/>
  <c r="B499" i="12"/>
  <c r="B500" i="12"/>
  <c r="B501" i="12"/>
  <c r="B502" i="12"/>
  <c r="B503" i="12"/>
  <c r="B504" i="12"/>
  <c r="B505" i="12"/>
  <c r="B506" i="12"/>
  <c r="B507" i="12"/>
  <c r="B508" i="12"/>
  <c r="B509" i="12"/>
  <c r="B510" i="12"/>
  <c r="B511" i="12"/>
  <c r="B512" i="12"/>
  <c r="B513" i="12"/>
  <c r="B514" i="12"/>
  <c r="B515" i="12"/>
  <c r="B516" i="12"/>
  <c r="B376" i="12"/>
  <c r="B377" i="12"/>
  <c r="B382" i="12"/>
  <c r="B383" i="12"/>
  <c r="B385" i="12"/>
  <c r="B386" i="12"/>
  <c r="B387" i="12"/>
  <c r="B390" i="12"/>
  <c r="B412" i="12"/>
  <c r="B413" i="12"/>
  <c r="B417" i="12"/>
  <c r="B418" i="12"/>
  <c r="B419" i="12"/>
  <c r="B422" i="12"/>
  <c r="B425" i="12"/>
  <c r="B427" i="12"/>
  <c r="B431" i="12"/>
  <c r="B434" i="12"/>
  <c r="B438" i="12"/>
  <c r="B445" i="12"/>
  <c r="B447" i="12"/>
  <c r="B452" i="12"/>
  <c r="B453" i="12"/>
  <c r="B456" i="12"/>
  <c r="B465" i="12"/>
  <c r="B468" i="12"/>
  <c r="B476" i="12"/>
  <c r="B478" i="12"/>
  <c r="B479" i="12"/>
  <c r="B483" i="12"/>
  <c r="B484" i="12"/>
  <c r="B485" i="12"/>
  <c r="B486" i="12"/>
  <c r="B487" i="12"/>
  <c r="B488" i="12"/>
  <c r="B489" i="12"/>
  <c r="B517" i="12"/>
  <c r="B518" i="12"/>
  <c r="B519" i="12"/>
  <c r="B520" i="12"/>
  <c r="B373" i="12"/>
  <c r="B379" i="12"/>
  <c r="B380" i="12"/>
  <c r="B384" i="12"/>
  <c r="B388" i="12"/>
  <c r="B389" i="12"/>
  <c r="B394" i="12"/>
  <c r="B395" i="12"/>
  <c r="B398" i="12"/>
  <c r="B400" i="12"/>
  <c r="B401" i="12"/>
  <c r="B402" i="12"/>
  <c r="B404" i="12"/>
  <c r="B405" i="12"/>
  <c r="B406" i="12"/>
  <c r="B407" i="12"/>
  <c r="B408" i="12"/>
  <c r="B410" i="12"/>
  <c r="B416" i="12"/>
  <c r="B421" i="12"/>
  <c r="B426" i="12"/>
  <c r="B429" i="12"/>
  <c r="B432" i="12"/>
  <c r="B446" i="12"/>
  <c r="B448" i="12"/>
  <c r="B450" i="12"/>
  <c r="B451" i="12"/>
  <c r="B454" i="12"/>
  <c r="B459" i="12"/>
  <c r="B461" i="12"/>
  <c r="B462" i="12"/>
  <c r="B463" i="12"/>
  <c r="B472" i="12"/>
  <c r="B473" i="12"/>
  <c r="B474" i="12"/>
  <c r="B477" i="12"/>
  <c r="B480" i="12"/>
  <c r="B481" i="12"/>
  <c r="B482" i="12"/>
  <c r="B372" i="12"/>
  <c r="B374" i="12"/>
  <c r="B375" i="12"/>
  <c r="B378" i="12"/>
  <c r="B381" i="12"/>
  <c r="B391" i="12"/>
  <c r="B392" i="12"/>
  <c r="B393" i="12"/>
  <c r="B396" i="12"/>
  <c r="B397" i="12"/>
  <c r="B399" i="12"/>
  <c r="B403" i="12"/>
  <c r="B409" i="12"/>
  <c r="B411" i="12"/>
  <c r="B414" i="12"/>
  <c r="B415" i="12"/>
  <c r="B420" i="12"/>
  <c r="B423" i="12"/>
  <c r="B424" i="12"/>
  <c r="B428" i="12"/>
  <c r="B430" i="12"/>
  <c r="B433" i="12"/>
  <c r="B435" i="12"/>
  <c r="B436" i="12"/>
  <c r="B437" i="12"/>
  <c r="B439" i="12"/>
  <c r="B440" i="12"/>
  <c r="B441" i="12"/>
  <c r="B442" i="12"/>
  <c r="B443" i="12"/>
  <c r="B444" i="12"/>
  <c r="B449" i="12"/>
  <c r="B455" i="12"/>
  <c r="B457" i="12"/>
  <c r="B458" i="12"/>
  <c r="B460" i="12"/>
  <c r="B464" i="12"/>
  <c r="B466" i="12"/>
  <c r="B467" i="12"/>
  <c r="B469" i="12"/>
  <c r="B470" i="12"/>
  <c r="B471" i="12"/>
  <c r="B475" i="12"/>
  <c r="D165" i="6"/>
  <c r="M150" i="6"/>
  <c r="H119" i="6"/>
  <c r="F175" i="6"/>
  <c r="F176" i="6"/>
  <c r="F177" i="6"/>
  <c r="F178" i="6"/>
  <c r="F179" i="6"/>
  <c r="F180" i="6"/>
  <c r="F181" i="6"/>
  <c r="F183" i="6"/>
  <c r="F184" i="6"/>
  <c r="F185" i="6"/>
  <c r="F186" i="6"/>
  <c r="F187" i="6"/>
  <c r="F188" i="6"/>
  <c r="F189" i="6"/>
  <c r="F190" i="6"/>
  <c r="F191" i="6"/>
  <c r="F192" i="6"/>
  <c r="F193" i="6"/>
  <c r="I160" i="6"/>
  <c r="F182" i="6"/>
  <c r="M157" i="6"/>
  <c r="G158" i="6"/>
  <c r="M61" i="6"/>
  <c r="G100" i="6"/>
  <c r="G35" i="3"/>
  <c r="H35" i="3"/>
  <c r="I35" i="3"/>
  <c r="J35" i="3"/>
  <c r="K35" i="3"/>
  <c r="L35" i="3"/>
  <c r="M35" i="3"/>
  <c r="N35" i="3"/>
  <c r="O35" i="3"/>
  <c r="P35" i="3"/>
  <c r="Q35" i="3"/>
  <c r="F38" i="3"/>
  <c r="F39" i="3" s="1"/>
  <c r="G38" i="3"/>
  <c r="H38" i="3"/>
  <c r="I38" i="3"/>
  <c r="J38" i="3"/>
  <c r="K38" i="3"/>
  <c r="L38" i="3"/>
  <c r="M38" i="3"/>
  <c r="N38" i="3"/>
  <c r="O38" i="3"/>
  <c r="P38" i="3"/>
  <c r="Q38" i="3"/>
  <c r="H129" i="4"/>
  <c r="D137" i="4"/>
  <c r="AE234" i="2"/>
  <c r="AE235" i="2"/>
  <c r="AF235" i="2" s="1"/>
  <c r="H230" i="2"/>
  <c r="G234" i="2"/>
  <c r="U219" i="2"/>
  <c r="U218" i="2" s="1"/>
  <c r="AE100" i="2"/>
  <c r="F87" i="2"/>
  <c r="AD219" i="2"/>
  <c r="AD218" i="2" s="1"/>
  <c r="AC219" i="2"/>
  <c r="AC218" i="2" s="1"/>
  <c r="AA219" i="2"/>
  <c r="AA218" i="2" s="1"/>
  <c r="Z219" i="2"/>
  <c r="Z218" i="2" s="1"/>
  <c r="Y219" i="2"/>
  <c r="Y218" i="2" s="1"/>
  <c r="X219" i="2"/>
  <c r="X218" i="2" s="1"/>
  <c r="V219" i="2"/>
  <c r="V218" i="2" s="1"/>
  <c r="T219" i="2"/>
  <c r="T218" i="2" s="1"/>
  <c r="S219" i="2"/>
  <c r="S218" i="2" s="1"/>
  <c r="R219" i="2"/>
  <c r="R218" i="2" s="1"/>
  <c r="Q219" i="2"/>
  <c r="Q218" i="2" s="1"/>
  <c r="P219" i="2"/>
  <c r="P218" i="2" s="1"/>
  <c r="O219" i="2"/>
  <c r="O218" i="2" s="1"/>
  <c r="N219" i="2"/>
  <c r="N218" i="2" s="1"/>
  <c r="M219" i="2"/>
  <c r="M218" i="2" s="1"/>
  <c r="L219" i="2"/>
  <c r="L218" i="2" s="1"/>
  <c r="G212" i="2"/>
  <c r="G219" i="2"/>
  <c r="K219" i="2"/>
  <c r="K218" i="2" s="1"/>
  <c r="W219" i="2"/>
  <c r="W218" i="2" s="1"/>
  <c r="J219" i="2"/>
  <c r="J218" i="2" s="1"/>
  <c r="I219" i="2"/>
  <c r="I218" i="2" s="1"/>
  <c r="AB219" i="2"/>
  <c r="AB218" i="2" s="1"/>
  <c r="H212" i="2"/>
  <c r="I212" i="2" s="1"/>
  <c r="J212" i="2" s="1"/>
  <c r="K212" i="2" s="1"/>
  <c r="L212" i="2" s="1"/>
  <c r="M212" i="2" s="1"/>
  <c r="N212" i="2" s="1"/>
  <c r="O212" i="2" s="1"/>
  <c r="P212" i="2" s="1"/>
  <c r="Q212" i="2" s="1"/>
  <c r="R212" i="2" s="1"/>
  <c r="S212" i="2" s="1"/>
  <c r="T212" i="2" s="1"/>
  <c r="U212" i="2" s="1"/>
  <c r="V212" i="2" s="1"/>
  <c r="W212" i="2" s="1"/>
  <c r="X212" i="2" s="1"/>
  <c r="Y212" i="2" s="1"/>
  <c r="Z212" i="2" s="1"/>
  <c r="AA212" i="2" s="1"/>
  <c r="AB212" i="2" s="1"/>
  <c r="AC212" i="2" s="1"/>
  <c r="AD212" i="2" s="1"/>
  <c r="H219" i="2"/>
  <c r="H218" i="2" s="1"/>
  <c r="G36" i="3"/>
  <c r="F40" i="3"/>
  <c r="F241" i="8"/>
  <c r="G238" i="8"/>
  <c r="F244" i="8"/>
  <c r="G237" i="8"/>
  <c r="G29" i="3"/>
  <c r="H29" i="3" s="1"/>
  <c r="I29" i="3" s="1"/>
  <c r="J29" i="3" s="1"/>
  <c r="K29" i="3" s="1"/>
  <c r="L29" i="3" s="1"/>
  <c r="M29" i="3" s="1"/>
  <c r="N29" i="3" s="1"/>
  <c r="O29" i="3" s="1"/>
  <c r="P29" i="3" s="1"/>
  <c r="Q29" i="3" s="1"/>
  <c r="H233" i="2"/>
  <c r="I233" i="2" s="1"/>
  <c r="J233" i="2" s="1"/>
  <c r="K233" i="2" s="1"/>
  <c r="L233" i="2" s="1"/>
  <c r="M233" i="2" s="1"/>
  <c r="N233" i="2" s="1"/>
  <c r="O233" i="2" s="1"/>
  <c r="P233" i="2" s="1"/>
  <c r="Q233" i="2" s="1"/>
  <c r="R233" i="2" s="1"/>
  <c r="S233" i="2" s="1"/>
  <c r="T233" i="2" s="1"/>
  <c r="U233" i="2" s="1"/>
  <c r="V233" i="2" s="1"/>
  <c r="W233" i="2" s="1"/>
  <c r="X233" i="2" s="1"/>
  <c r="Y233" i="2" s="1"/>
  <c r="Z233" i="2" s="1"/>
  <c r="AA233" i="2" s="1"/>
  <c r="AB233" i="2" s="1"/>
  <c r="AC233" i="2" s="1"/>
  <c r="AD233" i="2" s="1"/>
  <c r="G26" i="3"/>
  <c r="H26" i="3" s="1"/>
  <c r="I26" i="3" s="1"/>
  <c r="J26" i="3" s="1"/>
  <c r="K26" i="3" s="1"/>
  <c r="L26" i="3" s="1"/>
  <c r="M26" i="3" s="1"/>
  <c r="N26" i="3" s="1"/>
  <c r="O26" i="3" s="1"/>
  <c r="P26" i="3" s="1"/>
  <c r="Q26" i="3" s="1"/>
  <c r="D28" i="25"/>
  <c r="D29" i="25" s="1"/>
  <c r="I28" i="25"/>
  <c r="I29" i="25" s="1"/>
  <c r="H28" i="25"/>
  <c r="H29" i="25" s="1"/>
  <c r="F28" i="25"/>
  <c r="F29" i="25" s="1"/>
  <c r="C28" i="25"/>
  <c r="C29" i="25" s="1"/>
  <c r="I45" i="14"/>
  <c r="I46" i="14"/>
  <c r="E66" i="11"/>
  <c r="H135" i="6"/>
  <c r="H134" i="6"/>
  <c r="H133" i="6"/>
  <c r="H132" i="6"/>
  <c r="H131" i="6"/>
  <c r="H130" i="6"/>
  <c r="H129" i="6"/>
  <c r="H128" i="6"/>
  <c r="H127" i="6"/>
  <c r="H126" i="6"/>
  <c r="H125" i="6"/>
  <c r="H124" i="6"/>
  <c r="H123" i="6"/>
  <c r="H122" i="6"/>
  <c r="H115" i="6"/>
  <c r="H114" i="6"/>
  <c r="H113" i="6"/>
  <c r="H112" i="6"/>
  <c r="H111" i="6"/>
  <c r="H110" i="6"/>
  <c r="H109" i="6"/>
  <c r="H108" i="6"/>
  <c r="H107" i="6"/>
  <c r="H106" i="6"/>
  <c r="H105" i="6"/>
  <c r="H116" i="6"/>
  <c r="H118" i="6"/>
  <c r="H120" i="6"/>
  <c r="H121" i="6"/>
  <c r="H117" i="6"/>
  <c r="D138" i="4"/>
  <c r="H105" i="4"/>
  <c r="H104" i="4"/>
  <c r="H101" i="4"/>
  <c r="H97" i="4"/>
  <c r="H96" i="4"/>
  <c r="H95" i="4"/>
  <c r="H93" i="4"/>
  <c r="H90" i="4"/>
  <c r="H85" i="4"/>
  <c r="H89" i="4"/>
  <c r="H88" i="4"/>
  <c r="H87" i="4"/>
  <c r="H84" i="4"/>
  <c r="H110" i="4"/>
  <c r="H125" i="4"/>
  <c r="H124" i="4"/>
  <c r="H123" i="4"/>
  <c r="H122" i="4"/>
  <c r="H121" i="4"/>
  <c r="H120" i="4"/>
  <c r="H119" i="4"/>
  <c r="H118" i="4"/>
  <c r="H117" i="4"/>
  <c r="H116" i="4"/>
  <c r="H115" i="4"/>
  <c r="H114" i="4"/>
  <c r="H113" i="4"/>
  <c r="H112" i="4"/>
  <c r="H111" i="4"/>
  <c r="H86" i="4"/>
  <c r="H109" i="4"/>
  <c r="H108" i="4"/>
  <c r="H107" i="4"/>
  <c r="H106" i="4"/>
  <c r="H103" i="4"/>
  <c r="H102" i="4"/>
  <c r="H100" i="4"/>
  <c r="H99" i="4"/>
  <c r="H98" i="4"/>
  <c r="H94" i="4"/>
  <c r="H92" i="4"/>
  <c r="H91" i="4"/>
  <c r="H51" i="4"/>
  <c r="H14" i="4"/>
  <c r="H13" i="4"/>
  <c r="H12" i="4"/>
  <c r="H11" i="4"/>
  <c r="H54" i="4"/>
  <c r="H79" i="4" s="1"/>
  <c r="H45" i="4"/>
  <c r="H50" i="4"/>
  <c r="H49" i="4"/>
  <c r="H48" i="4"/>
  <c r="H47" i="4"/>
  <c r="H46" i="4"/>
  <c r="H20" i="4"/>
  <c r="H44" i="4"/>
  <c r="H43" i="4"/>
  <c r="H42" i="4"/>
  <c r="H41" i="4"/>
  <c r="H40" i="4"/>
  <c r="H39" i="4"/>
  <c r="H38" i="4"/>
  <c r="H37" i="4"/>
  <c r="H30" i="4"/>
  <c r="H35" i="4"/>
  <c r="H34" i="4"/>
  <c r="H33" i="4"/>
  <c r="H32" i="4"/>
  <c r="H31" i="4"/>
  <c r="H24" i="4"/>
  <c r="H29" i="4"/>
  <c r="H28" i="4"/>
  <c r="H27" i="4"/>
  <c r="H26" i="4"/>
  <c r="H25" i="4"/>
  <c r="H23" i="4"/>
  <c r="H22" i="4"/>
  <c r="H21" i="4"/>
  <c r="H36" i="4"/>
  <c r="H19" i="4"/>
  <c r="H18" i="4"/>
  <c r="H17" i="4"/>
  <c r="H16" i="4"/>
  <c r="H15" i="4"/>
  <c r="G41" i="25" l="1"/>
  <c r="G43" i="25"/>
  <c r="G42" i="25"/>
  <c r="E41" i="25"/>
  <c r="E42" i="25"/>
  <c r="E43" i="25"/>
  <c r="C271" i="12"/>
  <c r="D271" i="12"/>
  <c r="G271" i="12"/>
  <c r="H271" i="12"/>
  <c r="I271" i="12"/>
  <c r="K271" i="12"/>
  <c r="M271" i="12"/>
  <c r="N271" i="12"/>
  <c r="O271" i="12"/>
  <c r="L271" i="12" s="1"/>
  <c r="P271" i="12"/>
  <c r="A271" i="12" s="1"/>
  <c r="C272" i="12"/>
  <c r="D272" i="12"/>
  <c r="G272" i="12"/>
  <c r="H272" i="12"/>
  <c r="I272" i="12"/>
  <c r="K272" i="12"/>
  <c r="M272" i="12"/>
  <c r="N272" i="12"/>
  <c r="O272" i="12"/>
  <c r="L272" i="12" s="1"/>
  <c r="P272" i="12"/>
  <c r="A272" i="12" s="1"/>
  <c r="C273" i="12"/>
  <c r="D273" i="12"/>
  <c r="G273" i="12"/>
  <c r="H273" i="12"/>
  <c r="I273" i="12"/>
  <c r="K273" i="12"/>
  <c r="M273" i="12"/>
  <c r="N273" i="12"/>
  <c r="O273" i="12"/>
  <c r="L273" i="12" s="1"/>
  <c r="P273" i="12"/>
  <c r="A273" i="12" s="1"/>
  <c r="C274" i="12"/>
  <c r="D274" i="12"/>
  <c r="G274" i="12"/>
  <c r="H274" i="12"/>
  <c r="I274" i="12"/>
  <c r="K274" i="12"/>
  <c r="M274" i="12"/>
  <c r="N274" i="12"/>
  <c r="O274" i="12"/>
  <c r="L274" i="12" s="1"/>
  <c r="P274" i="12"/>
  <c r="A274" i="12" s="1"/>
  <c r="C275" i="12"/>
  <c r="D275" i="12"/>
  <c r="G275" i="12"/>
  <c r="H275" i="12"/>
  <c r="I275" i="12"/>
  <c r="K275" i="12"/>
  <c r="M275" i="12"/>
  <c r="N275" i="12"/>
  <c r="O275" i="12"/>
  <c r="L275" i="12" s="1"/>
  <c r="P275" i="12"/>
  <c r="A275" i="12" s="1"/>
  <c r="C276" i="12"/>
  <c r="D276" i="12"/>
  <c r="G276" i="12"/>
  <c r="H276" i="12"/>
  <c r="I276" i="12"/>
  <c r="K276" i="12"/>
  <c r="M276" i="12"/>
  <c r="N276" i="12"/>
  <c r="O276" i="12"/>
  <c r="L276" i="12" s="1"/>
  <c r="P276" i="12"/>
  <c r="A276" i="12" s="1"/>
  <c r="C277" i="12"/>
  <c r="D277" i="12"/>
  <c r="G277" i="12"/>
  <c r="H277" i="12"/>
  <c r="I277" i="12"/>
  <c r="K277" i="12"/>
  <c r="M277" i="12"/>
  <c r="N277" i="12"/>
  <c r="O277" i="12"/>
  <c r="L277" i="12" s="1"/>
  <c r="P277" i="12"/>
  <c r="A277" i="12" s="1"/>
  <c r="C278" i="12"/>
  <c r="D278" i="12"/>
  <c r="G278" i="12"/>
  <c r="H278" i="12"/>
  <c r="I278" i="12"/>
  <c r="K278" i="12"/>
  <c r="M278" i="12"/>
  <c r="N278" i="12"/>
  <c r="O278" i="12"/>
  <c r="L278" i="12" s="1"/>
  <c r="P278" i="12"/>
  <c r="A278" i="12" s="1"/>
  <c r="C279" i="12"/>
  <c r="D279" i="12"/>
  <c r="G279" i="12"/>
  <c r="H279" i="12"/>
  <c r="I279" i="12"/>
  <c r="K279" i="12"/>
  <c r="M279" i="12"/>
  <c r="N279" i="12"/>
  <c r="O279" i="12"/>
  <c r="L279" i="12" s="1"/>
  <c r="P279" i="12"/>
  <c r="A279" i="12" s="1"/>
  <c r="C280" i="12"/>
  <c r="D280" i="12"/>
  <c r="G280" i="12"/>
  <c r="H280" i="12"/>
  <c r="I280" i="12"/>
  <c r="K280" i="12"/>
  <c r="M280" i="12"/>
  <c r="N280" i="12"/>
  <c r="O280" i="12"/>
  <c r="L280" i="12" s="1"/>
  <c r="P280" i="12"/>
  <c r="A280" i="12" s="1"/>
  <c r="C281" i="12"/>
  <c r="D281" i="12"/>
  <c r="G281" i="12"/>
  <c r="H281" i="12"/>
  <c r="I281" i="12"/>
  <c r="K281" i="12"/>
  <c r="M281" i="12"/>
  <c r="N281" i="12"/>
  <c r="O281" i="12"/>
  <c r="L281" i="12" s="1"/>
  <c r="P281" i="12"/>
  <c r="A281" i="12" s="1"/>
  <c r="C282" i="12"/>
  <c r="D282" i="12"/>
  <c r="G282" i="12"/>
  <c r="H282" i="12"/>
  <c r="I282" i="12"/>
  <c r="K282" i="12"/>
  <c r="M282" i="12"/>
  <c r="N282" i="12"/>
  <c r="O282" i="12"/>
  <c r="L282" i="12" s="1"/>
  <c r="P282" i="12"/>
  <c r="A282" i="12" s="1"/>
  <c r="C283" i="12"/>
  <c r="D283" i="12"/>
  <c r="G283" i="12"/>
  <c r="H283" i="12"/>
  <c r="I283" i="12"/>
  <c r="K283" i="12"/>
  <c r="M283" i="12"/>
  <c r="N283" i="12"/>
  <c r="O283" i="12"/>
  <c r="L283" i="12" s="1"/>
  <c r="P283" i="12"/>
  <c r="A283" i="12" s="1"/>
  <c r="C284" i="12"/>
  <c r="D284" i="12"/>
  <c r="G284" i="12"/>
  <c r="H284" i="12"/>
  <c r="I284" i="12"/>
  <c r="K284" i="12"/>
  <c r="M284" i="12"/>
  <c r="N284" i="12"/>
  <c r="O284" i="12"/>
  <c r="L284" i="12" s="1"/>
  <c r="P284" i="12"/>
  <c r="A284" i="12" s="1"/>
  <c r="C285" i="12"/>
  <c r="D285" i="12"/>
  <c r="G285" i="12"/>
  <c r="H285" i="12"/>
  <c r="I285" i="12"/>
  <c r="K285" i="12"/>
  <c r="M285" i="12"/>
  <c r="N285" i="12"/>
  <c r="O285" i="12"/>
  <c r="L285" i="12" s="1"/>
  <c r="P285" i="12"/>
  <c r="A285" i="12" s="1"/>
  <c r="C286" i="12"/>
  <c r="D286" i="12"/>
  <c r="G286" i="12"/>
  <c r="H286" i="12"/>
  <c r="I286" i="12"/>
  <c r="K286" i="12"/>
  <c r="M286" i="12"/>
  <c r="N286" i="12"/>
  <c r="O286" i="12"/>
  <c r="L286" i="12" s="1"/>
  <c r="P286" i="12"/>
  <c r="A286" i="12" s="1"/>
  <c r="C287" i="12"/>
  <c r="D287" i="12"/>
  <c r="G287" i="12"/>
  <c r="H287" i="12"/>
  <c r="I287" i="12"/>
  <c r="K287" i="12"/>
  <c r="M287" i="12"/>
  <c r="N287" i="12"/>
  <c r="O287" i="12"/>
  <c r="L287" i="12" s="1"/>
  <c r="P287" i="12"/>
  <c r="A287" i="12" s="1"/>
  <c r="C288" i="12"/>
  <c r="D288" i="12"/>
  <c r="G288" i="12"/>
  <c r="H288" i="12"/>
  <c r="I288" i="12"/>
  <c r="K288" i="12"/>
  <c r="M288" i="12"/>
  <c r="N288" i="12"/>
  <c r="O288" i="12"/>
  <c r="L288" i="12" s="1"/>
  <c r="P288" i="12"/>
  <c r="A288" i="12" s="1"/>
  <c r="C289" i="12"/>
  <c r="D289" i="12"/>
  <c r="G289" i="12"/>
  <c r="H289" i="12"/>
  <c r="I289" i="12"/>
  <c r="K289" i="12"/>
  <c r="M289" i="12"/>
  <c r="N289" i="12"/>
  <c r="O289" i="12"/>
  <c r="L289" i="12" s="1"/>
  <c r="P289" i="12"/>
  <c r="A289" i="12" s="1"/>
  <c r="C290" i="12"/>
  <c r="D290" i="12"/>
  <c r="G290" i="12"/>
  <c r="H290" i="12"/>
  <c r="I290" i="12"/>
  <c r="K290" i="12"/>
  <c r="M290" i="12"/>
  <c r="N290" i="12"/>
  <c r="O290" i="12"/>
  <c r="L290" i="12" s="1"/>
  <c r="P290" i="12"/>
  <c r="A290" i="12" s="1"/>
  <c r="C291" i="12"/>
  <c r="D291" i="12"/>
  <c r="G291" i="12"/>
  <c r="H291" i="12"/>
  <c r="I291" i="12"/>
  <c r="K291" i="12"/>
  <c r="M291" i="12"/>
  <c r="N291" i="12"/>
  <c r="O291" i="12"/>
  <c r="L291" i="12" s="1"/>
  <c r="P291" i="12"/>
  <c r="A291" i="12" s="1"/>
  <c r="C292" i="12"/>
  <c r="D292" i="12"/>
  <c r="G292" i="12"/>
  <c r="H292" i="12"/>
  <c r="I292" i="12"/>
  <c r="K292" i="12"/>
  <c r="M292" i="12"/>
  <c r="N292" i="12"/>
  <c r="O292" i="12"/>
  <c r="L292" i="12" s="1"/>
  <c r="P292" i="12"/>
  <c r="A292" i="12" s="1"/>
  <c r="C293" i="12"/>
  <c r="D293" i="12"/>
  <c r="G293" i="12"/>
  <c r="H293" i="12"/>
  <c r="I293" i="12"/>
  <c r="K293" i="12"/>
  <c r="M293" i="12"/>
  <c r="N293" i="12"/>
  <c r="O293" i="12"/>
  <c r="L293" i="12" s="1"/>
  <c r="P293" i="12"/>
  <c r="A293" i="12" s="1"/>
  <c r="C294" i="12"/>
  <c r="D294" i="12"/>
  <c r="G294" i="12"/>
  <c r="H294" i="12"/>
  <c r="I294" i="12"/>
  <c r="K294" i="12"/>
  <c r="M294" i="12"/>
  <c r="N294" i="12"/>
  <c r="O294" i="12"/>
  <c r="L294" i="12" s="1"/>
  <c r="P294" i="12"/>
  <c r="A294" i="12" s="1"/>
  <c r="C295" i="12"/>
  <c r="D295" i="12"/>
  <c r="G295" i="12"/>
  <c r="H295" i="12"/>
  <c r="I295" i="12"/>
  <c r="K295" i="12"/>
  <c r="M295" i="12"/>
  <c r="N295" i="12"/>
  <c r="O295" i="12"/>
  <c r="L295" i="12" s="1"/>
  <c r="P295" i="12"/>
  <c r="A295" i="12" s="1"/>
  <c r="C296" i="12"/>
  <c r="D296" i="12"/>
  <c r="G296" i="12"/>
  <c r="H296" i="12"/>
  <c r="I296" i="12"/>
  <c r="K296" i="12"/>
  <c r="M296" i="12"/>
  <c r="N296" i="12"/>
  <c r="O296" i="12"/>
  <c r="L296" i="12" s="1"/>
  <c r="P296" i="12"/>
  <c r="A296" i="12" s="1"/>
  <c r="C297" i="12"/>
  <c r="D297" i="12"/>
  <c r="G297" i="12"/>
  <c r="H297" i="12"/>
  <c r="I297" i="12"/>
  <c r="K297" i="12"/>
  <c r="M297" i="12"/>
  <c r="N297" i="12"/>
  <c r="O297" i="12"/>
  <c r="L297" i="12" s="1"/>
  <c r="P297" i="12"/>
  <c r="A297" i="12" s="1"/>
  <c r="C298" i="12"/>
  <c r="D298" i="12"/>
  <c r="G298" i="12"/>
  <c r="H298" i="12"/>
  <c r="I298" i="12"/>
  <c r="K298" i="12"/>
  <c r="M298" i="12"/>
  <c r="N298" i="12"/>
  <c r="O298" i="12"/>
  <c r="L298" i="12" s="1"/>
  <c r="P298" i="12"/>
  <c r="A298" i="12" s="1"/>
  <c r="C299" i="12"/>
  <c r="D299" i="12"/>
  <c r="G299" i="12"/>
  <c r="H299" i="12"/>
  <c r="I299" i="12"/>
  <c r="K299" i="12"/>
  <c r="M299" i="12"/>
  <c r="N299" i="12"/>
  <c r="O299" i="12"/>
  <c r="L299" i="12" s="1"/>
  <c r="P299" i="12"/>
  <c r="A299" i="12" s="1"/>
  <c r="C300" i="12"/>
  <c r="D300" i="12"/>
  <c r="G300" i="12"/>
  <c r="H300" i="12"/>
  <c r="I300" i="12"/>
  <c r="K300" i="12"/>
  <c r="M300" i="12"/>
  <c r="N300" i="12"/>
  <c r="O300" i="12"/>
  <c r="L300" i="12" s="1"/>
  <c r="P300" i="12"/>
  <c r="A300" i="12" s="1"/>
  <c r="C301" i="12"/>
  <c r="D301" i="12"/>
  <c r="G301" i="12"/>
  <c r="H301" i="12"/>
  <c r="I301" i="12"/>
  <c r="K301" i="12"/>
  <c r="M301" i="12"/>
  <c r="N301" i="12"/>
  <c r="O301" i="12"/>
  <c r="L301" i="12" s="1"/>
  <c r="P301" i="12"/>
  <c r="A301" i="12" s="1"/>
  <c r="C302" i="12"/>
  <c r="D302" i="12"/>
  <c r="G302" i="12"/>
  <c r="H302" i="12"/>
  <c r="I302" i="12"/>
  <c r="K302" i="12"/>
  <c r="M302" i="12"/>
  <c r="N302" i="12"/>
  <c r="O302" i="12"/>
  <c r="L302" i="12" s="1"/>
  <c r="P302" i="12"/>
  <c r="A302" i="12" s="1"/>
  <c r="C303" i="12"/>
  <c r="D303" i="12"/>
  <c r="G303" i="12"/>
  <c r="H303" i="12"/>
  <c r="I303" i="12"/>
  <c r="K303" i="12"/>
  <c r="M303" i="12"/>
  <c r="N303" i="12"/>
  <c r="O303" i="12"/>
  <c r="L303" i="12" s="1"/>
  <c r="P303" i="12"/>
  <c r="A303" i="12" s="1"/>
  <c r="C304" i="12"/>
  <c r="D304" i="12"/>
  <c r="G304" i="12"/>
  <c r="H304" i="12"/>
  <c r="I304" i="12"/>
  <c r="K304" i="12"/>
  <c r="M304" i="12"/>
  <c r="N304" i="12"/>
  <c r="O304" i="12"/>
  <c r="L304" i="12" s="1"/>
  <c r="P304" i="12"/>
  <c r="A304" i="12" s="1"/>
  <c r="C305" i="12"/>
  <c r="D305" i="12"/>
  <c r="G305" i="12"/>
  <c r="H305" i="12"/>
  <c r="I305" i="12"/>
  <c r="K305" i="12"/>
  <c r="M305" i="12"/>
  <c r="N305" i="12"/>
  <c r="O305" i="12"/>
  <c r="L305" i="12" s="1"/>
  <c r="P305" i="12"/>
  <c r="A305" i="12" s="1"/>
  <c r="C306" i="12"/>
  <c r="D306" i="12"/>
  <c r="G306" i="12"/>
  <c r="H306" i="12"/>
  <c r="I306" i="12"/>
  <c r="K306" i="12"/>
  <c r="M306" i="12"/>
  <c r="N306" i="12"/>
  <c r="O306" i="12"/>
  <c r="L306" i="12" s="1"/>
  <c r="P306" i="12"/>
  <c r="A306" i="12" s="1"/>
  <c r="C307" i="12"/>
  <c r="D307" i="12"/>
  <c r="G307" i="12"/>
  <c r="H307" i="12"/>
  <c r="I307" i="12"/>
  <c r="K307" i="12"/>
  <c r="M307" i="12"/>
  <c r="N307" i="12"/>
  <c r="O307" i="12"/>
  <c r="L307" i="12" s="1"/>
  <c r="P307" i="12"/>
  <c r="A307" i="12" s="1"/>
  <c r="C308" i="12"/>
  <c r="D308" i="12"/>
  <c r="G308" i="12"/>
  <c r="H308" i="12"/>
  <c r="I308" i="12"/>
  <c r="K308" i="12"/>
  <c r="M308" i="12"/>
  <c r="N308" i="12"/>
  <c r="O308" i="12"/>
  <c r="L308" i="12" s="1"/>
  <c r="P308" i="12"/>
  <c r="A308" i="12" s="1"/>
  <c r="C309" i="12"/>
  <c r="D309" i="12"/>
  <c r="G309" i="12"/>
  <c r="H309" i="12"/>
  <c r="I309" i="12"/>
  <c r="K309" i="12"/>
  <c r="M309" i="12"/>
  <c r="N309" i="12"/>
  <c r="O309" i="12"/>
  <c r="L309" i="12" s="1"/>
  <c r="P309" i="12"/>
  <c r="A309" i="12" s="1"/>
  <c r="C310" i="12"/>
  <c r="D310" i="12"/>
  <c r="G310" i="12"/>
  <c r="H310" i="12"/>
  <c r="I310" i="12"/>
  <c r="K310" i="12"/>
  <c r="M310" i="12"/>
  <c r="N310" i="12"/>
  <c r="O310" i="12"/>
  <c r="L310" i="12" s="1"/>
  <c r="P310" i="12"/>
  <c r="A310" i="12" s="1"/>
  <c r="C311" i="12"/>
  <c r="D311" i="12"/>
  <c r="G311" i="12"/>
  <c r="H311" i="12"/>
  <c r="I311" i="12"/>
  <c r="K311" i="12"/>
  <c r="M311" i="12"/>
  <c r="N311" i="12"/>
  <c r="O311" i="12"/>
  <c r="L311" i="12" s="1"/>
  <c r="P311" i="12"/>
  <c r="A311" i="12" s="1"/>
  <c r="C312" i="12"/>
  <c r="D312" i="12"/>
  <c r="G312" i="12"/>
  <c r="H312" i="12"/>
  <c r="I312" i="12"/>
  <c r="K312" i="12"/>
  <c r="M312" i="12"/>
  <c r="N312" i="12"/>
  <c r="O312" i="12"/>
  <c r="L312" i="12" s="1"/>
  <c r="P312" i="12"/>
  <c r="A312" i="12" s="1"/>
  <c r="C313" i="12"/>
  <c r="D313" i="12"/>
  <c r="G313" i="12"/>
  <c r="H313" i="12"/>
  <c r="I313" i="12"/>
  <c r="K313" i="12"/>
  <c r="M313" i="12"/>
  <c r="N313" i="12"/>
  <c r="O313" i="12"/>
  <c r="L313" i="12" s="1"/>
  <c r="P313" i="12"/>
  <c r="A313" i="12" s="1"/>
  <c r="C314" i="12"/>
  <c r="D314" i="12"/>
  <c r="G314" i="12"/>
  <c r="H314" i="12"/>
  <c r="I314" i="12"/>
  <c r="K314" i="12"/>
  <c r="M314" i="12"/>
  <c r="N314" i="12"/>
  <c r="O314" i="12"/>
  <c r="L314" i="12" s="1"/>
  <c r="P314" i="12"/>
  <c r="A314" i="12" s="1"/>
  <c r="C315" i="12"/>
  <c r="D315" i="12"/>
  <c r="G315" i="12"/>
  <c r="H315" i="12"/>
  <c r="I315" i="12"/>
  <c r="K315" i="12"/>
  <c r="M315" i="12"/>
  <c r="N315" i="12"/>
  <c r="O315" i="12"/>
  <c r="L315" i="12" s="1"/>
  <c r="P315" i="12"/>
  <c r="A315" i="12" s="1"/>
  <c r="C316" i="12"/>
  <c r="D316" i="12"/>
  <c r="G316" i="12"/>
  <c r="H316" i="12"/>
  <c r="I316" i="12"/>
  <c r="K316" i="12"/>
  <c r="M316" i="12"/>
  <c r="N316" i="12"/>
  <c r="O316" i="12"/>
  <c r="L316" i="12" s="1"/>
  <c r="P316" i="12"/>
  <c r="A316" i="12" s="1"/>
  <c r="C317" i="12"/>
  <c r="D317" i="12"/>
  <c r="G317" i="12"/>
  <c r="H317" i="12"/>
  <c r="I317" i="12"/>
  <c r="K317" i="12"/>
  <c r="M317" i="12"/>
  <c r="N317" i="12"/>
  <c r="O317" i="12"/>
  <c r="L317" i="12" s="1"/>
  <c r="P317" i="12"/>
  <c r="A317" i="12" s="1"/>
  <c r="C318" i="12"/>
  <c r="D318" i="12"/>
  <c r="G318" i="12"/>
  <c r="H318" i="12"/>
  <c r="I318" i="12"/>
  <c r="K318" i="12"/>
  <c r="M318" i="12"/>
  <c r="N318" i="12"/>
  <c r="O318" i="12"/>
  <c r="L318" i="12" s="1"/>
  <c r="P318" i="12"/>
  <c r="A318" i="12" s="1"/>
  <c r="C319" i="12"/>
  <c r="D319" i="12"/>
  <c r="G319" i="12"/>
  <c r="H319" i="12"/>
  <c r="I319" i="12"/>
  <c r="K319" i="12"/>
  <c r="M319" i="12"/>
  <c r="N319" i="12"/>
  <c r="O319" i="12"/>
  <c r="L319" i="12" s="1"/>
  <c r="P319" i="12"/>
  <c r="A319" i="12" s="1"/>
  <c r="C320" i="12"/>
  <c r="D320" i="12"/>
  <c r="G320" i="12"/>
  <c r="H320" i="12"/>
  <c r="I320" i="12"/>
  <c r="K320" i="12"/>
  <c r="M320" i="12"/>
  <c r="N320" i="12"/>
  <c r="O320" i="12"/>
  <c r="L320" i="12" s="1"/>
  <c r="P320" i="12"/>
  <c r="A320" i="12" s="1"/>
  <c r="C321" i="12"/>
  <c r="D321" i="12"/>
  <c r="G321" i="12"/>
  <c r="H321" i="12"/>
  <c r="I321" i="12"/>
  <c r="K321" i="12"/>
  <c r="M321" i="12"/>
  <c r="N321" i="12"/>
  <c r="O321" i="12"/>
  <c r="L321" i="12" s="1"/>
  <c r="P321" i="12"/>
  <c r="A321" i="12" s="1"/>
  <c r="C322" i="12"/>
  <c r="D322" i="12"/>
  <c r="G322" i="12"/>
  <c r="H322" i="12"/>
  <c r="I322" i="12"/>
  <c r="K322" i="12"/>
  <c r="M322" i="12"/>
  <c r="N322" i="12"/>
  <c r="O322" i="12"/>
  <c r="L322" i="12" s="1"/>
  <c r="P322" i="12"/>
  <c r="A322" i="12" s="1"/>
  <c r="C323" i="12"/>
  <c r="D323" i="12"/>
  <c r="G323" i="12"/>
  <c r="H323" i="12"/>
  <c r="I323" i="12"/>
  <c r="K323" i="12"/>
  <c r="M323" i="12"/>
  <c r="N323" i="12"/>
  <c r="O323" i="12"/>
  <c r="L323" i="12" s="1"/>
  <c r="P323" i="12"/>
  <c r="A323" i="12" s="1"/>
  <c r="C324" i="12"/>
  <c r="D324" i="12"/>
  <c r="G324" i="12"/>
  <c r="H324" i="12"/>
  <c r="I324" i="12"/>
  <c r="K324" i="12"/>
  <c r="M324" i="12"/>
  <c r="N324" i="12"/>
  <c r="O324" i="12"/>
  <c r="L324" i="12" s="1"/>
  <c r="P324" i="12"/>
  <c r="A324" i="12" s="1"/>
  <c r="C325" i="12"/>
  <c r="D325" i="12"/>
  <c r="G325" i="12"/>
  <c r="H325" i="12"/>
  <c r="I325" i="12"/>
  <c r="K325" i="12"/>
  <c r="M325" i="12"/>
  <c r="N325" i="12"/>
  <c r="O325" i="12"/>
  <c r="L325" i="12" s="1"/>
  <c r="P325" i="12"/>
  <c r="A325" i="12" s="1"/>
  <c r="C326" i="12"/>
  <c r="D326" i="12"/>
  <c r="G326" i="12"/>
  <c r="H326" i="12"/>
  <c r="I326" i="12"/>
  <c r="K326" i="12"/>
  <c r="M326" i="12"/>
  <c r="N326" i="12"/>
  <c r="O326" i="12"/>
  <c r="L326" i="12" s="1"/>
  <c r="P326" i="12"/>
  <c r="A326" i="12" s="1"/>
  <c r="C327" i="12"/>
  <c r="D327" i="12"/>
  <c r="G327" i="12"/>
  <c r="H327" i="12"/>
  <c r="I327" i="12"/>
  <c r="K327" i="12"/>
  <c r="M327" i="12"/>
  <c r="N327" i="12"/>
  <c r="O327" i="12"/>
  <c r="L327" i="12" s="1"/>
  <c r="P327" i="12"/>
  <c r="A327" i="12" s="1"/>
  <c r="C328" i="12"/>
  <c r="D328" i="12"/>
  <c r="G328" i="12"/>
  <c r="H328" i="12"/>
  <c r="I328" i="12"/>
  <c r="K328" i="12"/>
  <c r="M328" i="12"/>
  <c r="N328" i="12"/>
  <c r="O328" i="12"/>
  <c r="L328" i="12" s="1"/>
  <c r="P328" i="12"/>
  <c r="A328" i="12" s="1"/>
  <c r="C329" i="12"/>
  <c r="D329" i="12"/>
  <c r="G329" i="12"/>
  <c r="H329" i="12"/>
  <c r="I329" i="12"/>
  <c r="K329" i="12"/>
  <c r="M329" i="12"/>
  <c r="N329" i="12"/>
  <c r="O329" i="12"/>
  <c r="L329" i="12" s="1"/>
  <c r="P329" i="12"/>
  <c r="A329" i="12" s="1"/>
  <c r="C330" i="12"/>
  <c r="D330" i="12"/>
  <c r="G330" i="12"/>
  <c r="H330" i="12"/>
  <c r="I330" i="12"/>
  <c r="K330" i="12"/>
  <c r="M330" i="12"/>
  <c r="N330" i="12"/>
  <c r="O330" i="12"/>
  <c r="L330" i="12" s="1"/>
  <c r="P330" i="12"/>
  <c r="A330" i="12" s="1"/>
  <c r="C331" i="12"/>
  <c r="D331" i="12"/>
  <c r="G331" i="12"/>
  <c r="H331" i="12"/>
  <c r="I331" i="12"/>
  <c r="K331" i="12"/>
  <c r="M331" i="12"/>
  <c r="N331" i="12"/>
  <c r="O331" i="12"/>
  <c r="L331" i="12" s="1"/>
  <c r="P331" i="12"/>
  <c r="A331" i="12" s="1"/>
  <c r="C332" i="12"/>
  <c r="D332" i="12"/>
  <c r="G332" i="12"/>
  <c r="H332" i="12"/>
  <c r="I332" i="12"/>
  <c r="K332" i="12"/>
  <c r="M332" i="12"/>
  <c r="N332" i="12"/>
  <c r="O332" i="12"/>
  <c r="L332" i="12" s="1"/>
  <c r="P332" i="12"/>
  <c r="A332" i="12" s="1"/>
  <c r="C333" i="12"/>
  <c r="D333" i="12"/>
  <c r="G333" i="12"/>
  <c r="H333" i="12"/>
  <c r="I333" i="12"/>
  <c r="K333" i="12"/>
  <c r="M333" i="12"/>
  <c r="N333" i="12"/>
  <c r="O333" i="12"/>
  <c r="L333" i="12" s="1"/>
  <c r="P333" i="12"/>
  <c r="A333" i="12" s="1"/>
  <c r="C334" i="12"/>
  <c r="D334" i="12"/>
  <c r="G334" i="12"/>
  <c r="H334" i="12"/>
  <c r="I334" i="12"/>
  <c r="K334" i="12"/>
  <c r="M334" i="12"/>
  <c r="N334" i="12"/>
  <c r="O334" i="12"/>
  <c r="L334" i="12" s="1"/>
  <c r="P334" i="12"/>
  <c r="A334" i="12" s="1"/>
  <c r="C335" i="12"/>
  <c r="D335" i="12"/>
  <c r="G335" i="12"/>
  <c r="H335" i="12"/>
  <c r="I335" i="12"/>
  <c r="K335" i="12"/>
  <c r="M335" i="12"/>
  <c r="N335" i="12"/>
  <c r="O335" i="12"/>
  <c r="L335" i="12" s="1"/>
  <c r="P335" i="12"/>
  <c r="A335" i="12" s="1"/>
  <c r="C336" i="12"/>
  <c r="D336" i="12"/>
  <c r="G336" i="12"/>
  <c r="H336" i="12"/>
  <c r="I336" i="12"/>
  <c r="K336" i="12"/>
  <c r="M336" i="12"/>
  <c r="N336" i="12"/>
  <c r="O336" i="12"/>
  <c r="L336" i="12" s="1"/>
  <c r="P336" i="12"/>
  <c r="A336" i="12" s="1"/>
  <c r="C337" i="12"/>
  <c r="D337" i="12"/>
  <c r="G337" i="12"/>
  <c r="H337" i="12"/>
  <c r="I337" i="12"/>
  <c r="K337" i="12"/>
  <c r="M337" i="12"/>
  <c r="N337" i="12"/>
  <c r="O337" i="12"/>
  <c r="L337" i="12" s="1"/>
  <c r="P337" i="12"/>
  <c r="A337" i="12" s="1"/>
  <c r="C338" i="12"/>
  <c r="D338" i="12"/>
  <c r="G338" i="12"/>
  <c r="H338" i="12"/>
  <c r="I338" i="12"/>
  <c r="K338" i="12"/>
  <c r="M338" i="12"/>
  <c r="N338" i="12"/>
  <c r="O338" i="12"/>
  <c r="L338" i="12" s="1"/>
  <c r="P338" i="12"/>
  <c r="A338" i="12" s="1"/>
  <c r="C339" i="12"/>
  <c r="D339" i="12"/>
  <c r="G339" i="12"/>
  <c r="H339" i="12"/>
  <c r="I339" i="12"/>
  <c r="K339" i="12"/>
  <c r="M339" i="12"/>
  <c r="N339" i="12"/>
  <c r="O339" i="12"/>
  <c r="L339" i="12" s="1"/>
  <c r="P339" i="12"/>
  <c r="A339" i="12" s="1"/>
  <c r="C340" i="12"/>
  <c r="D340" i="12"/>
  <c r="G340" i="12"/>
  <c r="H340" i="12"/>
  <c r="I340" i="12"/>
  <c r="K340" i="12"/>
  <c r="M340" i="12"/>
  <c r="N340" i="12"/>
  <c r="O340" i="12"/>
  <c r="L340" i="12" s="1"/>
  <c r="P340" i="12"/>
  <c r="A340" i="12" s="1"/>
  <c r="C341" i="12"/>
  <c r="D341" i="12"/>
  <c r="G341" i="12"/>
  <c r="H341" i="12"/>
  <c r="I341" i="12"/>
  <c r="K341" i="12"/>
  <c r="M341" i="12"/>
  <c r="N341" i="12"/>
  <c r="O341" i="12"/>
  <c r="L341" i="12" s="1"/>
  <c r="P341" i="12"/>
  <c r="A341" i="12" s="1"/>
  <c r="C342" i="12"/>
  <c r="D342" i="12"/>
  <c r="G342" i="12"/>
  <c r="H342" i="12"/>
  <c r="I342" i="12"/>
  <c r="K342" i="12"/>
  <c r="M342" i="12"/>
  <c r="N342" i="12"/>
  <c r="O342" i="12"/>
  <c r="L342" i="12" s="1"/>
  <c r="P342" i="12"/>
  <c r="A342" i="12" s="1"/>
  <c r="C343" i="12"/>
  <c r="D343" i="12"/>
  <c r="G343" i="12"/>
  <c r="H343" i="12"/>
  <c r="I343" i="12"/>
  <c r="K343" i="12"/>
  <c r="M343" i="12"/>
  <c r="N343" i="12"/>
  <c r="O343" i="12"/>
  <c r="L343" i="12" s="1"/>
  <c r="P343" i="12"/>
  <c r="A343" i="12" s="1"/>
  <c r="C344" i="12"/>
  <c r="D344" i="12"/>
  <c r="G344" i="12"/>
  <c r="H344" i="12"/>
  <c r="I344" i="12"/>
  <c r="K344" i="12"/>
  <c r="M344" i="12"/>
  <c r="N344" i="12"/>
  <c r="O344" i="12"/>
  <c r="L344" i="12" s="1"/>
  <c r="P344" i="12"/>
  <c r="A344" i="12" s="1"/>
  <c r="C345" i="12"/>
  <c r="D345" i="12"/>
  <c r="G345" i="12"/>
  <c r="H345" i="12"/>
  <c r="I345" i="12"/>
  <c r="K345" i="12"/>
  <c r="M345" i="12"/>
  <c r="N345" i="12"/>
  <c r="O345" i="12"/>
  <c r="L345" i="12" s="1"/>
  <c r="P345" i="12"/>
  <c r="A345" i="12" s="1"/>
  <c r="C346" i="12"/>
  <c r="D346" i="12"/>
  <c r="G346" i="12"/>
  <c r="H346" i="12"/>
  <c r="I346" i="12"/>
  <c r="K346" i="12"/>
  <c r="M346" i="12"/>
  <c r="N346" i="12"/>
  <c r="O346" i="12"/>
  <c r="L346" i="12" s="1"/>
  <c r="P346" i="12"/>
  <c r="A346" i="12" s="1"/>
  <c r="C347" i="12"/>
  <c r="D347" i="12"/>
  <c r="G347" i="12"/>
  <c r="H347" i="12"/>
  <c r="I347" i="12"/>
  <c r="K347" i="12"/>
  <c r="M347" i="12"/>
  <c r="N347" i="12"/>
  <c r="O347" i="12"/>
  <c r="L347" i="12" s="1"/>
  <c r="P347" i="12"/>
  <c r="A347" i="12" s="1"/>
  <c r="C348" i="12"/>
  <c r="D348" i="12"/>
  <c r="G348" i="12"/>
  <c r="H348" i="12"/>
  <c r="I348" i="12"/>
  <c r="K348" i="12"/>
  <c r="M348" i="12"/>
  <c r="N348" i="12"/>
  <c r="O348" i="12"/>
  <c r="L348" i="12" s="1"/>
  <c r="P348" i="12"/>
  <c r="A348" i="12" s="1"/>
  <c r="C349" i="12"/>
  <c r="D349" i="12"/>
  <c r="G349" i="12"/>
  <c r="H349" i="12"/>
  <c r="I349" i="12"/>
  <c r="K349" i="12"/>
  <c r="M349" i="12"/>
  <c r="N349" i="12"/>
  <c r="O349" i="12"/>
  <c r="L349" i="12" s="1"/>
  <c r="P349" i="12"/>
  <c r="A349" i="12" s="1"/>
  <c r="C350" i="12"/>
  <c r="D350" i="12"/>
  <c r="G350" i="12"/>
  <c r="H350" i="12"/>
  <c r="I350" i="12"/>
  <c r="K350" i="12"/>
  <c r="M350" i="12"/>
  <c r="N350" i="12"/>
  <c r="O350" i="12"/>
  <c r="L350" i="12" s="1"/>
  <c r="P350" i="12"/>
  <c r="A350" i="12" s="1"/>
  <c r="C351" i="12"/>
  <c r="D351" i="12"/>
  <c r="G351" i="12"/>
  <c r="H351" i="12"/>
  <c r="I351" i="12"/>
  <c r="K351" i="12"/>
  <c r="M351" i="12"/>
  <c r="N351" i="12"/>
  <c r="O351" i="12"/>
  <c r="L351" i="12" s="1"/>
  <c r="P351" i="12"/>
  <c r="A351" i="12" s="1"/>
  <c r="C352" i="12"/>
  <c r="D352" i="12"/>
  <c r="G352" i="12"/>
  <c r="H352" i="12"/>
  <c r="I352" i="12"/>
  <c r="K352" i="12"/>
  <c r="M352" i="12"/>
  <c r="N352" i="12"/>
  <c r="O352" i="12"/>
  <c r="L352" i="12" s="1"/>
  <c r="P352" i="12"/>
  <c r="A352" i="12" s="1"/>
  <c r="C353" i="12"/>
  <c r="D353" i="12"/>
  <c r="G353" i="12"/>
  <c r="H353" i="12"/>
  <c r="I353" i="12"/>
  <c r="K353" i="12"/>
  <c r="M353" i="12"/>
  <c r="N353" i="12"/>
  <c r="O353" i="12"/>
  <c r="L353" i="12" s="1"/>
  <c r="P353" i="12"/>
  <c r="A353" i="12" s="1"/>
  <c r="C354" i="12"/>
  <c r="D354" i="12"/>
  <c r="G354" i="12"/>
  <c r="H354" i="12"/>
  <c r="I354" i="12"/>
  <c r="K354" i="12"/>
  <c r="M354" i="12"/>
  <c r="N354" i="12"/>
  <c r="O354" i="12"/>
  <c r="L354" i="12" s="1"/>
  <c r="P354" i="12"/>
  <c r="A354" i="12" s="1"/>
  <c r="C355" i="12"/>
  <c r="D355" i="12"/>
  <c r="G355" i="12"/>
  <c r="H355" i="12"/>
  <c r="I355" i="12"/>
  <c r="K355" i="12"/>
  <c r="M355" i="12"/>
  <c r="N355" i="12"/>
  <c r="O355" i="12"/>
  <c r="L355" i="12" s="1"/>
  <c r="P355" i="12"/>
  <c r="A355" i="12" s="1"/>
  <c r="C356" i="12"/>
  <c r="D356" i="12"/>
  <c r="G356" i="12"/>
  <c r="H356" i="12"/>
  <c r="I356" i="12"/>
  <c r="K356" i="12"/>
  <c r="M356" i="12"/>
  <c r="N356" i="12"/>
  <c r="O356" i="12"/>
  <c r="L356" i="12" s="1"/>
  <c r="P356" i="12"/>
  <c r="A356" i="12" s="1"/>
  <c r="C357" i="12"/>
  <c r="D357" i="12"/>
  <c r="G357" i="12"/>
  <c r="H357" i="12"/>
  <c r="I357" i="12"/>
  <c r="K357" i="12"/>
  <c r="M357" i="12"/>
  <c r="N357" i="12"/>
  <c r="O357" i="12"/>
  <c r="L357" i="12" s="1"/>
  <c r="P357" i="12"/>
  <c r="A357" i="12" s="1"/>
  <c r="C358" i="12"/>
  <c r="D358" i="12"/>
  <c r="G358" i="12"/>
  <c r="H358" i="12"/>
  <c r="I358" i="12"/>
  <c r="K358" i="12"/>
  <c r="M358" i="12"/>
  <c r="N358" i="12"/>
  <c r="O358" i="12"/>
  <c r="L358" i="12" s="1"/>
  <c r="P358" i="12"/>
  <c r="A358" i="12" s="1"/>
  <c r="C359" i="12"/>
  <c r="D359" i="12"/>
  <c r="G359" i="12"/>
  <c r="H359" i="12"/>
  <c r="I359" i="12"/>
  <c r="K359" i="12"/>
  <c r="M359" i="12"/>
  <c r="N359" i="12"/>
  <c r="O359" i="12"/>
  <c r="L359" i="12" s="1"/>
  <c r="P359" i="12"/>
  <c r="A359" i="12" s="1"/>
  <c r="C360" i="12"/>
  <c r="D360" i="12"/>
  <c r="G360" i="12"/>
  <c r="H360" i="12"/>
  <c r="I360" i="12"/>
  <c r="K360" i="12"/>
  <c r="M360" i="12"/>
  <c r="N360" i="12"/>
  <c r="O360" i="12"/>
  <c r="L360" i="12" s="1"/>
  <c r="P360" i="12"/>
  <c r="A360" i="12" s="1"/>
  <c r="C361" i="12"/>
  <c r="D361" i="12"/>
  <c r="G361" i="12"/>
  <c r="H361" i="12"/>
  <c r="I361" i="12"/>
  <c r="K361" i="12"/>
  <c r="M361" i="12"/>
  <c r="N361" i="12"/>
  <c r="O361" i="12"/>
  <c r="L361" i="12" s="1"/>
  <c r="P361" i="12"/>
  <c r="A361" i="12" s="1"/>
  <c r="C362" i="12"/>
  <c r="D362" i="12"/>
  <c r="G362" i="12"/>
  <c r="H362" i="12"/>
  <c r="I362" i="12"/>
  <c r="K362" i="12"/>
  <c r="M362" i="12"/>
  <c r="N362" i="12"/>
  <c r="O362" i="12"/>
  <c r="L362" i="12" s="1"/>
  <c r="P362" i="12"/>
  <c r="A362" i="12" s="1"/>
  <c r="C363" i="12"/>
  <c r="D363" i="12"/>
  <c r="G363" i="12"/>
  <c r="H363" i="12"/>
  <c r="I363" i="12"/>
  <c r="K363" i="12"/>
  <c r="M363" i="12"/>
  <c r="N363" i="12"/>
  <c r="O363" i="12"/>
  <c r="L363" i="12" s="1"/>
  <c r="P363" i="12"/>
  <c r="A363" i="12" s="1"/>
  <c r="C364" i="12"/>
  <c r="D364" i="12"/>
  <c r="G364" i="12"/>
  <c r="H364" i="12"/>
  <c r="I364" i="12"/>
  <c r="K364" i="12"/>
  <c r="M364" i="12"/>
  <c r="N364" i="12"/>
  <c r="O364" i="12"/>
  <c r="L364" i="12" s="1"/>
  <c r="P364" i="12"/>
  <c r="A364" i="12" s="1"/>
  <c r="C365" i="12"/>
  <c r="D365" i="12"/>
  <c r="G365" i="12"/>
  <c r="H365" i="12"/>
  <c r="I365" i="12"/>
  <c r="K365" i="12"/>
  <c r="M365" i="12"/>
  <c r="N365" i="12"/>
  <c r="O365" i="12"/>
  <c r="L365" i="12" s="1"/>
  <c r="P365" i="12"/>
  <c r="A365" i="12" s="1"/>
  <c r="C366" i="12"/>
  <c r="D366" i="12"/>
  <c r="G366" i="12"/>
  <c r="H366" i="12"/>
  <c r="I366" i="12"/>
  <c r="K366" i="12"/>
  <c r="M366" i="12"/>
  <c r="N366" i="12"/>
  <c r="O366" i="12"/>
  <c r="L366" i="12" s="1"/>
  <c r="P366" i="12"/>
  <c r="A366" i="12" s="1"/>
  <c r="C367" i="12"/>
  <c r="D367" i="12"/>
  <c r="G367" i="12"/>
  <c r="H367" i="12"/>
  <c r="I367" i="12"/>
  <c r="K367" i="12"/>
  <c r="M367" i="12"/>
  <c r="N367" i="12"/>
  <c r="O367" i="12"/>
  <c r="L367" i="12" s="1"/>
  <c r="P367" i="12"/>
  <c r="A367" i="12" s="1"/>
  <c r="C368" i="12"/>
  <c r="D368" i="12"/>
  <c r="G368" i="12"/>
  <c r="H368" i="12"/>
  <c r="I368" i="12"/>
  <c r="K368" i="12"/>
  <c r="M368" i="12"/>
  <c r="N368" i="12"/>
  <c r="O368" i="12"/>
  <c r="L368" i="12" s="1"/>
  <c r="P368" i="12"/>
  <c r="A368" i="12" s="1"/>
  <c r="C369" i="12"/>
  <c r="D369" i="12"/>
  <c r="G369" i="12"/>
  <c r="H369" i="12"/>
  <c r="I369" i="12"/>
  <c r="K369" i="12"/>
  <c r="M369" i="12"/>
  <c r="N369" i="12"/>
  <c r="O369" i="12"/>
  <c r="L369" i="12" s="1"/>
  <c r="P369" i="12"/>
  <c r="A369" i="12" s="1"/>
  <c r="C370" i="12"/>
  <c r="D370" i="12"/>
  <c r="G370" i="12"/>
  <c r="H370" i="12"/>
  <c r="I370" i="12"/>
  <c r="K370" i="12"/>
  <c r="M370" i="12"/>
  <c r="N370" i="12"/>
  <c r="O370" i="12"/>
  <c r="L370" i="12" s="1"/>
  <c r="P370" i="12"/>
  <c r="A370" i="12" s="1"/>
  <c r="C371" i="12"/>
  <c r="D371" i="12"/>
  <c r="G371" i="12"/>
  <c r="H371" i="12"/>
  <c r="I371" i="12"/>
  <c r="K371" i="12"/>
  <c r="M371" i="12"/>
  <c r="N371" i="12"/>
  <c r="O371" i="12"/>
  <c r="L371" i="12" s="1"/>
  <c r="P371" i="12"/>
  <c r="A371" i="12" s="1"/>
  <c r="C490" i="12"/>
  <c r="D490" i="12"/>
  <c r="G490" i="12"/>
  <c r="H490" i="12"/>
  <c r="I490" i="12"/>
  <c r="K490" i="12"/>
  <c r="M490" i="12"/>
  <c r="N490" i="12"/>
  <c r="O490" i="12"/>
  <c r="L490" i="12" s="1"/>
  <c r="P490" i="12"/>
  <c r="A490" i="12" s="1"/>
  <c r="C491" i="12"/>
  <c r="D491" i="12"/>
  <c r="G491" i="12"/>
  <c r="H491" i="12"/>
  <c r="I491" i="12"/>
  <c r="K491" i="12"/>
  <c r="M491" i="12"/>
  <c r="N491" i="12"/>
  <c r="O491" i="12"/>
  <c r="L491" i="12" s="1"/>
  <c r="P491" i="12"/>
  <c r="A491" i="12" s="1"/>
  <c r="C492" i="12"/>
  <c r="D492" i="12"/>
  <c r="G492" i="12"/>
  <c r="H492" i="12"/>
  <c r="I492" i="12"/>
  <c r="K492" i="12"/>
  <c r="M492" i="12"/>
  <c r="N492" i="12"/>
  <c r="O492" i="12"/>
  <c r="L492" i="12" s="1"/>
  <c r="P492" i="12"/>
  <c r="A492" i="12" s="1"/>
  <c r="C493" i="12"/>
  <c r="D493" i="12"/>
  <c r="G493" i="12"/>
  <c r="H493" i="12"/>
  <c r="I493" i="12"/>
  <c r="K493" i="12"/>
  <c r="M493" i="12"/>
  <c r="N493" i="12"/>
  <c r="O493" i="12"/>
  <c r="L493" i="12" s="1"/>
  <c r="P493" i="12"/>
  <c r="A493" i="12" s="1"/>
  <c r="C494" i="12"/>
  <c r="D494" i="12"/>
  <c r="G494" i="12"/>
  <c r="H494" i="12"/>
  <c r="I494" i="12"/>
  <c r="K494" i="12"/>
  <c r="M494" i="12"/>
  <c r="N494" i="12"/>
  <c r="O494" i="12"/>
  <c r="L494" i="12" s="1"/>
  <c r="P494" i="12"/>
  <c r="A494" i="12" s="1"/>
  <c r="C495" i="12"/>
  <c r="D495" i="12"/>
  <c r="G495" i="12"/>
  <c r="H495" i="12"/>
  <c r="I495" i="12"/>
  <c r="K495" i="12"/>
  <c r="M495" i="12"/>
  <c r="N495" i="12"/>
  <c r="O495" i="12"/>
  <c r="L495" i="12" s="1"/>
  <c r="P495" i="12"/>
  <c r="A495" i="12" s="1"/>
  <c r="C496" i="12"/>
  <c r="D496" i="12"/>
  <c r="G496" i="12"/>
  <c r="H496" i="12"/>
  <c r="I496" i="12"/>
  <c r="K496" i="12"/>
  <c r="M496" i="12"/>
  <c r="N496" i="12"/>
  <c r="O496" i="12"/>
  <c r="L496" i="12" s="1"/>
  <c r="P496" i="12"/>
  <c r="A496" i="12" s="1"/>
  <c r="C497" i="12"/>
  <c r="D497" i="12"/>
  <c r="G497" i="12"/>
  <c r="H497" i="12"/>
  <c r="I497" i="12"/>
  <c r="K497" i="12"/>
  <c r="M497" i="12"/>
  <c r="N497" i="12"/>
  <c r="O497" i="12"/>
  <c r="L497" i="12" s="1"/>
  <c r="P497" i="12"/>
  <c r="A497" i="12" s="1"/>
  <c r="C498" i="12"/>
  <c r="D498" i="12"/>
  <c r="G498" i="12"/>
  <c r="H498" i="12"/>
  <c r="I498" i="12"/>
  <c r="K498" i="12"/>
  <c r="M498" i="12"/>
  <c r="N498" i="12"/>
  <c r="O498" i="12"/>
  <c r="L498" i="12" s="1"/>
  <c r="P498" i="12"/>
  <c r="A498" i="12" s="1"/>
  <c r="C499" i="12"/>
  <c r="D499" i="12"/>
  <c r="G499" i="12"/>
  <c r="H499" i="12"/>
  <c r="I499" i="12"/>
  <c r="K499" i="12"/>
  <c r="M499" i="12"/>
  <c r="N499" i="12"/>
  <c r="O499" i="12"/>
  <c r="L499" i="12" s="1"/>
  <c r="P499" i="12"/>
  <c r="A499" i="12" s="1"/>
  <c r="C500" i="12"/>
  <c r="D500" i="12"/>
  <c r="G500" i="12"/>
  <c r="H500" i="12"/>
  <c r="I500" i="12"/>
  <c r="K500" i="12"/>
  <c r="M500" i="12"/>
  <c r="N500" i="12"/>
  <c r="O500" i="12"/>
  <c r="L500" i="12" s="1"/>
  <c r="P500" i="12"/>
  <c r="A500" i="12" s="1"/>
  <c r="C501" i="12"/>
  <c r="D501" i="12"/>
  <c r="G501" i="12"/>
  <c r="H501" i="12"/>
  <c r="I501" i="12"/>
  <c r="K501" i="12"/>
  <c r="M501" i="12"/>
  <c r="N501" i="12"/>
  <c r="O501" i="12"/>
  <c r="L501" i="12" s="1"/>
  <c r="P501" i="12"/>
  <c r="A501" i="12" s="1"/>
  <c r="C502" i="12"/>
  <c r="D502" i="12"/>
  <c r="G502" i="12"/>
  <c r="H502" i="12"/>
  <c r="I502" i="12"/>
  <c r="K502" i="12"/>
  <c r="M502" i="12"/>
  <c r="N502" i="12"/>
  <c r="O502" i="12"/>
  <c r="L502" i="12" s="1"/>
  <c r="P502" i="12"/>
  <c r="A502" i="12" s="1"/>
  <c r="C503" i="12"/>
  <c r="D503" i="12"/>
  <c r="G503" i="12"/>
  <c r="H503" i="12"/>
  <c r="I503" i="12"/>
  <c r="K503" i="12"/>
  <c r="M503" i="12"/>
  <c r="N503" i="12"/>
  <c r="O503" i="12"/>
  <c r="L503" i="12" s="1"/>
  <c r="P503" i="12"/>
  <c r="A503" i="12" s="1"/>
  <c r="C504" i="12"/>
  <c r="D504" i="12"/>
  <c r="G504" i="12"/>
  <c r="H504" i="12"/>
  <c r="I504" i="12"/>
  <c r="K504" i="12"/>
  <c r="M504" i="12"/>
  <c r="N504" i="12"/>
  <c r="O504" i="12"/>
  <c r="L504" i="12" s="1"/>
  <c r="P504" i="12"/>
  <c r="A504" i="12" s="1"/>
  <c r="C505" i="12"/>
  <c r="D505" i="12"/>
  <c r="G505" i="12"/>
  <c r="H505" i="12"/>
  <c r="I505" i="12"/>
  <c r="K505" i="12"/>
  <c r="M505" i="12"/>
  <c r="N505" i="12"/>
  <c r="O505" i="12"/>
  <c r="L505" i="12" s="1"/>
  <c r="P505" i="12"/>
  <c r="A505" i="12" s="1"/>
  <c r="C506" i="12"/>
  <c r="D506" i="12"/>
  <c r="G506" i="12"/>
  <c r="H506" i="12"/>
  <c r="I506" i="12"/>
  <c r="K506" i="12"/>
  <c r="M506" i="12"/>
  <c r="N506" i="12"/>
  <c r="O506" i="12"/>
  <c r="L506" i="12" s="1"/>
  <c r="P506" i="12"/>
  <c r="A506" i="12" s="1"/>
  <c r="C507" i="12"/>
  <c r="D507" i="12"/>
  <c r="G507" i="12"/>
  <c r="H507" i="12"/>
  <c r="I507" i="12"/>
  <c r="K507" i="12"/>
  <c r="M507" i="12"/>
  <c r="N507" i="12"/>
  <c r="O507" i="12"/>
  <c r="L507" i="12" s="1"/>
  <c r="P507" i="12"/>
  <c r="A507" i="12" s="1"/>
  <c r="C508" i="12"/>
  <c r="D508" i="12"/>
  <c r="G508" i="12"/>
  <c r="H508" i="12"/>
  <c r="I508" i="12"/>
  <c r="K508" i="12"/>
  <c r="M508" i="12"/>
  <c r="N508" i="12"/>
  <c r="O508" i="12"/>
  <c r="L508" i="12" s="1"/>
  <c r="P508" i="12"/>
  <c r="A508" i="12" s="1"/>
  <c r="C509" i="12"/>
  <c r="D509" i="12"/>
  <c r="G509" i="12"/>
  <c r="H509" i="12"/>
  <c r="I509" i="12"/>
  <c r="K509" i="12"/>
  <c r="M509" i="12"/>
  <c r="N509" i="12"/>
  <c r="O509" i="12"/>
  <c r="L509" i="12" s="1"/>
  <c r="P509" i="12"/>
  <c r="A509" i="12" s="1"/>
  <c r="C510" i="12"/>
  <c r="D510" i="12"/>
  <c r="G510" i="12"/>
  <c r="H510" i="12"/>
  <c r="I510" i="12"/>
  <c r="K510" i="12"/>
  <c r="M510" i="12"/>
  <c r="N510" i="12"/>
  <c r="O510" i="12"/>
  <c r="L510" i="12" s="1"/>
  <c r="P510" i="12"/>
  <c r="A510" i="12" s="1"/>
  <c r="C511" i="12"/>
  <c r="D511" i="12"/>
  <c r="G511" i="12"/>
  <c r="H511" i="12"/>
  <c r="I511" i="12"/>
  <c r="K511" i="12"/>
  <c r="M511" i="12"/>
  <c r="N511" i="12"/>
  <c r="O511" i="12"/>
  <c r="L511" i="12" s="1"/>
  <c r="P511" i="12"/>
  <c r="A511" i="12" s="1"/>
  <c r="C512" i="12"/>
  <c r="D512" i="12"/>
  <c r="G512" i="12"/>
  <c r="H512" i="12"/>
  <c r="I512" i="12"/>
  <c r="K512" i="12"/>
  <c r="M512" i="12"/>
  <c r="N512" i="12"/>
  <c r="O512" i="12"/>
  <c r="L512" i="12" s="1"/>
  <c r="P512" i="12"/>
  <c r="A512" i="12" s="1"/>
  <c r="C513" i="12"/>
  <c r="D513" i="12"/>
  <c r="G513" i="12"/>
  <c r="H513" i="12"/>
  <c r="I513" i="12"/>
  <c r="K513" i="12"/>
  <c r="M513" i="12"/>
  <c r="N513" i="12"/>
  <c r="O513" i="12"/>
  <c r="L513" i="12" s="1"/>
  <c r="P513" i="12"/>
  <c r="A513" i="12" s="1"/>
  <c r="C514" i="12"/>
  <c r="D514" i="12"/>
  <c r="G514" i="12"/>
  <c r="H514" i="12"/>
  <c r="I514" i="12"/>
  <c r="K514" i="12"/>
  <c r="M514" i="12"/>
  <c r="N514" i="12"/>
  <c r="O514" i="12"/>
  <c r="L514" i="12" s="1"/>
  <c r="P514" i="12"/>
  <c r="A514" i="12" s="1"/>
  <c r="C515" i="12"/>
  <c r="D515" i="12"/>
  <c r="G515" i="12"/>
  <c r="H515" i="12"/>
  <c r="I515" i="12"/>
  <c r="K515" i="12"/>
  <c r="M515" i="12"/>
  <c r="N515" i="12"/>
  <c r="O515" i="12"/>
  <c r="L515" i="12" s="1"/>
  <c r="P515" i="12"/>
  <c r="A515" i="12" s="1"/>
  <c r="C516" i="12"/>
  <c r="D516" i="12"/>
  <c r="G516" i="12"/>
  <c r="H516" i="12"/>
  <c r="I516" i="12"/>
  <c r="K516" i="12"/>
  <c r="M516" i="12"/>
  <c r="N516" i="12"/>
  <c r="O516" i="12"/>
  <c r="L516" i="12" s="1"/>
  <c r="P516" i="12"/>
  <c r="A516" i="12" s="1"/>
  <c r="G376" i="12"/>
  <c r="I376" i="12"/>
  <c r="C376" i="12"/>
  <c r="K376" i="12"/>
  <c r="N376" i="12"/>
  <c r="P376" i="12"/>
  <c r="A376" i="12" s="1"/>
  <c r="D376" i="12"/>
  <c r="H376" i="12"/>
  <c r="M376" i="12"/>
  <c r="O376" i="12"/>
  <c r="L376" i="12" s="1"/>
  <c r="D377" i="12"/>
  <c r="K377" i="12"/>
  <c r="M377" i="12"/>
  <c r="O377" i="12"/>
  <c r="L377" i="12" s="1"/>
  <c r="P377" i="12"/>
  <c r="A377" i="12" s="1"/>
  <c r="H377" i="12"/>
  <c r="N377" i="12"/>
  <c r="C377" i="12"/>
  <c r="G377" i="12"/>
  <c r="I377" i="12"/>
  <c r="G382" i="12"/>
  <c r="K382" i="12"/>
  <c r="N382" i="12"/>
  <c r="D382" i="12"/>
  <c r="H382" i="12"/>
  <c r="P382" i="12"/>
  <c r="A382" i="12" s="1"/>
  <c r="C382" i="12"/>
  <c r="I382" i="12"/>
  <c r="M382" i="12"/>
  <c r="O382" i="12"/>
  <c r="L382" i="12" s="1"/>
  <c r="D383" i="12"/>
  <c r="H383" i="12"/>
  <c r="K383" i="12"/>
  <c r="M383" i="12"/>
  <c r="N383" i="12"/>
  <c r="O383" i="12"/>
  <c r="L383" i="12" s="1"/>
  <c r="P383" i="12"/>
  <c r="A383" i="12" s="1"/>
  <c r="C383" i="12"/>
  <c r="G383" i="12"/>
  <c r="I383" i="12"/>
  <c r="C385" i="12"/>
  <c r="G385" i="12"/>
  <c r="I385" i="12"/>
  <c r="M385" i="12"/>
  <c r="D385" i="12"/>
  <c r="H385" i="12"/>
  <c r="K385" i="12"/>
  <c r="N385" i="12"/>
  <c r="O385" i="12"/>
  <c r="L385" i="12" s="1"/>
  <c r="P385" i="12"/>
  <c r="A385" i="12" s="1"/>
  <c r="C386" i="12"/>
  <c r="G386" i="12"/>
  <c r="H386" i="12"/>
  <c r="K386" i="12"/>
  <c r="M386" i="12"/>
  <c r="D386" i="12"/>
  <c r="I386" i="12"/>
  <c r="N386" i="12"/>
  <c r="O386" i="12"/>
  <c r="L386" i="12" s="1"/>
  <c r="P386" i="12"/>
  <c r="A386" i="12" s="1"/>
  <c r="C387" i="12"/>
  <c r="D387" i="12"/>
  <c r="H387" i="12"/>
  <c r="K387" i="12"/>
  <c r="M387" i="12"/>
  <c r="N387" i="12"/>
  <c r="O387" i="12"/>
  <c r="L387" i="12" s="1"/>
  <c r="P387" i="12"/>
  <c r="A387" i="12" s="1"/>
  <c r="G387" i="12"/>
  <c r="I387" i="12"/>
  <c r="D390" i="12"/>
  <c r="I390" i="12"/>
  <c r="C390" i="12"/>
  <c r="G390" i="12"/>
  <c r="H390" i="12"/>
  <c r="K390" i="12"/>
  <c r="M390" i="12"/>
  <c r="N390" i="12"/>
  <c r="O390" i="12"/>
  <c r="L390" i="12" s="1"/>
  <c r="P390" i="12"/>
  <c r="A390" i="12" s="1"/>
  <c r="D412" i="12"/>
  <c r="H412" i="12"/>
  <c r="N412" i="12"/>
  <c r="O412" i="12"/>
  <c r="L412" i="12" s="1"/>
  <c r="C412" i="12"/>
  <c r="G412" i="12"/>
  <c r="I412" i="12"/>
  <c r="K412" i="12"/>
  <c r="M412" i="12"/>
  <c r="P412" i="12"/>
  <c r="A412" i="12" s="1"/>
  <c r="G413" i="12"/>
  <c r="I413" i="12"/>
  <c r="K413" i="12"/>
  <c r="M413" i="12"/>
  <c r="P413" i="12"/>
  <c r="A413" i="12" s="1"/>
  <c r="D413" i="12"/>
  <c r="N413" i="12"/>
  <c r="C413" i="12"/>
  <c r="H413" i="12"/>
  <c r="O413" i="12"/>
  <c r="L413" i="12" s="1"/>
  <c r="D417" i="12"/>
  <c r="H417" i="12"/>
  <c r="I417" i="12"/>
  <c r="M417" i="12"/>
  <c r="P417" i="12"/>
  <c r="A417" i="12" s="1"/>
  <c r="C417" i="12"/>
  <c r="G417" i="12"/>
  <c r="K417" i="12"/>
  <c r="N417" i="12"/>
  <c r="O417" i="12"/>
  <c r="L417" i="12" s="1"/>
  <c r="G418" i="12"/>
  <c r="K418" i="12"/>
  <c r="D418" i="12"/>
  <c r="I418" i="12"/>
  <c r="M418" i="12"/>
  <c r="O418" i="12"/>
  <c r="L418" i="12" s="1"/>
  <c r="C418" i="12"/>
  <c r="H418" i="12"/>
  <c r="N418" i="12"/>
  <c r="P418" i="12"/>
  <c r="A418" i="12" s="1"/>
  <c r="D419" i="12"/>
  <c r="I419" i="12"/>
  <c r="M419" i="12"/>
  <c r="O419" i="12"/>
  <c r="L419" i="12" s="1"/>
  <c r="C419" i="12"/>
  <c r="H419" i="12"/>
  <c r="K419" i="12"/>
  <c r="N419" i="12"/>
  <c r="P419" i="12"/>
  <c r="A419" i="12" s="1"/>
  <c r="G419" i="12"/>
  <c r="G422" i="12"/>
  <c r="I422" i="12"/>
  <c r="N422" i="12"/>
  <c r="O422" i="12"/>
  <c r="L422" i="12" s="1"/>
  <c r="C422" i="12"/>
  <c r="K422" i="12"/>
  <c r="M422" i="12"/>
  <c r="P422" i="12"/>
  <c r="A422" i="12" s="1"/>
  <c r="D422" i="12"/>
  <c r="H422" i="12"/>
  <c r="D425" i="12"/>
  <c r="I425" i="12"/>
  <c r="P425" i="12"/>
  <c r="A425" i="12" s="1"/>
  <c r="G425" i="12"/>
  <c r="M425" i="12"/>
  <c r="C425" i="12"/>
  <c r="H425" i="12"/>
  <c r="K425" i="12"/>
  <c r="N425" i="12"/>
  <c r="O425" i="12"/>
  <c r="L425" i="12" s="1"/>
  <c r="G427" i="12"/>
  <c r="M427" i="12"/>
  <c r="N427" i="12"/>
  <c r="O427" i="12"/>
  <c r="L427" i="12" s="1"/>
  <c r="P427" i="12"/>
  <c r="A427" i="12" s="1"/>
  <c r="D427" i="12"/>
  <c r="I427" i="12"/>
  <c r="K427" i="12"/>
  <c r="C427" i="12"/>
  <c r="H427" i="12"/>
  <c r="D431" i="12"/>
  <c r="M431" i="12"/>
  <c r="O431" i="12"/>
  <c r="L431" i="12" s="1"/>
  <c r="C431" i="12"/>
  <c r="G431" i="12"/>
  <c r="H431" i="12"/>
  <c r="I431" i="12"/>
  <c r="K431" i="12"/>
  <c r="N431" i="12"/>
  <c r="P431" i="12"/>
  <c r="A431" i="12" s="1"/>
  <c r="G434" i="12"/>
  <c r="M434" i="12"/>
  <c r="N434" i="12"/>
  <c r="P434" i="12"/>
  <c r="A434" i="12" s="1"/>
  <c r="D434" i="12"/>
  <c r="I434" i="12"/>
  <c r="K434" i="12"/>
  <c r="O434" i="12"/>
  <c r="L434" i="12" s="1"/>
  <c r="C434" i="12"/>
  <c r="H434" i="12"/>
  <c r="H438" i="12"/>
  <c r="K438" i="12"/>
  <c r="N438" i="12"/>
  <c r="O438" i="12"/>
  <c r="L438" i="12" s="1"/>
  <c r="P438" i="12"/>
  <c r="A438" i="12" s="1"/>
  <c r="C438" i="12"/>
  <c r="G438" i="12"/>
  <c r="D438" i="12"/>
  <c r="I438" i="12"/>
  <c r="M438" i="12"/>
  <c r="D445" i="12"/>
  <c r="I445" i="12"/>
  <c r="N445" i="12"/>
  <c r="P445" i="12"/>
  <c r="A445" i="12" s="1"/>
  <c r="G445" i="12"/>
  <c r="C445" i="12"/>
  <c r="H445" i="12"/>
  <c r="K445" i="12"/>
  <c r="M445" i="12"/>
  <c r="O445" i="12"/>
  <c r="L445" i="12" s="1"/>
  <c r="G447" i="12"/>
  <c r="K447" i="12"/>
  <c r="M447" i="12"/>
  <c r="O447" i="12"/>
  <c r="L447" i="12" s="1"/>
  <c r="C447" i="12"/>
  <c r="H447" i="12"/>
  <c r="D447" i="12"/>
  <c r="I447" i="12"/>
  <c r="N447" i="12"/>
  <c r="P447" i="12"/>
  <c r="A447" i="12" s="1"/>
  <c r="C452" i="12"/>
  <c r="D452" i="12"/>
  <c r="G452" i="12"/>
  <c r="H452" i="12"/>
  <c r="I452" i="12"/>
  <c r="K452" i="12"/>
  <c r="M452" i="12"/>
  <c r="N452" i="12"/>
  <c r="O452" i="12"/>
  <c r="L452" i="12" s="1"/>
  <c r="P452" i="12"/>
  <c r="A452" i="12" s="1"/>
  <c r="C453" i="12"/>
  <c r="D453" i="12"/>
  <c r="N453" i="12"/>
  <c r="P453" i="12"/>
  <c r="A453" i="12" s="1"/>
  <c r="G453" i="12"/>
  <c r="H453" i="12"/>
  <c r="I453" i="12"/>
  <c r="K453" i="12"/>
  <c r="M453" i="12"/>
  <c r="O453" i="12"/>
  <c r="L453" i="12" s="1"/>
  <c r="G456" i="12"/>
  <c r="K456" i="12"/>
  <c r="N456" i="12"/>
  <c r="O456" i="12"/>
  <c r="L456" i="12" s="1"/>
  <c r="H456" i="12"/>
  <c r="P456" i="12"/>
  <c r="A456" i="12" s="1"/>
  <c r="C456" i="12"/>
  <c r="D456" i="12"/>
  <c r="I456" i="12"/>
  <c r="M456" i="12"/>
  <c r="H465" i="12"/>
  <c r="K465" i="12"/>
  <c r="M465" i="12"/>
  <c r="O465" i="12"/>
  <c r="L465" i="12" s="1"/>
  <c r="P465" i="12"/>
  <c r="A465" i="12" s="1"/>
  <c r="N465" i="12"/>
  <c r="C465" i="12"/>
  <c r="D465" i="12"/>
  <c r="G465" i="12"/>
  <c r="I465" i="12"/>
  <c r="G468" i="12"/>
  <c r="K468" i="12"/>
  <c r="M468" i="12"/>
  <c r="O468" i="12"/>
  <c r="L468" i="12" s="1"/>
  <c r="C468" i="12"/>
  <c r="H468" i="12"/>
  <c r="N468" i="12"/>
  <c r="P468" i="12"/>
  <c r="A468" i="12" s="1"/>
  <c r="D468" i="12"/>
  <c r="I468" i="12"/>
  <c r="D476" i="12"/>
  <c r="K476" i="12"/>
  <c r="N476" i="12"/>
  <c r="P476" i="12"/>
  <c r="A476" i="12" s="1"/>
  <c r="C476" i="12"/>
  <c r="H476" i="12"/>
  <c r="G476" i="12"/>
  <c r="I476" i="12"/>
  <c r="M476" i="12"/>
  <c r="O476" i="12"/>
  <c r="L476" i="12" s="1"/>
  <c r="G478" i="12"/>
  <c r="C478" i="12"/>
  <c r="D478" i="12"/>
  <c r="H478" i="12"/>
  <c r="I478" i="12"/>
  <c r="K478" i="12"/>
  <c r="M478" i="12"/>
  <c r="N478" i="12"/>
  <c r="O478" i="12"/>
  <c r="L478" i="12" s="1"/>
  <c r="P478" i="12"/>
  <c r="A478" i="12" s="1"/>
  <c r="C479" i="12"/>
  <c r="G479" i="12"/>
  <c r="I479" i="12"/>
  <c r="O479" i="12"/>
  <c r="L479" i="12" s="1"/>
  <c r="D479" i="12"/>
  <c r="H479" i="12"/>
  <c r="K479" i="12"/>
  <c r="M479" i="12"/>
  <c r="N479" i="12"/>
  <c r="P479" i="12"/>
  <c r="A479" i="12" s="1"/>
  <c r="C483" i="12"/>
  <c r="D483" i="12"/>
  <c r="G483" i="12"/>
  <c r="H483" i="12"/>
  <c r="I483" i="12"/>
  <c r="K483" i="12"/>
  <c r="M483" i="12"/>
  <c r="N483" i="12"/>
  <c r="O483" i="12"/>
  <c r="L483" i="12" s="1"/>
  <c r="P483" i="12"/>
  <c r="A483" i="12" s="1"/>
  <c r="C484" i="12"/>
  <c r="D484" i="12"/>
  <c r="G484" i="12"/>
  <c r="H484" i="12"/>
  <c r="I484" i="12"/>
  <c r="K484" i="12"/>
  <c r="M484" i="12"/>
  <c r="N484" i="12"/>
  <c r="O484" i="12"/>
  <c r="L484" i="12" s="1"/>
  <c r="P484" i="12"/>
  <c r="A484" i="12" s="1"/>
  <c r="C485" i="12"/>
  <c r="D485" i="12"/>
  <c r="G485" i="12"/>
  <c r="H485" i="12"/>
  <c r="I485" i="12"/>
  <c r="K485" i="12"/>
  <c r="M485" i="12"/>
  <c r="N485" i="12"/>
  <c r="O485" i="12"/>
  <c r="L485" i="12" s="1"/>
  <c r="P485" i="12"/>
  <c r="A485" i="12" s="1"/>
  <c r="C486" i="12"/>
  <c r="D486" i="12"/>
  <c r="G486" i="12"/>
  <c r="H486" i="12"/>
  <c r="I486" i="12"/>
  <c r="K486" i="12"/>
  <c r="M486" i="12"/>
  <c r="N486" i="12"/>
  <c r="O486" i="12"/>
  <c r="L486" i="12" s="1"/>
  <c r="P486" i="12"/>
  <c r="A486" i="12" s="1"/>
  <c r="C487" i="12"/>
  <c r="D487" i="12"/>
  <c r="G487" i="12"/>
  <c r="H487" i="12"/>
  <c r="I487" i="12"/>
  <c r="K487" i="12"/>
  <c r="M487" i="12"/>
  <c r="N487" i="12"/>
  <c r="O487" i="12"/>
  <c r="L487" i="12" s="1"/>
  <c r="P487" i="12"/>
  <c r="A487" i="12" s="1"/>
  <c r="C488" i="12"/>
  <c r="D488" i="12"/>
  <c r="G488" i="12"/>
  <c r="H488" i="12"/>
  <c r="I488" i="12"/>
  <c r="K488" i="12"/>
  <c r="M488" i="12"/>
  <c r="N488" i="12"/>
  <c r="O488" i="12"/>
  <c r="L488" i="12" s="1"/>
  <c r="P488" i="12"/>
  <c r="A488" i="12" s="1"/>
  <c r="C489" i="12"/>
  <c r="D489" i="12"/>
  <c r="G489" i="12"/>
  <c r="H489" i="12"/>
  <c r="I489" i="12"/>
  <c r="K489" i="12"/>
  <c r="M489" i="12"/>
  <c r="N489" i="12"/>
  <c r="O489" i="12"/>
  <c r="L489" i="12" s="1"/>
  <c r="P489" i="12"/>
  <c r="A489" i="12" s="1"/>
  <c r="C517" i="12"/>
  <c r="D517" i="12"/>
  <c r="G517" i="12"/>
  <c r="H517" i="12"/>
  <c r="I517" i="12"/>
  <c r="K517" i="12"/>
  <c r="M517" i="12"/>
  <c r="N517" i="12"/>
  <c r="O517" i="12"/>
  <c r="L517" i="12" s="1"/>
  <c r="P517" i="12"/>
  <c r="A517" i="12" s="1"/>
  <c r="C518" i="12"/>
  <c r="D518" i="12"/>
  <c r="G518" i="12"/>
  <c r="H518" i="12"/>
  <c r="I518" i="12"/>
  <c r="K518" i="12"/>
  <c r="M518" i="12"/>
  <c r="N518" i="12"/>
  <c r="O518" i="12"/>
  <c r="L518" i="12" s="1"/>
  <c r="P518" i="12"/>
  <c r="A518" i="12" s="1"/>
  <c r="C519" i="12"/>
  <c r="D519" i="12"/>
  <c r="G519" i="12"/>
  <c r="H519" i="12"/>
  <c r="I519" i="12"/>
  <c r="K519" i="12"/>
  <c r="M519" i="12"/>
  <c r="N519" i="12"/>
  <c r="O519" i="12"/>
  <c r="L519" i="12" s="1"/>
  <c r="P519" i="12"/>
  <c r="A519" i="12" s="1"/>
  <c r="C520" i="12"/>
  <c r="D520" i="12"/>
  <c r="G520" i="12"/>
  <c r="H520" i="12"/>
  <c r="I520" i="12"/>
  <c r="K520" i="12"/>
  <c r="M520" i="12"/>
  <c r="N520" i="12"/>
  <c r="O520" i="12"/>
  <c r="L520" i="12" s="1"/>
  <c r="P520" i="12"/>
  <c r="A520" i="12" s="1"/>
  <c r="H373" i="12"/>
  <c r="K373" i="12"/>
  <c r="O373" i="12"/>
  <c r="L373" i="12" s="1"/>
  <c r="C373" i="12"/>
  <c r="G373" i="12"/>
  <c r="D373" i="12"/>
  <c r="I373" i="12"/>
  <c r="M373" i="12"/>
  <c r="N373" i="12"/>
  <c r="P373" i="12"/>
  <c r="A373" i="12" s="1"/>
  <c r="C379" i="12"/>
  <c r="H379" i="12"/>
  <c r="K379" i="12"/>
  <c r="M379" i="12"/>
  <c r="O379" i="12"/>
  <c r="L379" i="12" s="1"/>
  <c r="D379" i="12"/>
  <c r="G379" i="12"/>
  <c r="I379" i="12"/>
  <c r="N379" i="12"/>
  <c r="P379" i="12"/>
  <c r="A379" i="12" s="1"/>
  <c r="G380" i="12"/>
  <c r="K380" i="12"/>
  <c r="M380" i="12"/>
  <c r="O380" i="12"/>
  <c r="L380" i="12" s="1"/>
  <c r="C380" i="12"/>
  <c r="H380" i="12"/>
  <c r="D380" i="12"/>
  <c r="I380" i="12"/>
  <c r="N380" i="12"/>
  <c r="P380" i="12"/>
  <c r="A380" i="12" s="1"/>
  <c r="G384" i="12"/>
  <c r="I384" i="12"/>
  <c r="M384" i="12"/>
  <c r="O384" i="12"/>
  <c r="L384" i="12" s="1"/>
  <c r="P384" i="12"/>
  <c r="A384" i="12" s="1"/>
  <c r="C384" i="12"/>
  <c r="D384" i="12"/>
  <c r="H384" i="12"/>
  <c r="K384" i="12"/>
  <c r="N384" i="12"/>
  <c r="C388" i="12"/>
  <c r="H388" i="12"/>
  <c r="K388" i="12"/>
  <c r="D388" i="12"/>
  <c r="G388" i="12"/>
  <c r="I388" i="12"/>
  <c r="M388" i="12"/>
  <c r="N388" i="12"/>
  <c r="O388" i="12"/>
  <c r="L388" i="12" s="1"/>
  <c r="P388" i="12"/>
  <c r="A388" i="12" s="1"/>
  <c r="D389" i="12"/>
  <c r="G389" i="12"/>
  <c r="I389" i="12"/>
  <c r="K389" i="12"/>
  <c r="M389" i="12"/>
  <c r="N389" i="12"/>
  <c r="O389" i="12"/>
  <c r="L389" i="12" s="1"/>
  <c r="P389" i="12"/>
  <c r="A389" i="12" s="1"/>
  <c r="C389" i="12"/>
  <c r="H389" i="12"/>
  <c r="D394" i="12"/>
  <c r="H394" i="12"/>
  <c r="M394" i="12"/>
  <c r="O394" i="12"/>
  <c r="L394" i="12" s="1"/>
  <c r="C394" i="12"/>
  <c r="G394" i="12"/>
  <c r="I394" i="12"/>
  <c r="K394" i="12"/>
  <c r="N394" i="12"/>
  <c r="P394" i="12"/>
  <c r="A394" i="12" s="1"/>
  <c r="I395" i="12"/>
  <c r="M395" i="12"/>
  <c r="O395" i="12"/>
  <c r="L395" i="12" s="1"/>
  <c r="P395" i="12"/>
  <c r="A395" i="12" s="1"/>
  <c r="C395" i="12"/>
  <c r="D395" i="12"/>
  <c r="G395" i="12"/>
  <c r="H395" i="12"/>
  <c r="K395" i="12"/>
  <c r="N395" i="12"/>
  <c r="D398" i="12"/>
  <c r="I398" i="12"/>
  <c r="K398" i="12"/>
  <c r="P398" i="12"/>
  <c r="A398" i="12" s="1"/>
  <c r="C398" i="12"/>
  <c r="G398" i="12"/>
  <c r="H398" i="12"/>
  <c r="M398" i="12"/>
  <c r="N398" i="12"/>
  <c r="O398" i="12"/>
  <c r="L398" i="12" s="1"/>
  <c r="G400" i="12"/>
  <c r="I400" i="12"/>
  <c r="C400" i="12"/>
  <c r="D400" i="12"/>
  <c r="H400" i="12"/>
  <c r="K400" i="12"/>
  <c r="M400" i="12"/>
  <c r="N400" i="12"/>
  <c r="O400" i="12"/>
  <c r="L400" i="12" s="1"/>
  <c r="P400" i="12"/>
  <c r="A400" i="12" s="1"/>
  <c r="G401" i="12"/>
  <c r="C401" i="12"/>
  <c r="D401" i="12"/>
  <c r="H401" i="12"/>
  <c r="I401" i="12"/>
  <c r="K401" i="12"/>
  <c r="M401" i="12"/>
  <c r="N401" i="12"/>
  <c r="O401" i="12"/>
  <c r="L401" i="12" s="1"/>
  <c r="P401" i="12"/>
  <c r="A401" i="12" s="1"/>
  <c r="G402" i="12"/>
  <c r="K402" i="12"/>
  <c r="N402" i="12"/>
  <c r="O402" i="12"/>
  <c r="L402" i="12" s="1"/>
  <c r="P402" i="12"/>
  <c r="A402" i="12" s="1"/>
  <c r="C402" i="12"/>
  <c r="D402" i="12"/>
  <c r="H402" i="12"/>
  <c r="I402" i="12"/>
  <c r="M402" i="12"/>
  <c r="C404" i="12"/>
  <c r="H404" i="12"/>
  <c r="D404" i="12"/>
  <c r="G404" i="12"/>
  <c r="I404" i="12"/>
  <c r="K404" i="12"/>
  <c r="M404" i="12"/>
  <c r="N404" i="12"/>
  <c r="O404" i="12"/>
  <c r="L404" i="12" s="1"/>
  <c r="P404" i="12"/>
  <c r="A404" i="12" s="1"/>
  <c r="D405" i="12"/>
  <c r="I405" i="12"/>
  <c r="C405" i="12"/>
  <c r="G405" i="12"/>
  <c r="H405" i="12"/>
  <c r="K405" i="12"/>
  <c r="M405" i="12"/>
  <c r="N405" i="12"/>
  <c r="O405" i="12"/>
  <c r="L405" i="12" s="1"/>
  <c r="P405" i="12"/>
  <c r="A405" i="12" s="1"/>
  <c r="G406" i="12"/>
  <c r="C406" i="12"/>
  <c r="D406" i="12"/>
  <c r="H406" i="12"/>
  <c r="I406" i="12"/>
  <c r="K406" i="12"/>
  <c r="M406" i="12"/>
  <c r="N406" i="12"/>
  <c r="O406" i="12"/>
  <c r="L406" i="12" s="1"/>
  <c r="P406" i="12"/>
  <c r="A406" i="12" s="1"/>
  <c r="D407" i="12"/>
  <c r="I407" i="12"/>
  <c r="C407" i="12"/>
  <c r="G407" i="12"/>
  <c r="H407" i="12"/>
  <c r="K407" i="12"/>
  <c r="M407" i="12"/>
  <c r="N407" i="12"/>
  <c r="O407" i="12"/>
  <c r="L407" i="12" s="1"/>
  <c r="P407" i="12"/>
  <c r="A407" i="12" s="1"/>
  <c r="D408" i="12"/>
  <c r="O408" i="12"/>
  <c r="L408" i="12" s="1"/>
  <c r="P408" i="12"/>
  <c r="A408" i="12" s="1"/>
  <c r="C408" i="12"/>
  <c r="G408" i="12"/>
  <c r="H408" i="12"/>
  <c r="I408" i="12"/>
  <c r="K408" i="12"/>
  <c r="M408" i="12"/>
  <c r="N408" i="12"/>
  <c r="G410" i="12"/>
  <c r="I410" i="12"/>
  <c r="M410" i="12"/>
  <c r="P410" i="12"/>
  <c r="A410" i="12" s="1"/>
  <c r="C410" i="12"/>
  <c r="D410" i="12"/>
  <c r="H410" i="12"/>
  <c r="K410" i="12"/>
  <c r="N410" i="12"/>
  <c r="O410" i="12"/>
  <c r="L410" i="12" s="1"/>
  <c r="G416" i="12"/>
  <c r="I416" i="12"/>
  <c r="M416" i="12"/>
  <c r="P416" i="12"/>
  <c r="A416" i="12" s="1"/>
  <c r="C416" i="12"/>
  <c r="D416" i="12"/>
  <c r="H416" i="12"/>
  <c r="K416" i="12"/>
  <c r="O416" i="12"/>
  <c r="L416" i="12" s="1"/>
  <c r="N416" i="12"/>
  <c r="C421" i="12"/>
  <c r="M421" i="12"/>
  <c r="P421" i="12"/>
  <c r="A421" i="12" s="1"/>
  <c r="G421" i="12"/>
  <c r="I421" i="12"/>
  <c r="N421" i="12"/>
  <c r="O421" i="12"/>
  <c r="L421" i="12" s="1"/>
  <c r="D421" i="12"/>
  <c r="H421" i="12"/>
  <c r="K421" i="12"/>
  <c r="G426" i="12"/>
  <c r="O426" i="12"/>
  <c r="L426" i="12" s="1"/>
  <c r="C426" i="12"/>
  <c r="H426" i="12"/>
  <c r="K426" i="12"/>
  <c r="M426" i="12"/>
  <c r="N426" i="12"/>
  <c r="P426" i="12"/>
  <c r="A426" i="12" s="1"/>
  <c r="D426" i="12"/>
  <c r="I426" i="12"/>
  <c r="G429" i="12"/>
  <c r="K429" i="12"/>
  <c r="M429" i="12"/>
  <c r="C429" i="12"/>
  <c r="H429" i="12"/>
  <c r="O429" i="12"/>
  <c r="L429" i="12" s="1"/>
  <c r="D429" i="12"/>
  <c r="I429" i="12"/>
  <c r="N429" i="12"/>
  <c r="P429" i="12"/>
  <c r="A429" i="12" s="1"/>
  <c r="H432" i="12"/>
  <c r="P432" i="12"/>
  <c r="A432" i="12" s="1"/>
  <c r="C432" i="12"/>
  <c r="G432" i="12"/>
  <c r="K432" i="12"/>
  <c r="M432" i="12"/>
  <c r="D432" i="12"/>
  <c r="I432" i="12"/>
  <c r="N432" i="12"/>
  <c r="O432" i="12"/>
  <c r="L432" i="12" s="1"/>
  <c r="G446" i="12"/>
  <c r="I446" i="12"/>
  <c r="N446" i="12"/>
  <c r="P446" i="12"/>
  <c r="A446" i="12" s="1"/>
  <c r="C446" i="12"/>
  <c r="H446" i="12"/>
  <c r="K446" i="12"/>
  <c r="M446" i="12"/>
  <c r="O446" i="12"/>
  <c r="L446" i="12" s="1"/>
  <c r="D446" i="12"/>
  <c r="G448" i="12"/>
  <c r="I448" i="12"/>
  <c r="K448" i="12"/>
  <c r="M448" i="12"/>
  <c r="P448" i="12"/>
  <c r="A448" i="12" s="1"/>
  <c r="C448" i="12"/>
  <c r="D448" i="12"/>
  <c r="H448" i="12"/>
  <c r="N448" i="12"/>
  <c r="O448" i="12"/>
  <c r="L448" i="12" s="1"/>
  <c r="G450" i="12"/>
  <c r="C450" i="12"/>
  <c r="D450" i="12"/>
  <c r="H450" i="12"/>
  <c r="I450" i="12"/>
  <c r="K450" i="12"/>
  <c r="M450" i="12"/>
  <c r="N450" i="12"/>
  <c r="O450" i="12"/>
  <c r="L450" i="12" s="1"/>
  <c r="P450" i="12"/>
  <c r="A450" i="12" s="1"/>
  <c r="C451" i="12"/>
  <c r="D451" i="12"/>
  <c r="G451" i="12"/>
  <c r="H451" i="12"/>
  <c r="I451" i="12"/>
  <c r="K451" i="12"/>
  <c r="M451" i="12"/>
  <c r="N451" i="12"/>
  <c r="O451" i="12"/>
  <c r="L451" i="12" s="1"/>
  <c r="P451" i="12"/>
  <c r="A451" i="12" s="1"/>
  <c r="G454" i="12"/>
  <c r="K454" i="12"/>
  <c r="N454" i="12"/>
  <c r="O454" i="12"/>
  <c r="L454" i="12" s="1"/>
  <c r="D454" i="12"/>
  <c r="I454" i="12"/>
  <c r="M454" i="12"/>
  <c r="C454" i="12"/>
  <c r="H454" i="12"/>
  <c r="P454" i="12"/>
  <c r="A454" i="12" s="1"/>
  <c r="G459" i="12"/>
  <c r="N459" i="12"/>
  <c r="P459" i="12"/>
  <c r="A459" i="12" s="1"/>
  <c r="D459" i="12"/>
  <c r="I459" i="12"/>
  <c r="C459" i="12"/>
  <c r="H459" i="12"/>
  <c r="K459" i="12"/>
  <c r="M459" i="12"/>
  <c r="O459" i="12"/>
  <c r="L459" i="12" s="1"/>
  <c r="D461" i="12"/>
  <c r="I461" i="12"/>
  <c r="N461" i="12"/>
  <c r="G461" i="12"/>
  <c r="K461" i="12"/>
  <c r="M461" i="12"/>
  <c r="C461" i="12"/>
  <c r="H461" i="12"/>
  <c r="O461" i="12"/>
  <c r="L461" i="12" s="1"/>
  <c r="P461" i="12"/>
  <c r="A461" i="12" s="1"/>
  <c r="D462" i="12"/>
  <c r="G462" i="12"/>
  <c r="I462" i="12"/>
  <c r="P462" i="12"/>
  <c r="A462" i="12" s="1"/>
  <c r="C462" i="12"/>
  <c r="H462" i="12"/>
  <c r="K462" i="12"/>
  <c r="M462" i="12"/>
  <c r="N462" i="12"/>
  <c r="O462" i="12"/>
  <c r="L462" i="12" s="1"/>
  <c r="G463" i="12"/>
  <c r="N463" i="12"/>
  <c r="P463" i="12"/>
  <c r="A463" i="12" s="1"/>
  <c r="D463" i="12"/>
  <c r="I463" i="12"/>
  <c r="C463" i="12"/>
  <c r="H463" i="12"/>
  <c r="K463" i="12"/>
  <c r="M463" i="12"/>
  <c r="O463" i="12"/>
  <c r="L463" i="12" s="1"/>
  <c r="I472" i="12"/>
  <c r="D472" i="12"/>
  <c r="H472" i="12"/>
  <c r="K472" i="12"/>
  <c r="M472" i="12"/>
  <c r="O472" i="12"/>
  <c r="L472" i="12" s="1"/>
  <c r="C472" i="12"/>
  <c r="G472" i="12"/>
  <c r="N472" i="12"/>
  <c r="P472" i="12"/>
  <c r="A472" i="12" s="1"/>
  <c r="D473" i="12"/>
  <c r="I473" i="12"/>
  <c r="C473" i="12"/>
  <c r="G473" i="12"/>
  <c r="H473" i="12"/>
  <c r="K473" i="12"/>
  <c r="M473" i="12"/>
  <c r="N473" i="12"/>
  <c r="O473" i="12"/>
  <c r="L473" i="12" s="1"/>
  <c r="P473" i="12"/>
  <c r="A473" i="12" s="1"/>
  <c r="D474" i="12"/>
  <c r="H474" i="12"/>
  <c r="K474" i="12"/>
  <c r="M474" i="12"/>
  <c r="O474" i="12"/>
  <c r="L474" i="12" s="1"/>
  <c r="C474" i="12"/>
  <c r="G474" i="12"/>
  <c r="I474" i="12"/>
  <c r="N474" i="12"/>
  <c r="P474" i="12"/>
  <c r="A474" i="12" s="1"/>
  <c r="D477" i="12"/>
  <c r="I477" i="12"/>
  <c r="K477" i="12"/>
  <c r="P477" i="12"/>
  <c r="A477" i="12" s="1"/>
  <c r="M477" i="12"/>
  <c r="C477" i="12"/>
  <c r="G477" i="12"/>
  <c r="H477" i="12"/>
  <c r="N477" i="12"/>
  <c r="O477" i="12"/>
  <c r="L477" i="12" s="1"/>
  <c r="C480" i="12"/>
  <c r="D480" i="12"/>
  <c r="G480" i="12"/>
  <c r="H480" i="12"/>
  <c r="I480" i="12"/>
  <c r="K480" i="12"/>
  <c r="M480" i="12"/>
  <c r="N480" i="12"/>
  <c r="O480" i="12"/>
  <c r="L480" i="12" s="1"/>
  <c r="P480" i="12"/>
  <c r="A480" i="12" s="1"/>
  <c r="C481" i="12"/>
  <c r="D481" i="12"/>
  <c r="G481" i="12"/>
  <c r="H481" i="12"/>
  <c r="I481" i="12"/>
  <c r="K481" i="12"/>
  <c r="M481" i="12"/>
  <c r="N481" i="12"/>
  <c r="O481" i="12"/>
  <c r="L481" i="12" s="1"/>
  <c r="P481" i="12"/>
  <c r="A481" i="12" s="1"/>
  <c r="C482" i="12"/>
  <c r="D482" i="12"/>
  <c r="G482" i="12"/>
  <c r="H482" i="12"/>
  <c r="I482" i="12"/>
  <c r="K482" i="12"/>
  <c r="M482" i="12"/>
  <c r="N482" i="12"/>
  <c r="O482" i="12"/>
  <c r="L482" i="12" s="1"/>
  <c r="P482" i="12"/>
  <c r="A482" i="12" s="1"/>
  <c r="D372" i="12"/>
  <c r="I372" i="12"/>
  <c r="N372" i="12"/>
  <c r="P372" i="12"/>
  <c r="A372" i="12" s="1"/>
  <c r="C372" i="12"/>
  <c r="G372" i="12"/>
  <c r="K372" i="12"/>
  <c r="M372" i="12"/>
  <c r="O372" i="12"/>
  <c r="L372" i="12" s="1"/>
  <c r="H372" i="12"/>
  <c r="D374" i="12"/>
  <c r="H374" i="12"/>
  <c r="C374" i="12"/>
  <c r="I374" i="12"/>
  <c r="N374" i="12"/>
  <c r="P374" i="12"/>
  <c r="A374" i="12" s="1"/>
  <c r="G374" i="12"/>
  <c r="K374" i="12"/>
  <c r="M374" i="12"/>
  <c r="O374" i="12"/>
  <c r="L374" i="12" s="1"/>
  <c r="G375" i="12"/>
  <c r="I375" i="12"/>
  <c r="K375" i="12"/>
  <c r="N375" i="12"/>
  <c r="P375" i="12"/>
  <c r="A375" i="12" s="1"/>
  <c r="D375" i="12"/>
  <c r="H375" i="12"/>
  <c r="M375" i="12"/>
  <c r="C375" i="12"/>
  <c r="O375" i="12"/>
  <c r="L375" i="12" s="1"/>
  <c r="D378" i="12"/>
  <c r="K378" i="12"/>
  <c r="N378" i="12"/>
  <c r="C378" i="12"/>
  <c r="G378" i="12"/>
  <c r="H378" i="12"/>
  <c r="I378" i="12"/>
  <c r="M378" i="12"/>
  <c r="O378" i="12"/>
  <c r="L378" i="12" s="1"/>
  <c r="P378" i="12"/>
  <c r="A378" i="12" s="1"/>
  <c r="G381" i="12"/>
  <c r="H381" i="12"/>
  <c r="N381" i="12"/>
  <c r="O381" i="12"/>
  <c r="L381" i="12" s="1"/>
  <c r="C381" i="12"/>
  <c r="I381" i="12"/>
  <c r="D381" i="12"/>
  <c r="K381" i="12"/>
  <c r="M381" i="12"/>
  <c r="P381" i="12"/>
  <c r="A381" i="12" s="1"/>
  <c r="D391" i="12"/>
  <c r="H391" i="12"/>
  <c r="K391" i="12"/>
  <c r="M391" i="12"/>
  <c r="N391" i="12"/>
  <c r="O391" i="12"/>
  <c r="L391" i="12" s="1"/>
  <c r="C391" i="12"/>
  <c r="G391" i="12"/>
  <c r="I391" i="12"/>
  <c r="P391" i="12"/>
  <c r="A391" i="12" s="1"/>
  <c r="C392" i="12"/>
  <c r="G392" i="12"/>
  <c r="I392" i="12"/>
  <c r="K392" i="12"/>
  <c r="M392" i="12"/>
  <c r="O392" i="12"/>
  <c r="L392" i="12" s="1"/>
  <c r="D392" i="12"/>
  <c r="H392" i="12"/>
  <c r="N392" i="12"/>
  <c r="P392" i="12"/>
  <c r="A392" i="12" s="1"/>
  <c r="C393" i="12"/>
  <c r="D393" i="12"/>
  <c r="H393" i="12"/>
  <c r="I393" i="12"/>
  <c r="K393" i="12"/>
  <c r="M393" i="12"/>
  <c r="N393" i="12"/>
  <c r="O393" i="12"/>
  <c r="L393" i="12" s="1"/>
  <c r="P393" i="12"/>
  <c r="A393" i="12" s="1"/>
  <c r="G393" i="12"/>
  <c r="C396" i="12"/>
  <c r="M396" i="12"/>
  <c r="D396" i="12"/>
  <c r="G396" i="12"/>
  <c r="H396" i="12"/>
  <c r="I396" i="12"/>
  <c r="K396" i="12"/>
  <c r="N396" i="12"/>
  <c r="O396" i="12"/>
  <c r="L396" i="12" s="1"/>
  <c r="P396" i="12"/>
  <c r="A396" i="12" s="1"/>
  <c r="C397" i="12"/>
  <c r="D397" i="12"/>
  <c r="H397" i="12"/>
  <c r="I397" i="12"/>
  <c r="K397" i="12"/>
  <c r="M397" i="12"/>
  <c r="N397" i="12"/>
  <c r="O397" i="12"/>
  <c r="L397" i="12" s="1"/>
  <c r="P397" i="12"/>
  <c r="A397" i="12" s="1"/>
  <c r="G397" i="12"/>
  <c r="D399" i="12"/>
  <c r="G399" i="12"/>
  <c r="I399" i="12"/>
  <c r="K399" i="12"/>
  <c r="M399" i="12"/>
  <c r="N399" i="12"/>
  <c r="O399" i="12"/>
  <c r="L399" i="12" s="1"/>
  <c r="P399" i="12"/>
  <c r="A399" i="12" s="1"/>
  <c r="C399" i="12"/>
  <c r="H399" i="12"/>
  <c r="C403" i="12"/>
  <c r="G403" i="12"/>
  <c r="K403" i="12"/>
  <c r="N403" i="12"/>
  <c r="O403" i="12"/>
  <c r="L403" i="12" s="1"/>
  <c r="P403" i="12"/>
  <c r="A403" i="12" s="1"/>
  <c r="D403" i="12"/>
  <c r="H403" i="12"/>
  <c r="I403" i="12"/>
  <c r="M403" i="12"/>
  <c r="C409" i="12"/>
  <c r="D409" i="12"/>
  <c r="H409" i="12"/>
  <c r="I409" i="12"/>
  <c r="K409" i="12"/>
  <c r="M409" i="12"/>
  <c r="N409" i="12"/>
  <c r="O409" i="12"/>
  <c r="L409" i="12" s="1"/>
  <c r="P409" i="12"/>
  <c r="A409" i="12" s="1"/>
  <c r="G409" i="12"/>
  <c r="H411" i="12"/>
  <c r="N411" i="12"/>
  <c r="O411" i="12"/>
  <c r="L411" i="12" s="1"/>
  <c r="D411" i="12"/>
  <c r="I411" i="12"/>
  <c r="C411" i="12"/>
  <c r="G411" i="12"/>
  <c r="K411" i="12"/>
  <c r="M411" i="12"/>
  <c r="P411" i="12"/>
  <c r="A411" i="12" s="1"/>
  <c r="C414" i="12"/>
  <c r="D414" i="12"/>
  <c r="H414" i="12"/>
  <c r="I414" i="12"/>
  <c r="K414" i="12"/>
  <c r="M414" i="12"/>
  <c r="N414" i="12"/>
  <c r="P414" i="12"/>
  <c r="A414" i="12" s="1"/>
  <c r="G414" i="12"/>
  <c r="O414" i="12"/>
  <c r="L414" i="12" s="1"/>
  <c r="D415" i="12"/>
  <c r="H415" i="12"/>
  <c r="K415" i="12"/>
  <c r="M415" i="12"/>
  <c r="O415" i="12"/>
  <c r="L415" i="12" s="1"/>
  <c r="C415" i="12"/>
  <c r="N415" i="12"/>
  <c r="P415" i="12"/>
  <c r="A415" i="12" s="1"/>
  <c r="G415" i="12"/>
  <c r="I415" i="12"/>
  <c r="D420" i="12"/>
  <c r="I420" i="12"/>
  <c r="N420" i="12"/>
  <c r="P420" i="12"/>
  <c r="A420" i="12" s="1"/>
  <c r="C420" i="12"/>
  <c r="H420" i="12"/>
  <c r="M420" i="12"/>
  <c r="O420" i="12"/>
  <c r="L420" i="12" s="1"/>
  <c r="G420" i="12"/>
  <c r="K420" i="12"/>
  <c r="D423" i="12"/>
  <c r="C423" i="12"/>
  <c r="G423" i="12"/>
  <c r="I423" i="12"/>
  <c r="N423" i="12"/>
  <c r="P423" i="12"/>
  <c r="A423" i="12" s="1"/>
  <c r="H423" i="12"/>
  <c r="K423" i="12"/>
  <c r="M423" i="12"/>
  <c r="O423" i="12"/>
  <c r="L423" i="12" s="1"/>
  <c r="D424" i="12"/>
  <c r="I424" i="12"/>
  <c r="M424" i="12"/>
  <c r="O424" i="12"/>
  <c r="L424" i="12" s="1"/>
  <c r="C424" i="12"/>
  <c r="G424" i="12"/>
  <c r="K424" i="12"/>
  <c r="N424" i="12"/>
  <c r="H424" i="12"/>
  <c r="P424" i="12"/>
  <c r="A424" i="12" s="1"/>
  <c r="D428" i="12"/>
  <c r="H428" i="12"/>
  <c r="O428" i="12"/>
  <c r="L428" i="12" s="1"/>
  <c r="C428" i="12"/>
  <c r="G428" i="12"/>
  <c r="I428" i="12"/>
  <c r="M428" i="12"/>
  <c r="N428" i="12"/>
  <c r="P428" i="12"/>
  <c r="A428" i="12" s="1"/>
  <c r="K428" i="12"/>
  <c r="G430" i="12"/>
  <c r="K430" i="12"/>
  <c r="C430" i="12"/>
  <c r="I430" i="12"/>
  <c r="M430" i="12"/>
  <c r="N430" i="12"/>
  <c r="D430" i="12"/>
  <c r="H430" i="12"/>
  <c r="O430" i="12"/>
  <c r="L430" i="12" s="1"/>
  <c r="P430" i="12"/>
  <c r="A430" i="12" s="1"/>
  <c r="G433" i="12"/>
  <c r="I433" i="12"/>
  <c r="M433" i="12"/>
  <c r="P433" i="12"/>
  <c r="A433" i="12" s="1"/>
  <c r="D433" i="12"/>
  <c r="C433" i="12"/>
  <c r="H433" i="12"/>
  <c r="K433" i="12"/>
  <c r="N433" i="12"/>
  <c r="O433" i="12"/>
  <c r="L433" i="12" s="1"/>
  <c r="G435" i="12"/>
  <c r="K435" i="12"/>
  <c r="N435" i="12"/>
  <c r="D435" i="12"/>
  <c r="I435" i="12"/>
  <c r="M435" i="12"/>
  <c r="O435" i="12"/>
  <c r="L435" i="12" s="1"/>
  <c r="C435" i="12"/>
  <c r="H435" i="12"/>
  <c r="P435" i="12"/>
  <c r="A435" i="12" s="1"/>
  <c r="G436" i="12"/>
  <c r="K436" i="12"/>
  <c r="C436" i="12"/>
  <c r="I436" i="12"/>
  <c r="M436" i="12"/>
  <c r="O436" i="12"/>
  <c r="L436" i="12" s="1"/>
  <c r="P436" i="12"/>
  <c r="A436" i="12" s="1"/>
  <c r="D436" i="12"/>
  <c r="H436" i="12"/>
  <c r="N436" i="12"/>
  <c r="G437" i="12"/>
  <c r="N437" i="12"/>
  <c r="P437" i="12"/>
  <c r="A437" i="12" s="1"/>
  <c r="C437" i="12"/>
  <c r="D437" i="12"/>
  <c r="I437" i="12"/>
  <c r="M437" i="12"/>
  <c r="H437" i="12"/>
  <c r="K437" i="12"/>
  <c r="O437" i="12"/>
  <c r="L437" i="12" s="1"/>
  <c r="D439" i="12"/>
  <c r="C439" i="12"/>
  <c r="H439" i="12"/>
  <c r="K439" i="12"/>
  <c r="N439" i="12"/>
  <c r="P439" i="12"/>
  <c r="A439" i="12" s="1"/>
  <c r="G439" i="12"/>
  <c r="I439" i="12"/>
  <c r="M439" i="12"/>
  <c r="O439" i="12"/>
  <c r="L439" i="12" s="1"/>
  <c r="G440" i="12"/>
  <c r="I440" i="12"/>
  <c r="C440" i="12"/>
  <c r="H440" i="12"/>
  <c r="K440" i="12"/>
  <c r="M440" i="12"/>
  <c r="O440" i="12"/>
  <c r="L440" i="12" s="1"/>
  <c r="D440" i="12"/>
  <c r="N440" i="12"/>
  <c r="P440" i="12"/>
  <c r="A440" i="12" s="1"/>
  <c r="G441" i="12"/>
  <c r="K441" i="12"/>
  <c r="C441" i="12"/>
  <c r="D441" i="12"/>
  <c r="H441" i="12"/>
  <c r="N441" i="12"/>
  <c r="O441" i="12"/>
  <c r="L441" i="12" s="1"/>
  <c r="I441" i="12"/>
  <c r="M441" i="12"/>
  <c r="P441" i="12"/>
  <c r="A441" i="12" s="1"/>
  <c r="G442" i="12"/>
  <c r="K442" i="12"/>
  <c r="C442" i="12"/>
  <c r="H442" i="12"/>
  <c r="N442" i="12"/>
  <c r="P442" i="12"/>
  <c r="A442" i="12" s="1"/>
  <c r="D442" i="12"/>
  <c r="I442" i="12"/>
  <c r="M442" i="12"/>
  <c r="O442" i="12"/>
  <c r="L442" i="12" s="1"/>
  <c r="D443" i="12"/>
  <c r="K443" i="12"/>
  <c r="G443" i="12"/>
  <c r="I443" i="12"/>
  <c r="N443" i="12"/>
  <c r="P443" i="12"/>
  <c r="A443" i="12" s="1"/>
  <c r="C443" i="12"/>
  <c r="H443" i="12"/>
  <c r="M443" i="12"/>
  <c r="O443" i="12"/>
  <c r="L443" i="12" s="1"/>
  <c r="G444" i="12"/>
  <c r="I444" i="12"/>
  <c r="N444" i="12"/>
  <c r="O444" i="12"/>
  <c r="L444" i="12" s="1"/>
  <c r="P444" i="12"/>
  <c r="A444" i="12" s="1"/>
  <c r="C444" i="12"/>
  <c r="H444" i="12"/>
  <c r="D444" i="12"/>
  <c r="K444" i="12"/>
  <c r="M444" i="12"/>
  <c r="D449" i="12"/>
  <c r="H449" i="12"/>
  <c r="M449" i="12"/>
  <c r="O449" i="12"/>
  <c r="L449" i="12" s="1"/>
  <c r="C449" i="12"/>
  <c r="I449" i="12"/>
  <c r="K449" i="12"/>
  <c r="N449" i="12"/>
  <c r="P449" i="12"/>
  <c r="A449" i="12" s="1"/>
  <c r="G449" i="12"/>
  <c r="G455" i="12"/>
  <c r="I455" i="12"/>
  <c r="N455" i="12"/>
  <c r="O455" i="12"/>
  <c r="L455" i="12" s="1"/>
  <c r="P455" i="12"/>
  <c r="A455" i="12" s="1"/>
  <c r="D455" i="12"/>
  <c r="K455" i="12"/>
  <c r="C455" i="12"/>
  <c r="H455" i="12"/>
  <c r="M455" i="12"/>
  <c r="D457" i="12"/>
  <c r="K457" i="12"/>
  <c r="C457" i="12"/>
  <c r="H457" i="12"/>
  <c r="N457" i="12"/>
  <c r="O457" i="12"/>
  <c r="L457" i="12" s="1"/>
  <c r="G457" i="12"/>
  <c r="I457" i="12"/>
  <c r="M457" i="12"/>
  <c r="P457" i="12"/>
  <c r="A457" i="12" s="1"/>
  <c r="D458" i="12"/>
  <c r="H458" i="12"/>
  <c r="K458" i="12"/>
  <c r="M458" i="12"/>
  <c r="P458" i="12"/>
  <c r="A458" i="12" s="1"/>
  <c r="C458" i="12"/>
  <c r="G458" i="12"/>
  <c r="I458" i="12"/>
  <c r="N458" i="12"/>
  <c r="O458" i="12"/>
  <c r="L458" i="12" s="1"/>
  <c r="G460" i="12"/>
  <c r="N460" i="12"/>
  <c r="P460" i="12"/>
  <c r="A460" i="12" s="1"/>
  <c r="D460" i="12"/>
  <c r="H460" i="12"/>
  <c r="K460" i="12"/>
  <c r="M460" i="12"/>
  <c r="O460" i="12"/>
  <c r="L460" i="12" s="1"/>
  <c r="C460" i="12"/>
  <c r="I460" i="12"/>
  <c r="H464" i="12"/>
  <c r="I464" i="12"/>
  <c r="M464" i="12"/>
  <c r="N464" i="12"/>
  <c r="P464" i="12"/>
  <c r="A464" i="12" s="1"/>
  <c r="D464" i="12"/>
  <c r="K464" i="12"/>
  <c r="C464" i="12"/>
  <c r="G464" i="12"/>
  <c r="O464" i="12"/>
  <c r="L464" i="12" s="1"/>
  <c r="G466" i="12"/>
  <c r="C466" i="12"/>
  <c r="H466" i="12"/>
  <c r="I466" i="12"/>
  <c r="K466" i="12"/>
  <c r="M466" i="12"/>
  <c r="O466" i="12"/>
  <c r="L466" i="12" s="1"/>
  <c r="D466" i="12"/>
  <c r="N466" i="12"/>
  <c r="P466" i="12"/>
  <c r="A466" i="12" s="1"/>
  <c r="I467" i="12"/>
  <c r="N467" i="12"/>
  <c r="O467" i="12"/>
  <c r="L467" i="12" s="1"/>
  <c r="C467" i="12"/>
  <c r="H467" i="12"/>
  <c r="K467" i="12"/>
  <c r="D467" i="12"/>
  <c r="G467" i="12"/>
  <c r="M467" i="12"/>
  <c r="P467" i="12"/>
  <c r="A467" i="12" s="1"/>
  <c r="G469" i="12"/>
  <c r="I469" i="12"/>
  <c r="C469" i="12"/>
  <c r="H469" i="12"/>
  <c r="K469" i="12"/>
  <c r="M469" i="12"/>
  <c r="N469" i="12"/>
  <c r="O469" i="12"/>
  <c r="L469" i="12" s="1"/>
  <c r="D469" i="12"/>
  <c r="P469" i="12"/>
  <c r="A469" i="12" s="1"/>
  <c r="D470" i="12"/>
  <c r="C470" i="12"/>
  <c r="H470" i="12"/>
  <c r="K470" i="12"/>
  <c r="M470" i="12"/>
  <c r="N470" i="12"/>
  <c r="O470" i="12"/>
  <c r="L470" i="12" s="1"/>
  <c r="G470" i="12"/>
  <c r="I470" i="12"/>
  <c r="P470" i="12"/>
  <c r="A470" i="12" s="1"/>
  <c r="D471" i="12"/>
  <c r="P471" i="12"/>
  <c r="A471" i="12" s="1"/>
  <c r="G471" i="12"/>
  <c r="I471" i="12"/>
  <c r="M471" i="12"/>
  <c r="O471" i="12"/>
  <c r="L471" i="12" s="1"/>
  <c r="C471" i="12"/>
  <c r="H471" i="12"/>
  <c r="K471" i="12"/>
  <c r="N471" i="12"/>
  <c r="D475" i="12"/>
  <c r="H475" i="12"/>
  <c r="K475" i="12"/>
  <c r="M475" i="12"/>
  <c r="O475" i="12"/>
  <c r="L475" i="12" s="1"/>
  <c r="C475" i="12"/>
  <c r="I475" i="12"/>
  <c r="G475" i="12"/>
  <c r="N475" i="12"/>
  <c r="P475" i="12"/>
  <c r="A475" i="12" s="1"/>
  <c r="D166" i="6"/>
  <c r="M158"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M100" i="6"/>
  <c r="G156" i="6"/>
  <c r="E165" i="6" s="1"/>
  <c r="D164" i="6"/>
  <c r="B167" i="4"/>
  <c r="H130" i="4"/>
  <c r="E137" i="4"/>
  <c r="E142" i="4" s="1"/>
  <c r="I230" i="2"/>
  <c r="H234" i="2"/>
  <c r="AE87" i="2"/>
  <c r="F15" i="2"/>
  <c r="AE15" i="2" s="1"/>
  <c r="G220" i="2"/>
  <c r="H220" i="2" s="1"/>
  <c r="I220" i="2" s="1"/>
  <c r="J220" i="2" s="1"/>
  <c r="K220" i="2" s="1"/>
  <c r="L220" i="2" s="1"/>
  <c r="M220" i="2" s="1"/>
  <c r="N220" i="2" s="1"/>
  <c r="O220" i="2" s="1"/>
  <c r="P220" i="2" s="1"/>
  <c r="Q220" i="2" s="1"/>
  <c r="R220" i="2" s="1"/>
  <c r="S220" i="2" s="1"/>
  <c r="T220" i="2" s="1"/>
  <c r="U220" i="2" s="1"/>
  <c r="V220" i="2" s="1"/>
  <c r="W220" i="2" s="1"/>
  <c r="X220" i="2" s="1"/>
  <c r="Y220" i="2" s="1"/>
  <c r="Z220" i="2" s="1"/>
  <c r="AA220" i="2" s="1"/>
  <c r="AB220" i="2" s="1"/>
  <c r="AC220" i="2" s="1"/>
  <c r="AD220" i="2" s="1"/>
  <c r="G218" i="2"/>
  <c r="H36" i="3"/>
  <c r="G40" i="3"/>
  <c r="D13" i="25"/>
  <c r="D34" i="25" s="1"/>
  <c r="D33" i="25" s="1"/>
  <c r="D32" i="25"/>
  <c r="I32" i="25"/>
  <c r="I13" i="25"/>
  <c r="I34" i="25" s="1"/>
  <c r="I33" i="25" s="1"/>
  <c r="H32" i="25"/>
  <c r="H13" i="25"/>
  <c r="H34" i="25" s="1"/>
  <c r="H33" i="25" s="1"/>
  <c r="F13" i="25"/>
  <c r="F34" i="25" s="1"/>
  <c r="F32" i="25"/>
  <c r="C13" i="25"/>
  <c r="C34" i="25" s="1"/>
  <c r="C32" i="25"/>
  <c r="E138" i="4"/>
  <c r="G39" i="3"/>
  <c r="H39" i="3" s="1"/>
  <c r="I39" i="3" s="1"/>
  <c r="J39" i="3" s="1"/>
  <c r="K39" i="3" s="1"/>
  <c r="L39" i="3" s="1"/>
  <c r="M39" i="3" s="1"/>
  <c r="N39" i="3" s="1"/>
  <c r="O39" i="3" s="1"/>
  <c r="P39" i="3" s="1"/>
  <c r="Q39" i="3" s="1"/>
  <c r="F194" i="6"/>
  <c r="H150" i="6"/>
  <c r="H126" i="4"/>
  <c r="H52" i="4"/>
  <c r="H80" i="4" s="1"/>
  <c r="J33" i="25"/>
  <c r="G239" i="8"/>
  <c r="G240" i="8" s="1"/>
  <c r="E69" i="11"/>
  <c r="F69" i="11" s="1"/>
  <c r="E67" i="11"/>
  <c r="C528" i="12" l="1"/>
  <c r="G528" i="12"/>
  <c r="D528" i="12"/>
  <c r="D529" i="12"/>
  <c r="C529" i="12"/>
  <c r="G529" i="12"/>
  <c r="C530" i="12"/>
  <c r="G530" i="12"/>
  <c r="D530" i="12"/>
  <c r="D531" i="12"/>
  <c r="C531" i="12"/>
  <c r="G531" i="12"/>
  <c r="C532" i="12"/>
  <c r="D532" i="12"/>
  <c r="G532" i="12"/>
  <c r="C533" i="12"/>
  <c r="D533" i="12"/>
  <c r="G533" i="12"/>
  <c r="C534" i="12"/>
  <c r="G534" i="12"/>
  <c r="D534" i="12"/>
  <c r="D535" i="12"/>
  <c r="C535" i="12"/>
  <c r="G535" i="12"/>
  <c r="C536" i="12"/>
  <c r="G536" i="12"/>
  <c r="D536" i="12"/>
  <c r="D537" i="12"/>
  <c r="C537" i="12"/>
  <c r="G537" i="12"/>
  <c r="C538" i="12"/>
  <c r="G538" i="12"/>
  <c r="D538" i="12"/>
  <c r="D539" i="12"/>
  <c r="C539" i="12"/>
  <c r="G539" i="12"/>
  <c r="C540" i="12"/>
  <c r="G540" i="12"/>
  <c r="D540" i="12"/>
  <c r="D541" i="12"/>
  <c r="C541" i="12"/>
  <c r="G541" i="12"/>
  <c r="C542" i="12"/>
  <c r="G542" i="12"/>
  <c r="D542" i="12"/>
  <c r="D543" i="12"/>
  <c r="C543" i="12"/>
  <c r="G543" i="12"/>
  <c r="C544" i="12"/>
  <c r="G544" i="12"/>
  <c r="D544" i="12"/>
  <c r="C545" i="12"/>
  <c r="D545" i="12"/>
  <c r="G545" i="12"/>
  <c r="C546" i="12"/>
  <c r="D546" i="12"/>
  <c r="G546" i="12"/>
  <c r="C547" i="12"/>
  <c r="D547" i="12"/>
  <c r="G547" i="12"/>
  <c r="C548" i="12"/>
  <c r="D548" i="12"/>
  <c r="G548" i="12"/>
  <c r="C549" i="12"/>
  <c r="D549" i="12"/>
  <c r="G549" i="12"/>
  <c r="C550" i="12"/>
  <c r="D550" i="12"/>
  <c r="G550" i="12"/>
  <c r="C551" i="12"/>
  <c r="D551" i="12"/>
  <c r="G551" i="12"/>
  <c r="C552" i="12"/>
  <c r="D552" i="12"/>
  <c r="G552" i="12"/>
  <c r="D553" i="12"/>
  <c r="C553" i="12"/>
  <c r="G553" i="12"/>
  <c r="C554" i="12"/>
  <c r="D554" i="12"/>
  <c r="G554" i="12"/>
  <c r="C555" i="12"/>
  <c r="G555" i="12"/>
  <c r="D555" i="12"/>
  <c r="C556" i="12"/>
  <c r="G556" i="12"/>
  <c r="D556" i="12"/>
  <c r="D557" i="12"/>
  <c r="G557" i="12"/>
  <c r="C557" i="12"/>
  <c r="C558" i="12"/>
  <c r="D558" i="12"/>
  <c r="G558" i="12"/>
  <c r="C559" i="12"/>
  <c r="G559" i="12"/>
  <c r="D559" i="12"/>
  <c r="D560" i="12"/>
  <c r="C560" i="12"/>
  <c r="G560" i="12"/>
  <c r="C561" i="12"/>
  <c r="G561" i="12"/>
  <c r="D561" i="12"/>
  <c r="C562" i="12"/>
  <c r="D562" i="12"/>
  <c r="G562" i="12"/>
  <c r="C563" i="12"/>
  <c r="G563" i="12"/>
  <c r="D563" i="12"/>
  <c r="D564" i="12"/>
  <c r="C564" i="12"/>
  <c r="G564" i="12"/>
  <c r="C565" i="12"/>
  <c r="G565" i="12"/>
  <c r="D565" i="12"/>
  <c r="D566" i="12"/>
  <c r="G566" i="12"/>
  <c r="C566" i="12"/>
  <c r="G567" i="12"/>
  <c r="C567" i="12"/>
  <c r="D567" i="12"/>
  <c r="D568" i="12"/>
  <c r="C568" i="12"/>
  <c r="G568" i="12"/>
  <c r="D569" i="12"/>
  <c r="C569" i="12"/>
  <c r="G569" i="12"/>
  <c r="C570" i="12"/>
  <c r="G570" i="12"/>
  <c r="D570" i="12"/>
  <c r="D571" i="12"/>
  <c r="C571" i="12"/>
  <c r="G571" i="12"/>
  <c r="C572" i="12"/>
  <c r="D572" i="12"/>
  <c r="G572" i="12"/>
  <c r="C573" i="12"/>
  <c r="G573" i="12"/>
  <c r="D573" i="12"/>
  <c r="G574" i="12"/>
  <c r="C574" i="12"/>
  <c r="D574" i="12"/>
  <c r="D575" i="12"/>
  <c r="C575" i="12"/>
  <c r="G575" i="12"/>
  <c r="C576" i="12"/>
  <c r="G576" i="12"/>
  <c r="D576" i="12"/>
  <c r="D577" i="12"/>
  <c r="C577" i="12"/>
  <c r="G577" i="12"/>
  <c r="C578" i="12"/>
  <c r="D578" i="12"/>
  <c r="G578" i="12"/>
  <c r="G579" i="12"/>
  <c r="C579" i="12"/>
  <c r="D579" i="12"/>
  <c r="C580" i="12"/>
  <c r="G580" i="12"/>
  <c r="D580" i="12"/>
  <c r="D581" i="12"/>
  <c r="G581" i="12"/>
  <c r="C581" i="12"/>
  <c r="C582" i="12"/>
  <c r="D582" i="12"/>
  <c r="G582" i="12"/>
  <c r="C583" i="12"/>
  <c r="D583" i="12"/>
  <c r="G583" i="12"/>
  <c r="C584" i="12"/>
  <c r="D584" i="12"/>
  <c r="G584" i="12"/>
  <c r="C585" i="12"/>
  <c r="D585" i="12"/>
  <c r="G585" i="12"/>
  <c r="C586" i="12"/>
  <c r="D586" i="12"/>
  <c r="G586" i="12"/>
  <c r="C587" i="12"/>
  <c r="D587" i="12"/>
  <c r="G587" i="12"/>
  <c r="C588" i="12"/>
  <c r="D588" i="12"/>
  <c r="G588" i="12"/>
  <c r="C589" i="12"/>
  <c r="D589" i="12"/>
  <c r="G589" i="12"/>
  <c r="C590" i="12"/>
  <c r="D590" i="12"/>
  <c r="G590" i="12"/>
  <c r="C591" i="12"/>
  <c r="D591" i="12"/>
  <c r="G591" i="12"/>
  <c r="C592" i="12"/>
  <c r="D592" i="12"/>
  <c r="G592" i="12"/>
  <c r="C593" i="12"/>
  <c r="D593" i="12"/>
  <c r="G593" i="12"/>
  <c r="C594" i="12"/>
  <c r="D594" i="12"/>
  <c r="G594" i="12"/>
  <c r="C595" i="12"/>
  <c r="D595" i="12"/>
  <c r="G595" i="12"/>
  <c r="C596" i="12"/>
  <c r="D596" i="12"/>
  <c r="G596" i="12"/>
  <c r="C597" i="12"/>
  <c r="D597" i="12"/>
  <c r="G597" i="12"/>
  <c r="C598" i="12"/>
  <c r="D598" i="12"/>
  <c r="G598" i="12"/>
  <c r="C599" i="12"/>
  <c r="D599" i="12"/>
  <c r="G599" i="12"/>
  <c r="C600" i="12"/>
  <c r="D600" i="12"/>
  <c r="G600" i="12"/>
  <c r="C601" i="12"/>
  <c r="D601" i="12"/>
  <c r="G601" i="12"/>
  <c r="C602" i="12"/>
  <c r="D602" i="12"/>
  <c r="G602" i="12"/>
  <c r="C603" i="12"/>
  <c r="D603" i="12"/>
  <c r="G603" i="12"/>
  <c r="C604" i="12"/>
  <c r="D604" i="12"/>
  <c r="G604" i="12"/>
  <c r="C605" i="12"/>
  <c r="D605" i="12"/>
  <c r="G605" i="12"/>
  <c r="C606" i="12"/>
  <c r="D606" i="12"/>
  <c r="G606" i="12"/>
  <c r="C607" i="12"/>
  <c r="D607" i="12"/>
  <c r="G607" i="12"/>
  <c r="C608" i="12"/>
  <c r="D608" i="12"/>
  <c r="G608" i="12"/>
  <c r="C609" i="12"/>
  <c r="D609" i="12"/>
  <c r="G609" i="12"/>
  <c r="C610" i="12"/>
  <c r="D610" i="12"/>
  <c r="G610" i="12"/>
  <c r="C611" i="12"/>
  <c r="D611" i="12"/>
  <c r="G611" i="12"/>
  <c r="C612" i="12"/>
  <c r="D612" i="12"/>
  <c r="G612" i="12"/>
  <c r="C613" i="12"/>
  <c r="D613" i="12"/>
  <c r="G613" i="12"/>
  <c r="C614" i="12"/>
  <c r="D614" i="12"/>
  <c r="G614" i="12"/>
  <c r="C615" i="12"/>
  <c r="D615" i="12"/>
  <c r="G615" i="12"/>
  <c r="C616" i="12"/>
  <c r="D616" i="12"/>
  <c r="G616" i="12"/>
  <c r="C617" i="12"/>
  <c r="D617" i="12"/>
  <c r="G617" i="12"/>
  <c r="C618" i="12"/>
  <c r="D618" i="12"/>
  <c r="G618" i="12"/>
  <c r="C619" i="12"/>
  <c r="D619" i="12"/>
  <c r="G619" i="12"/>
  <c r="G620" i="12"/>
  <c r="C620" i="12"/>
  <c r="D620" i="12"/>
  <c r="G621" i="12"/>
  <c r="C621" i="12"/>
  <c r="D621" i="12"/>
  <c r="D622" i="12"/>
  <c r="G622" i="12"/>
  <c r="C622" i="12"/>
  <c r="D623" i="12"/>
  <c r="G623" i="12"/>
  <c r="C623" i="12"/>
  <c r="C624" i="12"/>
  <c r="D624" i="12"/>
  <c r="G624" i="12"/>
  <c r="C625" i="12"/>
  <c r="D625" i="12"/>
  <c r="G625" i="12"/>
  <c r="C626" i="12"/>
  <c r="G626" i="12"/>
  <c r="D626" i="12"/>
  <c r="C627" i="12"/>
  <c r="D627" i="12"/>
  <c r="G627" i="12"/>
  <c r="C628" i="12"/>
  <c r="D628" i="12"/>
  <c r="G628" i="12"/>
  <c r="D747" i="12"/>
  <c r="C747" i="12"/>
  <c r="G747" i="12"/>
  <c r="C748" i="12"/>
  <c r="G748" i="12"/>
  <c r="D748" i="12"/>
  <c r="D749" i="12"/>
  <c r="C749" i="12"/>
  <c r="G749" i="12"/>
  <c r="C750" i="12"/>
  <c r="D750" i="12"/>
  <c r="G750" i="12"/>
  <c r="C751" i="12"/>
  <c r="D751" i="12"/>
  <c r="G751" i="12"/>
  <c r="C752" i="12"/>
  <c r="D752" i="12"/>
  <c r="G752" i="12"/>
  <c r="C753" i="12"/>
  <c r="D753" i="12"/>
  <c r="G753" i="12"/>
  <c r="C754" i="12"/>
  <c r="D754" i="12"/>
  <c r="G754" i="12"/>
  <c r="C755" i="12"/>
  <c r="D755" i="12"/>
  <c r="G755" i="12"/>
  <c r="D756" i="12"/>
  <c r="C756" i="12"/>
  <c r="G756" i="12"/>
  <c r="C757" i="12"/>
  <c r="D757" i="12"/>
  <c r="G757" i="12"/>
  <c r="D758" i="12"/>
  <c r="C758" i="12"/>
  <c r="G758" i="12"/>
  <c r="C759" i="12"/>
  <c r="D759" i="12"/>
  <c r="G759" i="12"/>
  <c r="D760" i="12"/>
  <c r="C760" i="12"/>
  <c r="G760" i="12"/>
  <c r="D761" i="12"/>
  <c r="C761" i="12"/>
  <c r="G761" i="12"/>
  <c r="D762" i="12"/>
  <c r="C762" i="12"/>
  <c r="G762" i="12"/>
  <c r="C763" i="12"/>
  <c r="G763" i="12"/>
  <c r="D763" i="12"/>
  <c r="C764" i="12"/>
  <c r="D764" i="12"/>
  <c r="G764" i="12"/>
  <c r="C765" i="12"/>
  <c r="G765" i="12"/>
  <c r="D765" i="12"/>
  <c r="D766" i="12"/>
  <c r="G766" i="12"/>
  <c r="C766" i="12"/>
  <c r="G767" i="12"/>
  <c r="C767" i="12"/>
  <c r="D767" i="12"/>
  <c r="G768" i="12"/>
  <c r="C768" i="12"/>
  <c r="D768" i="12"/>
  <c r="D769" i="12"/>
  <c r="C769" i="12"/>
  <c r="G769" i="12"/>
  <c r="C770" i="12"/>
  <c r="D770" i="12"/>
  <c r="G770" i="12"/>
  <c r="C771" i="12"/>
  <c r="G771" i="12"/>
  <c r="D771" i="12"/>
  <c r="D772" i="12"/>
  <c r="C772" i="12"/>
  <c r="G772" i="12"/>
  <c r="C773" i="12"/>
  <c r="G773" i="12"/>
  <c r="D773" i="12"/>
  <c r="C633" i="12"/>
  <c r="D633" i="12"/>
  <c r="G633" i="12"/>
  <c r="C634" i="12"/>
  <c r="D634" i="12"/>
  <c r="G634" i="12"/>
  <c r="C639" i="12"/>
  <c r="D639" i="12"/>
  <c r="G639" i="12"/>
  <c r="C640" i="12"/>
  <c r="D640" i="12"/>
  <c r="G640" i="12"/>
  <c r="C642" i="12"/>
  <c r="D642" i="12"/>
  <c r="G642" i="12"/>
  <c r="C643" i="12"/>
  <c r="D643" i="12"/>
  <c r="G643" i="12"/>
  <c r="C644" i="12"/>
  <c r="D644" i="12"/>
  <c r="G644" i="12"/>
  <c r="C647" i="12"/>
  <c r="D647" i="12"/>
  <c r="G647" i="12"/>
  <c r="C669" i="12"/>
  <c r="D669" i="12"/>
  <c r="G669" i="12"/>
  <c r="C670" i="12"/>
  <c r="D670" i="12"/>
  <c r="G670" i="12"/>
  <c r="C674" i="12"/>
  <c r="D674" i="12"/>
  <c r="G674" i="12"/>
  <c r="C675" i="12"/>
  <c r="D675" i="12"/>
  <c r="G675" i="12"/>
  <c r="C676" i="12"/>
  <c r="D676" i="12"/>
  <c r="G676" i="12"/>
  <c r="C679" i="12"/>
  <c r="D679" i="12"/>
  <c r="G679" i="12"/>
  <c r="C682" i="12"/>
  <c r="D682" i="12"/>
  <c r="G682" i="12"/>
  <c r="C684" i="12"/>
  <c r="D684" i="12"/>
  <c r="G684" i="12"/>
  <c r="C688" i="12"/>
  <c r="D688" i="12"/>
  <c r="G688" i="12"/>
  <c r="C691" i="12"/>
  <c r="D691" i="12"/>
  <c r="G691" i="12"/>
  <c r="C695" i="12"/>
  <c r="D695" i="12"/>
  <c r="G695" i="12"/>
  <c r="C702" i="12"/>
  <c r="D702" i="12"/>
  <c r="G702" i="12"/>
  <c r="C704" i="12"/>
  <c r="D704" i="12"/>
  <c r="G704" i="12"/>
  <c r="C709" i="12"/>
  <c r="D709" i="12"/>
  <c r="G709" i="12"/>
  <c r="C710" i="12"/>
  <c r="D710" i="12"/>
  <c r="G710" i="12"/>
  <c r="C713" i="12"/>
  <c r="D713" i="12"/>
  <c r="G713" i="12"/>
  <c r="G722" i="12"/>
  <c r="C722" i="12"/>
  <c r="D722" i="12"/>
  <c r="D725" i="12"/>
  <c r="G725" i="12"/>
  <c r="C725" i="12"/>
  <c r="G733" i="12"/>
  <c r="C733" i="12"/>
  <c r="D733" i="12"/>
  <c r="G735" i="12"/>
  <c r="C735" i="12"/>
  <c r="D735" i="12"/>
  <c r="G736" i="12"/>
  <c r="C736" i="12"/>
  <c r="D736" i="12"/>
  <c r="G740" i="12"/>
  <c r="C740" i="12"/>
  <c r="D740" i="12"/>
  <c r="D741" i="12"/>
  <c r="C741" i="12"/>
  <c r="G741" i="12"/>
  <c r="C742" i="12"/>
  <c r="G742" i="12"/>
  <c r="D742" i="12"/>
  <c r="D743" i="12"/>
  <c r="G743" i="12"/>
  <c r="C743" i="12"/>
  <c r="G744" i="12"/>
  <c r="C744" i="12"/>
  <c r="D744" i="12"/>
  <c r="D745" i="12"/>
  <c r="C745" i="12"/>
  <c r="G745" i="12"/>
  <c r="C746" i="12"/>
  <c r="G746" i="12"/>
  <c r="D746" i="12"/>
  <c r="G774" i="12"/>
  <c r="C774" i="12"/>
  <c r="D774" i="12"/>
  <c r="C775" i="12"/>
  <c r="G775" i="12"/>
  <c r="D775" i="12"/>
  <c r="D776" i="12"/>
  <c r="C776" i="12"/>
  <c r="G776" i="12"/>
  <c r="C777" i="12"/>
  <c r="G777" i="12"/>
  <c r="D777" i="12"/>
  <c r="C630" i="12"/>
  <c r="D630" i="12"/>
  <c r="G630" i="12"/>
  <c r="C636" i="12"/>
  <c r="D636" i="12"/>
  <c r="G636" i="12"/>
  <c r="C637" i="12"/>
  <c r="D637" i="12"/>
  <c r="G637" i="12"/>
  <c r="C641" i="12"/>
  <c r="D641" i="12"/>
  <c r="G641" i="12"/>
  <c r="C645" i="12"/>
  <c r="D645" i="12"/>
  <c r="G645" i="12"/>
  <c r="C646" i="12"/>
  <c r="D646" i="12"/>
  <c r="G646" i="12"/>
  <c r="C651" i="12"/>
  <c r="D651" i="12"/>
  <c r="G651" i="12"/>
  <c r="C652" i="12"/>
  <c r="D652" i="12"/>
  <c r="G652" i="12"/>
  <c r="C655" i="12"/>
  <c r="D655" i="12"/>
  <c r="G655" i="12"/>
  <c r="C657" i="12"/>
  <c r="D657" i="12"/>
  <c r="G657" i="12"/>
  <c r="C658" i="12"/>
  <c r="D658" i="12"/>
  <c r="G658" i="12"/>
  <c r="C659" i="12"/>
  <c r="D659" i="12"/>
  <c r="G659" i="12"/>
  <c r="C661" i="12"/>
  <c r="D661" i="12"/>
  <c r="G661" i="12"/>
  <c r="C662" i="12"/>
  <c r="D662" i="12"/>
  <c r="G662" i="12"/>
  <c r="C663" i="12"/>
  <c r="D663" i="12"/>
  <c r="G663" i="12"/>
  <c r="C664" i="12"/>
  <c r="D664" i="12"/>
  <c r="G664" i="12"/>
  <c r="C665" i="12"/>
  <c r="D665" i="12"/>
  <c r="G665" i="12"/>
  <c r="C667" i="12"/>
  <c r="D667" i="12"/>
  <c r="G667" i="12"/>
  <c r="C673" i="12"/>
  <c r="D673" i="12"/>
  <c r="G673" i="12"/>
  <c r="C678" i="12"/>
  <c r="D678" i="12"/>
  <c r="G678" i="12"/>
  <c r="C683" i="12"/>
  <c r="D683" i="12"/>
  <c r="G683" i="12"/>
  <c r="C686" i="12"/>
  <c r="D686" i="12"/>
  <c r="G686" i="12"/>
  <c r="C689" i="12"/>
  <c r="D689" i="12"/>
  <c r="G689" i="12"/>
  <c r="C703" i="12"/>
  <c r="D703" i="12"/>
  <c r="G703" i="12"/>
  <c r="C705" i="12"/>
  <c r="D705" i="12"/>
  <c r="G705" i="12"/>
  <c r="C707" i="12"/>
  <c r="D707" i="12"/>
  <c r="G707" i="12"/>
  <c r="C708" i="12"/>
  <c r="D708" i="12"/>
  <c r="G708" i="12"/>
  <c r="C711" i="12"/>
  <c r="D711" i="12"/>
  <c r="G711" i="12"/>
  <c r="C716" i="12"/>
  <c r="G716" i="12"/>
  <c r="D716" i="12"/>
  <c r="G718" i="12"/>
  <c r="C718" i="12"/>
  <c r="D718" i="12"/>
  <c r="D719" i="12"/>
  <c r="C719" i="12"/>
  <c r="G719" i="12"/>
  <c r="C720" i="12"/>
  <c r="D720" i="12"/>
  <c r="G720" i="12"/>
  <c r="C729" i="12"/>
  <c r="G729" i="12"/>
  <c r="D729" i="12"/>
  <c r="D730" i="12"/>
  <c r="C730" i="12"/>
  <c r="G730" i="12"/>
  <c r="C731" i="12"/>
  <c r="D731" i="12"/>
  <c r="G731" i="12"/>
  <c r="C734" i="12"/>
  <c r="G734" i="12"/>
  <c r="D734" i="12"/>
  <c r="D737" i="12"/>
  <c r="C737" i="12"/>
  <c r="G737" i="12"/>
  <c r="D738" i="12"/>
  <c r="C738" i="12"/>
  <c r="G738" i="12"/>
  <c r="C739" i="12"/>
  <c r="D739" i="12"/>
  <c r="G739" i="12"/>
  <c r="C629" i="12"/>
  <c r="D629" i="12"/>
  <c r="G629" i="12"/>
  <c r="C631" i="12"/>
  <c r="D631" i="12"/>
  <c r="G631" i="12"/>
  <c r="C632" i="12"/>
  <c r="D632" i="12"/>
  <c r="G632" i="12"/>
  <c r="C635" i="12"/>
  <c r="D635" i="12"/>
  <c r="G635" i="12"/>
  <c r="C638" i="12"/>
  <c r="D638" i="12"/>
  <c r="G638" i="12"/>
  <c r="C648" i="12"/>
  <c r="D648" i="12"/>
  <c r="G648" i="12"/>
  <c r="C649" i="12"/>
  <c r="D649" i="12"/>
  <c r="G649" i="12"/>
  <c r="C650" i="12"/>
  <c r="D650" i="12"/>
  <c r="G650" i="12"/>
  <c r="C653" i="12"/>
  <c r="D653" i="12"/>
  <c r="G653" i="12"/>
  <c r="C654" i="12"/>
  <c r="D654" i="12"/>
  <c r="G654" i="12"/>
  <c r="C656" i="12"/>
  <c r="D656" i="12"/>
  <c r="G656" i="12"/>
  <c r="C660" i="12"/>
  <c r="D660" i="12"/>
  <c r="G660" i="12"/>
  <c r="C666" i="12"/>
  <c r="D666" i="12"/>
  <c r="G666" i="12"/>
  <c r="C668" i="12"/>
  <c r="D668" i="12"/>
  <c r="G668" i="12"/>
  <c r="C671" i="12"/>
  <c r="D671" i="12"/>
  <c r="G671" i="12"/>
  <c r="C672" i="12"/>
  <c r="D672" i="12"/>
  <c r="G672" i="12"/>
  <c r="C677" i="12"/>
  <c r="D677" i="12"/>
  <c r="G677" i="12"/>
  <c r="C680" i="12"/>
  <c r="D680" i="12"/>
  <c r="G680" i="12"/>
  <c r="C681" i="12"/>
  <c r="D681" i="12"/>
  <c r="G681" i="12"/>
  <c r="C685" i="12"/>
  <c r="D685" i="12"/>
  <c r="G685" i="12"/>
  <c r="C687" i="12"/>
  <c r="D687" i="12"/>
  <c r="G687" i="12"/>
  <c r="C690" i="12"/>
  <c r="D690" i="12"/>
  <c r="G690" i="12"/>
  <c r="C692" i="12"/>
  <c r="D692" i="12"/>
  <c r="G692" i="12"/>
  <c r="C693" i="12"/>
  <c r="D693" i="12"/>
  <c r="G693" i="12"/>
  <c r="C694" i="12"/>
  <c r="D694" i="12"/>
  <c r="G694" i="12"/>
  <c r="C696" i="12"/>
  <c r="D696" i="12"/>
  <c r="G696" i="12"/>
  <c r="C697" i="12"/>
  <c r="D697" i="12"/>
  <c r="G697" i="12"/>
  <c r="C698" i="12"/>
  <c r="D698" i="12"/>
  <c r="G698" i="12"/>
  <c r="C699" i="12"/>
  <c r="D699" i="12"/>
  <c r="G699" i="12"/>
  <c r="C700" i="12"/>
  <c r="D700" i="12"/>
  <c r="G700" i="12"/>
  <c r="C701" i="12"/>
  <c r="D701" i="12"/>
  <c r="G701" i="12"/>
  <c r="C706" i="12"/>
  <c r="D706" i="12"/>
  <c r="G706" i="12"/>
  <c r="C712" i="12"/>
  <c r="D712" i="12"/>
  <c r="G712" i="12"/>
  <c r="C714" i="12"/>
  <c r="D714" i="12"/>
  <c r="G714" i="12"/>
  <c r="C715" i="12"/>
  <c r="D715" i="12"/>
  <c r="G715" i="12"/>
  <c r="C717" i="12"/>
  <c r="D717" i="12"/>
  <c r="G717" i="12"/>
  <c r="C721" i="12"/>
  <c r="G721" i="12"/>
  <c r="D721" i="12"/>
  <c r="D723" i="12"/>
  <c r="C723" i="12"/>
  <c r="G723" i="12"/>
  <c r="G724" i="12"/>
  <c r="C724" i="12"/>
  <c r="D724" i="12"/>
  <c r="C726" i="12"/>
  <c r="G726" i="12"/>
  <c r="D726" i="12"/>
  <c r="D727" i="12"/>
  <c r="C727" i="12"/>
  <c r="G727" i="12"/>
  <c r="C728" i="12"/>
  <c r="D728" i="12"/>
  <c r="G728" i="12"/>
  <c r="C732" i="12"/>
  <c r="D732" i="12"/>
  <c r="G732" i="12"/>
  <c r="G159" i="6"/>
  <c r="M156" i="6"/>
  <c r="E164" i="6"/>
  <c r="E167" i="6" s="1"/>
  <c r="F164" i="6"/>
  <c r="C167" i="4"/>
  <c r="H131" i="4"/>
  <c r="D139" i="4"/>
  <c r="J230" i="2"/>
  <c r="I234" i="2"/>
  <c r="I36" i="3"/>
  <c r="H40" i="3"/>
  <c r="D41" i="25"/>
  <c r="D44" i="25" s="1"/>
  <c r="D43" i="25"/>
  <c r="D42" i="25"/>
  <c r="I41" i="25"/>
  <c r="I44" i="25" s="1"/>
  <c r="I42" i="25"/>
  <c r="I43" i="25"/>
  <c r="H42" i="25"/>
  <c r="H43" i="25"/>
  <c r="H41" i="25"/>
  <c r="H44" i="25" s="1"/>
  <c r="J43" i="25"/>
  <c r="J42" i="25"/>
  <c r="J41" i="25"/>
  <c r="J44" i="25" s="1"/>
  <c r="F245" i="8"/>
  <c r="F242" i="8"/>
  <c r="G44" i="25"/>
  <c r="E44" i="25"/>
  <c r="M521" i="12"/>
  <c r="H61" i="6"/>
  <c r="H100" i="6" s="1"/>
  <c r="F33" i="25"/>
  <c r="C33" i="25"/>
  <c r="H99" i="6"/>
  <c r="F166" i="6" l="1"/>
  <c r="F165" i="6"/>
  <c r="F167" i="6" s="1"/>
  <c r="I161" i="6"/>
  <c r="K161" i="6"/>
  <c r="M159" i="6"/>
  <c r="N160" i="6"/>
  <c r="H132" i="4"/>
  <c r="H133" i="4"/>
  <c r="D140" i="4"/>
  <c r="F140" i="4" s="1"/>
  <c r="K230" i="2"/>
  <c r="J234" i="2"/>
  <c r="J36" i="3"/>
  <c r="I40" i="3"/>
  <c r="F42" i="25"/>
  <c r="F43" i="25"/>
  <c r="F41" i="25"/>
  <c r="F44" i="25" s="1"/>
  <c r="C43" i="25"/>
  <c r="C42" i="25"/>
  <c r="C41" i="25"/>
  <c r="C44" i="25" s="1"/>
  <c r="D141" i="4" l="1"/>
  <c r="F141" i="4" s="1"/>
  <c r="D167" i="4"/>
  <c r="F139" i="4"/>
  <c r="G158" i="4"/>
  <c r="G153" i="4"/>
  <c r="G164" i="4"/>
  <c r="G161" i="4"/>
  <c r="G155" i="4"/>
  <c r="G148" i="4"/>
  <c r="G162" i="4"/>
  <c r="G159" i="4"/>
  <c r="G154" i="4"/>
  <c r="G147" i="4"/>
  <c r="G165" i="4"/>
  <c r="G156" i="4"/>
  <c r="G151" i="4"/>
  <c r="G150" i="4"/>
  <c r="G163" i="4"/>
  <c r="G160" i="4"/>
  <c r="G157" i="4"/>
  <c r="G152" i="4"/>
  <c r="G149" i="4"/>
  <c r="E167" i="4"/>
  <c r="G146" i="4"/>
  <c r="F137" i="4"/>
  <c r="F142" i="4" s="1"/>
  <c r="F138" i="4"/>
  <c r="L230" i="2"/>
  <c r="K234" i="2"/>
  <c r="K36" i="3"/>
  <c r="J40" i="3"/>
  <c r="M230" i="2" l="1"/>
  <c r="L234" i="2"/>
  <c r="L36" i="3"/>
  <c r="K40" i="3"/>
  <c r="G166" i="4"/>
  <c r="N230" i="2" l="1"/>
  <c r="M234" i="2"/>
  <c r="M36" i="3"/>
  <c r="L40" i="3"/>
  <c r="O230" i="2" l="1"/>
  <c r="N234" i="2"/>
  <c r="N36" i="3"/>
  <c r="M40" i="3"/>
  <c r="P230" i="2" l="1"/>
  <c r="O234" i="2"/>
  <c r="O36" i="3"/>
  <c r="N40" i="3"/>
  <c r="Q230" i="2" l="1"/>
  <c r="P234" i="2"/>
  <c r="P36" i="3"/>
  <c r="O40" i="3"/>
  <c r="R230" i="2" l="1"/>
  <c r="Q234" i="2"/>
  <c r="Q36" i="3"/>
  <c r="Q40" i="3" s="1"/>
  <c r="P40" i="3"/>
  <c r="S230" i="2" l="1"/>
  <c r="R234" i="2"/>
  <c r="T230" i="2" l="1"/>
  <c r="S234" i="2"/>
  <c r="U230" i="2" l="1"/>
  <c r="T234" i="2"/>
  <c r="V230" i="2" l="1"/>
  <c r="U234" i="2"/>
  <c r="W230" i="2" l="1"/>
  <c r="V234" i="2"/>
  <c r="X230" i="2" l="1"/>
  <c r="W234" i="2"/>
  <c r="Y230" i="2" l="1"/>
  <c r="X234" i="2"/>
  <c r="Z230" i="2" l="1"/>
  <c r="Y234" i="2"/>
  <c r="AA230" i="2" l="1"/>
  <c r="Z234" i="2"/>
  <c r="AB230" i="2" l="1"/>
  <c r="AA234" i="2"/>
  <c r="AC230" i="2" l="1"/>
  <c r="AB234" i="2"/>
  <c r="AD230" i="2" l="1"/>
  <c r="AD234" i="2" s="1"/>
  <c r="AC23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10"/>
            <rFont val="Arial"/>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10"/>
            <rFont val="Arial"/>
            <family val="2"/>
          </rPr>
          <t xml:space="preserve">Contratos interadministrativos,
Contratos de prestación de servicios profesionales, 
Contratos sin pluralidad de oferentes, 
Entre otros. </t>
        </r>
      </text>
    </comment>
    <comment ref="J24" authorId="0" shapeId="0" xr:uid="{00000000-0006-0000-0000-000003000000}">
      <text>
        <r>
          <rPr>
            <sz val="10"/>
            <rFont val="Arial"/>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10"/>
            <rFont val="Arial"/>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2" authorId="0" shapeId="0" xr:uid="{00000000-0006-0000-0100-000001000000}">
      <text>
        <r>
          <rPr>
            <sz val="10"/>
            <rFont val="Arial"/>
            <family val="2"/>
          </rPr>
          <t>En caso que el proceso actual se derive de una contratación, considerar la programación física y financiera del proceso inicial para la programación del presente proceso</t>
        </r>
      </text>
    </comment>
    <comment ref="A13" authorId="0" shapeId="0" xr:uid="{00000000-0006-0000-0100-000002000000}">
      <text>
        <r>
          <rPr>
            <sz val="10"/>
            <rFont val="Arial"/>
            <family val="2"/>
          </rPr>
          <t>Desplegar las celdas ocultas en caso de requerirse</t>
        </r>
      </text>
    </comment>
    <comment ref="C13" authorId="0" shapeId="0" xr:uid="{00000000-0006-0000-0100-0000CA000000}">
      <text>
        <r>
          <rPr>
            <sz val="10"/>
            <rFont val="Arial"/>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3" authorId="0" shapeId="0" xr:uid="{00000000-0006-0000-0100-0000CD000000}">
      <text>
        <r>
          <rPr>
            <sz val="10"/>
            <rFont val="Arial"/>
            <family val="2"/>
          </rPr>
          <t>% de importancia de cada subactividad respecto a la meta/ producto a obtener</t>
        </r>
      </text>
    </comment>
    <comment ref="A15" authorId="0" shapeId="0" xr:uid="{00000000-0006-0000-0100-000003000000}">
      <text>
        <r>
          <rPr>
            <sz val="10"/>
            <rFont val="Arial"/>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6" authorId="0" shapeId="0" xr:uid="{00000000-0006-0000-0100-000004000000}">
      <text>
        <r>
          <rPr>
            <sz val="10"/>
            <rFont val="Arial"/>
            <family val="2"/>
          </rPr>
          <t>la suma del % de peso físico de los alcances debe de dar el 100% del producto a obtener.</t>
        </r>
      </text>
    </comment>
    <comment ref="A17" authorId="0" shapeId="0" xr:uid="{00000000-0006-0000-0100-000005000000}">
      <text>
        <r>
          <rPr>
            <sz val="10"/>
            <rFont val="Arial"/>
            <family val="2"/>
          </rPr>
          <t>La suma del % de peso físico de las actividades debe de dar el 100% del alcance.</t>
        </r>
      </text>
    </comment>
    <comment ref="A18" authorId="0" shapeId="0" xr:uid="{00000000-0006-0000-0100-000006000000}">
      <text>
        <r>
          <rPr>
            <sz val="10"/>
            <rFont val="Arial"/>
            <family val="2"/>
          </rPr>
          <t xml:space="preserve">
La suma del % de peso físico de las subactividades debe de dar el 100% de la actividad.</t>
        </r>
      </text>
    </comment>
    <comment ref="A19" authorId="0" shapeId="0" xr:uid="{00000000-0006-0000-0100-000007000000}">
      <text>
        <r>
          <rPr>
            <sz val="10"/>
            <rFont val="Arial"/>
            <family val="2"/>
          </rPr>
          <t>La suma del % de peso físico de las subactividades debe de dar el 100% de la actividad.</t>
        </r>
      </text>
    </comment>
    <comment ref="A20" authorId="0" shapeId="0" xr:uid="{00000000-0006-0000-0100-000008000000}">
      <text>
        <r>
          <rPr>
            <sz val="10"/>
            <rFont val="Arial"/>
            <family val="2"/>
          </rPr>
          <t>La suma del % de peso físico de las subactividades debe de dar el 100% de la actividad.</t>
        </r>
      </text>
    </comment>
    <comment ref="A21" authorId="0" shapeId="0" xr:uid="{00000000-0006-0000-0100-000009000000}">
      <text>
        <r>
          <rPr>
            <sz val="10"/>
            <rFont val="Arial"/>
            <family val="2"/>
          </rPr>
          <t>La suma del % de peso físico de las subactividades debe de dar el 100% de la actividad.</t>
        </r>
      </text>
    </comment>
    <comment ref="A22" authorId="0" shapeId="0" xr:uid="{00000000-0006-0000-0100-00000A000000}">
      <text>
        <r>
          <rPr>
            <sz val="10"/>
            <rFont val="Arial"/>
            <family val="2"/>
          </rPr>
          <t>La suma del % de peso físico de las subactividades debe de dar el 100% de la actividad.</t>
        </r>
      </text>
    </comment>
    <comment ref="A23" authorId="0" shapeId="0" xr:uid="{00000000-0006-0000-0100-00000B000000}">
      <text>
        <r>
          <rPr>
            <sz val="10"/>
            <rFont val="Arial"/>
            <family val="2"/>
          </rPr>
          <t>La suma del % de peso físico de las subactividades debe de dar el 100% de la actividad.</t>
        </r>
      </text>
    </comment>
    <comment ref="A24" authorId="0" shapeId="0" xr:uid="{00000000-0006-0000-0100-00000C000000}">
      <text>
        <r>
          <rPr>
            <sz val="10"/>
            <rFont val="Arial"/>
            <family val="2"/>
          </rPr>
          <t>La suma del % de peso físico de las subactividades debe de dar el 100% de la actividad.</t>
        </r>
      </text>
    </comment>
    <comment ref="A25" authorId="0" shapeId="0" xr:uid="{00000000-0006-0000-0100-00000D000000}">
      <text>
        <r>
          <rPr>
            <sz val="10"/>
            <rFont val="Arial"/>
            <family val="2"/>
          </rPr>
          <t xml:space="preserve">
La suma del % de peso físico de las actividades debe de dar el 100% del alcance.</t>
        </r>
      </text>
    </comment>
    <comment ref="A26" authorId="0" shapeId="0" xr:uid="{00000000-0006-0000-0100-00000E000000}">
      <text>
        <r>
          <rPr>
            <sz val="10"/>
            <rFont val="Arial"/>
            <family val="2"/>
          </rPr>
          <t xml:space="preserve">
La suma del % de peso físico de las subactividades debe de dar el 100% de la actividad.</t>
        </r>
      </text>
    </comment>
    <comment ref="A27" authorId="0" shapeId="0" xr:uid="{00000000-0006-0000-0100-00000F000000}">
      <text>
        <r>
          <rPr>
            <sz val="10"/>
            <rFont val="Arial"/>
            <family val="2"/>
          </rPr>
          <t xml:space="preserve">
La suma del % de peso físico de las subactividades debe de dar el 100% de la actividad.</t>
        </r>
      </text>
    </comment>
    <comment ref="A28" authorId="0" shapeId="0" xr:uid="{00000000-0006-0000-0100-000010000000}">
      <text>
        <r>
          <rPr>
            <sz val="10"/>
            <rFont val="Arial"/>
            <family val="2"/>
          </rPr>
          <t>La suma del % de peso físico de las subactividades debe de dar el 100% de la actividad.</t>
        </r>
      </text>
    </comment>
    <comment ref="A29" authorId="0" shapeId="0" xr:uid="{00000000-0006-0000-0100-000011000000}">
      <text>
        <r>
          <rPr>
            <sz val="10"/>
            <rFont val="Arial"/>
            <family val="2"/>
          </rPr>
          <t xml:space="preserve">La suma del % de peso físico de las subactividades debe de dar el 100% de la actividad.
</t>
        </r>
      </text>
    </comment>
    <comment ref="A30" authorId="0" shapeId="0" xr:uid="{00000000-0006-0000-0100-000012000000}">
      <text>
        <r>
          <rPr>
            <sz val="10"/>
            <rFont val="Arial"/>
            <family val="2"/>
          </rPr>
          <t xml:space="preserve">
La suma del % de peso físico de las subactividades debe de dar el 100% de la actividad.</t>
        </r>
      </text>
    </comment>
    <comment ref="A31" authorId="0" shapeId="0" xr:uid="{00000000-0006-0000-0100-000013000000}">
      <text>
        <r>
          <rPr>
            <sz val="10"/>
            <rFont val="Arial"/>
            <family val="2"/>
          </rPr>
          <t xml:space="preserve">
La suma del % de peso físico de las subactividades debe de dar el 100% de la actividad.</t>
        </r>
      </text>
    </comment>
    <comment ref="A32" authorId="0" shapeId="0" xr:uid="{00000000-0006-0000-0100-000014000000}">
      <text>
        <r>
          <rPr>
            <sz val="10"/>
            <rFont val="Arial"/>
            <family val="2"/>
          </rPr>
          <t xml:space="preserve">
La suma del % de peso físico de las actividades debe de dar el 100% del alcance.</t>
        </r>
      </text>
    </comment>
    <comment ref="A33" authorId="0" shapeId="0" xr:uid="{00000000-0006-0000-0100-000015000000}">
      <text>
        <r>
          <rPr>
            <sz val="10"/>
            <rFont val="Arial"/>
            <family val="2"/>
          </rPr>
          <t xml:space="preserve">
La suma del % de peso físico de las subactividades debe de dar el 100% de la actividad.</t>
        </r>
      </text>
    </comment>
    <comment ref="A34" authorId="0" shapeId="0" xr:uid="{00000000-0006-0000-0100-000016000000}">
      <text>
        <r>
          <rPr>
            <sz val="10"/>
            <rFont val="Arial"/>
            <family val="2"/>
          </rPr>
          <t xml:space="preserve">
La suma del % de peso físico de las subactividades debe de dar el 100% de la actividad.</t>
        </r>
      </text>
    </comment>
    <comment ref="A35" authorId="0" shapeId="0" xr:uid="{00000000-0006-0000-0100-000017000000}">
      <text>
        <r>
          <rPr>
            <sz val="10"/>
            <rFont val="Arial"/>
            <family val="2"/>
          </rPr>
          <t xml:space="preserve">
La suma del % de peso físico de las subactividades debe de dar el 100% de la actividad.</t>
        </r>
      </text>
    </comment>
    <comment ref="A36" authorId="0" shapeId="0" xr:uid="{00000000-0006-0000-0100-000018000000}">
      <text>
        <r>
          <rPr>
            <sz val="10"/>
            <rFont val="Arial"/>
            <family val="2"/>
          </rPr>
          <t xml:space="preserve">
La suma del % de peso físico de las subactividades debe de dar el 100% de la actividad.</t>
        </r>
      </text>
    </comment>
    <comment ref="A37" authorId="0" shapeId="0" xr:uid="{00000000-0006-0000-0100-000019000000}">
      <text>
        <r>
          <rPr>
            <sz val="10"/>
            <rFont val="Arial"/>
            <family val="2"/>
          </rPr>
          <t xml:space="preserve">
La suma del % de peso físico de las subactividades debe de dar el 100% de la actividad.</t>
        </r>
      </text>
    </comment>
    <comment ref="A38" authorId="0" shapeId="0" xr:uid="{00000000-0006-0000-0100-00001A000000}">
      <text>
        <r>
          <rPr>
            <sz val="10"/>
            <rFont val="Arial"/>
            <family val="2"/>
          </rPr>
          <t xml:space="preserve">
La suma del % de peso físico de las actividades debe de dar el 100% del alcance.</t>
        </r>
      </text>
    </comment>
    <comment ref="A39" authorId="0" shapeId="0" xr:uid="{00000000-0006-0000-0100-00001B000000}">
      <text>
        <r>
          <rPr>
            <sz val="10"/>
            <rFont val="Arial"/>
            <family val="2"/>
          </rPr>
          <t xml:space="preserve">
La suma del % de peso físico de las subactividades debe de dar el 100% de la actividad.</t>
        </r>
      </text>
    </comment>
    <comment ref="A40" authorId="0" shapeId="0" xr:uid="{00000000-0006-0000-0100-00001C000000}">
      <text>
        <r>
          <rPr>
            <sz val="10"/>
            <rFont val="Arial"/>
            <family val="2"/>
          </rPr>
          <t xml:space="preserve">
La suma del % de peso físico de las subactividades debe de dar el 100% de la actividad.</t>
        </r>
      </text>
    </comment>
    <comment ref="A41" authorId="0" shapeId="0" xr:uid="{00000000-0006-0000-0100-00001D000000}">
      <text>
        <r>
          <rPr>
            <sz val="10"/>
            <rFont val="Arial"/>
            <family val="2"/>
          </rPr>
          <t xml:space="preserve">
La suma del % de peso físico de las subactividades debe de dar el 100% de la actividad.</t>
        </r>
      </text>
    </comment>
    <comment ref="A42" authorId="0" shapeId="0" xr:uid="{00000000-0006-0000-0100-00001E000000}">
      <text>
        <r>
          <rPr>
            <sz val="10"/>
            <rFont val="Arial"/>
            <family val="2"/>
          </rPr>
          <t xml:space="preserve">
La suma del % de peso físico de las subactividades debe de dar el 100% de la actividad.</t>
        </r>
      </text>
    </comment>
    <comment ref="A43" authorId="0" shapeId="0" xr:uid="{00000000-0006-0000-0100-00001F000000}">
      <text>
        <r>
          <rPr>
            <sz val="10"/>
            <rFont val="Arial"/>
            <family val="2"/>
          </rPr>
          <t xml:space="preserve">
La suma del % de peso físico de las subactividades debe de dar el 100% de la actividad.</t>
        </r>
      </text>
    </comment>
    <comment ref="A44" authorId="0" shapeId="0" xr:uid="{00000000-0006-0000-0100-000020000000}">
      <text>
        <r>
          <rPr>
            <sz val="10"/>
            <rFont val="Arial"/>
            <family val="2"/>
          </rPr>
          <t xml:space="preserve">
La suma del % de peso físico de las actividades debe de dar el 100% del alcance.</t>
        </r>
      </text>
    </comment>
    <comment ref="A45" authorId="0" shapeId="0" xr:uid="{00000000-0006-0000-0100-000021000000}">
      <text>
        <r>
          <rPr>
            <sz val="10"/>
            <rFont val="Arial"/>
            <family val="2"/>
          </rPr>
          <t xml:space="preserve">
La suma del % de peso físico de las subactividades debe de dar el 100% de la actividad.</t>
        </r>
      </text>
    </comment>
    <comment ref="A46" authorId="0" shapeId="0" xr:uid="{00000000-0006-0000-0100-000022000000}">
      <text>
        <r>
          <rPr>
            <sz val="10"/>
            <rFont val="Arial"/>
            <family val="2"/>
          </rPr>
          <t xml:space="preserve">
La suma del % de peso físico de las subactividades debe de dar el 100% de la actividad.</t>
        </r>
      </text>
    </comment>
    <comment ref="A47" authorId="0" shapeId="0" xr:uid="{00000000-0006-0000-0100-000023000000}">
      <text>
        <r>
          <rPr>
            <sz val="10"/>
            <rFont val="Arial"/>
            <family val="2"/>
          </rPr>
          <t xml:space="preserve">
La suma del % de peso físico de las subactividades debe de dar el 100% de la actividad.</t>
        </r>
      </text>
    </comment>
    <comment ref="A48" authorId="0" shapeId="0" xr:uid="{00000000-0006-0000-0100-000024000000}">
      <text>
        <r>
          <rPr>
            <sz val="10"/>
            <rFont val="Arial"/>
            <family val="2"/>
          </rPr>
          <t xml:space="preserve">
La suma del % de peso físico de las subactividades debe de dar el 100% de la actividad.</t>
        </r>
      </text>
    </comment>
    <comment ref="A49" authorId="0" shapeId="0" xr:uid="{00000000-0006-0000-0100-000025000000}">
      <text>
        <r>
          <rPr>
            <sz val="10"/>
            <rFont val="Arial"/>
            <family val="2"/>
          </rPr>
          <t xml:space="preserve">
La suma del % de peso físico de las subactividades debe de dar el 100% de la actividad.</t>
        </r>
      </text>
    </comment>
    <comment ref="A50" authorId="0" shapeId="0" xr:uid="{00000000-0006-0000-0100-000026000000}">
      <text>
        <r>
          <rPr>
            <sz val="10"/>
            <rFont val="Arial"/>
            <family val="2"/>
          </rPr>
          <t xml:space="preserve">
La suma del % de peso físico de las actividades debe de dar el 100% del alcance.</t>
        </r>
      </text>
    </comment>
    <comment ref="A51" authorId="0" shapeId="0" xr:uid="{00000000-0006-0000-0100-000027000000}">
      <text>
        <r>
          <rPr>
            <sz val="10"/>
            <rFont val="Arial"/>
            <family val="2"/>
          </rPr>
          <t xml:space="preserve">
La suma del % de peso físico de las subactividades debe de dar el 100% de la actividad.</t>
        </r>
      </text>
    </comment>
    <comment ref="A52" authorId="0" shapeId="0" xr:uid="{00000000-0006-0000-0100-000028000000}">
      <text>
        <r>
          <rPr>
            <sz val="10"/>
            <rFont val="Arial"/>
            <family val="2"/>
          </rPr>
          <t xml:space="preserve">
La suma del % de peso físico de las subactividades debe de dar el 100% de la actividad.</t>
        </r>
      </text>
    </comment>
    <comment ref="A53" authorId="0" shapeId="0" xr:uid="{00000000-0006-0000-0100-000029000000}">
      <text>
        <r>
          <rPr>
            <sz val="10"/>
            <rFont val="Arial"/>
            <family val="2"/>
          </rPr>
          <t xml:space="preserve">
La suma del % de peso físico de las subactividades debe de dar el 100% de la actividad.</t>
        </r>
      </text>
    </comment>
    <comment ref="A54" authorId="0" shapeId="0" xr:uid="{00000000-0006-0000-0100-00002A000000}">
      <text>
        <r>
          <rPr>
            <sz val="10"/>
            <rFont val="Arial"/>
            <family val="2"/>
          </rPr>
          <t xml:space="preserve">
La suma del % de peso físico de las subactividades debe de dar el 100% de la actividad.</t>
        </r>
      </text>
    </comment>
    <comment ref="A55" authorId="0" shapeId="0" xr:uid="{00000000-0006-0000-0100-00002B000000}">
      <text>
        <r>
          <rPr>
            <sz val="10"/>
            <rFont val="Arial"/>
            <family val="2"/>
          </rPr>
          <t xml:space="preserve">
La suma del % de peso físico de las subactividades debe de dar el 100% de la actividad.</t>
        </r>
      </text>
    </comment>
    <comment ref="A56" authorId="0" shapeId="0" xr:uid="{00000000-0006-0000-0100-00002C000000}">
      <text>
        <r>
          <rPr>
            <sz val="10"/>
            <rFont val="Arial"/>
            <family val="2"/>
          </rPr>
          <t xml:space="preserve">
la suma del % de peso físico de los alcances debe de dar el 100% del producto a obtener.</t>
        </r>
      </text>
    </comment>
    <comment ref="A57" authorId="0" shapeId="0" xr:uid="{00000000-0006-0000-0100-00002D000000}">
      <text>
        <r>
          <rPr>
            <sz val="10"/>
            <rFont val="Arial"/>
            <family val="2"/>
          </rPr>
          <t xml:space="preserve">
La suma del % de peso físico de las actividades debe de dar el 100% del alcance.</t>
        </r>
      </text>
    </comment>
    <comment ref="A58" authorId="0" shapeId="0" xr:uid="{00000000-0006-0000-0100-00002E000000}">
      <text>
        <r>
          <rPr>
            <sz val="10"/>
            <rFont val="Arial"/>
            <family val="2"/>
          </rPr>
          <t xml:space="preserve">
La suma del % de peso físico de las subactividades debe de dar el 100% de la actividad.</t>
        </r>
      </text>
    </comment>
    <comment ref="A59" authorId="0" shapeId="0" xr:uid="{00000000-0006-0000-0100-00002F000000}">
      <text>
        <r>
          <rPr>
            <sz val="10"/>
            <rFont val="Arial"/>
            <family val="2"/>
          </rPr>
          <t xml:space="preserve">
La suma del % de peso físico de las subactividades debe de dar el 100% de la actividad.</t>
        </r>
      </text>
    </comment>
    <comment ref="A60" authorId="0" shapeId="0" xr:uid="{00000000-0006-0000-0100-000030000000}">
      <text>
        <r>
          <rPr>
            <sz val="10"/>
            <rFont val="Arial"/>
            <family val="2"/>
          </rPr>
          <t xml:space="preserve">
</t>
        </r>
        <r>
          <rPr>
            <sz val="9"/>
            <color rgb="FF000000"/>
            <rFont val="Tahoma"/>
            <family val="2"/>
            <charset val="1"/>
          </rPr>
          <t>La suma del % de peso físico de las subactividades debe de dar el 100% de la actividad.</t>
        </r>
      </text>
    </comment>
    <comment ref="A61" authorId="0" shapeId="0" xr:uid="{00000000-0006-0000-0100-000031000000}">
      <text>
        <r>
          <rPr>
            <sz val="10"/>
            <rFont val="Arial"/>
            <family val="2"/>
          </rPr>
          <t xml:space="preserve">
La suma del % de peso físico de las subactividades debe de dar el 100% de la actividad.</t>
        </r>
      </text>
    </comment>
    <comment ref="A62" authorId="0" shapeId="0" xr:uid="{00000000-0006-0000-0100-000032000000}">
      <text>
        <r>
          <rPr>
            <sz val="10"/>
            <rFont val="Arial"/>
            <family val="2"/>
          </rPr>
          <t xml:space="preserve">
La suma del % de peso físico de las subactividades debe de dar el 100% de la actividad.</t>
        </r>
      </text>
    </comment>
    <comment ref="A63" authorId="0" shapeId="0" xr:uid="{00000000-0006-0000-0100-000033000000}">
      <text>
        <r>
          <rPr>
            <sz val="10"/>
            <rFont val="Arial"/>
            <family val="2"/>
          </rPr>
          <t xml:space="preserve">
La suma del % de peso físico de las actividades debe de dar el 100% del alcance.</t>
        </r>
      </text>
    </comment>
    <comment ref="A64" authorId="0" shapeId="0" xr:uid="{00000000-0006-0000-0100-000034000000}">
      <text>
        <r>
          <rPr>
            <sz val="10"/>
            <rFont val="Arial"/>
            <family val="2"/>
          </rPr>
          <t xml:space="preserve">
La suma del % de peso físico de las subactividades debe de dar el 100% de la actividad.</t>
        </r>
      </text>
    </comment>
    <comment ref="A65" authorId="0" shapeId="0" xr:uid="{00000000-0006-0000-0100-000035000000}">
      <text>
        <r>
          <rPr>
            <sz val="10"/>
            <rFont val="Arial"/>
            <family val="2"/>
          </rPr>
          <t xml:space="preserve">
La suma del % de peso físico de las subactividades debe de dar el 100% de la actividad.</t>
        </r>
      </text>
    </comment>
    <comment ref="A66" authorId="0" shapeId="0" xr:uid="{00000000-0006-0000-0100-000036000000}">
      <text>
        <r>
          <rPr>
            <sz val="10"/>
            <rFont val="Arial"/>
            <family val="2"/>
          </rPr>
          <t xml:space="preserve">
La suma del % de peso físico de las subactividades debe de dar el 100% de la actividad.</t>
        </r>
      </text>
    </comment>
    <comment ref="A67" authorId="0" shapeId="0" xr:uid="{00000000-0006-0000-0100-000037000000}">
      <text>
        <r>
          <rPr>
            <sz val="10"/>
            <rFont val="Arial"/>
            <family val="2"/>
          </rPr>
          <t xml:space="preserve">
La suma del % de peso físico de las subactividades debe de dar el 100% de la actividad.</t>
        </r>
      </text>
    </comment>
    <comment ref="A68" authorId="0" shapeId="0" xr:uid="{00000000-0006-0000-0100-000038000000}">
      <text>
        <r>
          <rPr>
            <sz val="10"/>
            <rFont val="Arial"/>
            <family val="2"/>
          </rPr>
          <t xml:space="preserve">
La suma del % de peso físico de las subactividades debe de dar el 100% de la actividad.</t>
        </r>
      </text>
    </comment>
    <comment ref="A69" authorId="0" shapeId="0" xr:uid="{00000000-0006-0000-0100-000039000000}">
      <text>
        <r>
          <rPr>
            <sz val="10"/>
            <rFont val="Arial"/>
            <family val="2"/>
          </rPr>
          <t xml:space="preserve">
La suma del % de peso físico de las actividades debe de dar el 100% del alcance.</t>
        </r>
      </text>
    </comment>
    <comment ref="A70" authorId="0" shapeId="0" xr:uid="{00000000-0006-0000-0100-00003A000000}">
      <text>
        <r>
          <rPr>
            <sz val="10"/>
            <rFont val="Arial"/>
            <family val="2"/>
          </rPr>
          <t xml:space="preserve">
La suma del % de peso físico de las subactividades debe de dar el 100% de la actividad.</t>
        </r>
      </text>
    </comment>
    <comment ref="A71" authorId="0" shapeId="0" xr:uid="{00000000-0006-0000-0100-00003B000000}">
      <text>
        <r>
          <rPr>
            <sz val="10"/>
            <rFont val="Arial"/>
            <family val="2"/>
          </rPr>
          <t xml:space="preserve">
La suma del % de peso físico de las subactividades debe de dar el 100% de la actividad.</t>
        </r>
      </text>
    </comment>
    <comment ref="A72" authorId="0" shapeId="0" xr:uid="{00000000-0006-0000-0100-00003C000000}">
      <text>
        <r>
          <rPr>
            <sz val="10"/>
            <rFont val="Arial"/>
            <family val="2"/>
          </rPr>
          <t xml:space="preserve">
La suma del % de peso físico de las subactividades debe de dar el 100% de la actividad.</t>
        </r>
      </text>
    </comment>
    <comment ref="A73" authorId="0" shapeId="0" xr:uid="{00000000-0006-0000-0100-00003D000000}">
      <text>
        <r>
          <rPr>
            <sz val="10"/>
            <rFont val="Arial"/>
            <family val="2"/>
          </rPr>
          <t xml:space="preserve">
La suma del % de peso físico de las subactividades debe de dar el 100% de la actividad.</t>
        </r>
      </text>
    </comment>
    <comment ref="A74" authorId="0" shapeId="0" xr:uid="{00000000-0006-0000-0100-00003E000000}">
      <text>
        <r>
          <rPr>
            <sz val="10"/>
            <rFont val="Arial"/>
            <family val="2"/>
          </rPr>
          <t xml:space="preserve">
La suma del % de peso físico de las subactividades debe de dar el 100% de la actividad.</t>
        </r>
      </text>
    </comment>
    <comment ref="A75" authorId="0" shapeId="0" xr:uid="{00000000-0006-0000-0100-00003F000000}">
      <text>
        <r>
          <rPr>
            <sz val="10"/>
            <rFont val="Arial"/>
            <family val="2"/>
          </rPr>
          <t xml:space="preserve">
La suma del % de peso físico de las actividades debe de dar el 100% del alcance.</t>
        </r>
      </text>
    </comment>
    <comment ref="A76" authorId="0" shapeId="0" xr:uid="{00000000-0006-0000-0100-000040000000}">
      <text>
        <r>
          <rPr>
            <sz val="10"/>
            <rFont val="Arial"/>
            <family val="2"/>
          </rPr>
          <t xml:space="preserve">
La suma del % de peso físico de las subactividades debe de dar el 100% de la actividad.</t>
        </r>
      </text>
    </comment>
    <comment ref="A77" authorId="0" shapeId="0" xr:uid="{00000000-0006-0000-0100-000041000000}">
      <text>
        <r>
          <rPr>
            <sz val="10"/>
            <rFont val="Arial"/>
            <family val="2"/>
          </rPr>
          <t xml:space="preserve">
La suma del % de peso físico de las subactividades debe de dar el 100% de la actividad.</t>
        </r>
      </text>
    </comment>
    <comment ref="A78" authorId="0" shapeId="0" xr:uid="{00000000-0006-0000-0100-000042000000}">
      <text>
        <r>
          <rPr>
            <sz val="10"/>
            <rFont val="Arial"/>
            <family val="2"/>
          </rPr>
          <t xml:space="preserve">
La suma del % de peso físico de las subactividades debe de dar el 100% de la actividad.</t>
        </r>
      </text>
    </comment>
    <comment ref="A79" authorId="0" shapeId="0" xr:uid="{00000000-0006-0000-0100-000043000000}">
      <text>
        <r>
          <rPr>
            <sz val="10"/>
            <rFont val="Arial"/>
            <family val="2"/>
          </rPr>
          <t xml:space="preserve">
La suma del % de peso físico de las subactividades debe de dar el 100% de la actividad.</t>
        </r>
      </text>
    </comment>
    <comment ref="A80" authorId="0" shapeId="0" xr:uid="{00000000-0006-0000-0100-000044000000}">
      <text>
        <r>
          <rPr>
            <sz val="10"/>
            <rFont val="Arial"/>
            <family val="2"/>
          </rPr>
          <t xml:space="preserve">
La suma del % de peso físico de las subactividades debe de dar el 100% de la actividad.</t>
        </r>
      </text>
    </comment>
    <comment ref="A81" authorId="0" shapeId="0" xr:uid="{00000000-0006-0000-0100-000045000000}">
      <text>
        <r>
          <rPr>
            <sz val="10"/>
            <rFont val="Arial"/>
            <family val="2"/>
          </rPr>
          <t xml:space="preserve">
La suma del % de peso físico de las actividades debe de dar el 100% del alcance.</t>
        </r>
      </text>
    </comment>
    <comment ref="A82" authorId="0" shapeId="0" xr:uid="{00000000-0006-0000-0100-000046000000}">
      <text>
        <r>
          <rPr>
            <sz val="10"/>
            <rFont val="Arial"/>
            <family val="2"/>
          </rPr>
          <t xml:space="preserve">
La suma del % de peso físico de las subactividades debe de dar el 100% de la actividad.</t>
        </r>
      </text>
    </comment>
    <comment ref="A83" authorId="0" shapeId="0" xr:uid="{00000000-0006-0000-0100-000047000000}">
      <text>
        <r>
          <rPr>
            <sz val="10"/>
            <rFont val="Arial"/>
            <family val="2"/>
          </rPr>
          <t xml:space="preserve">
La suma del % de peso físico de las subactividades debe de dar el 100% de la actividad.</t>
        </r>
      </text>
    </comment>
    <comment ref="A84" authorId="0" shapeId="0" xr:uid="{00000000-0006-0000-0100-000048000000}">
      <text>
        <r>
          <rPr>
            <sz val="10"/>
            <rFont val="Arial"/>
            <family val="2"/>
          </rPr>
          <t xml:space="preserve">
La suma del % de peso físico de las subactividades debe de dar el 100% de la actividad.</t>
        </r>
      </text>
    </comment>
    <comment ref="A85" authorId="0" shapeId="0" xr:uid="{00000000-0006-0000-0100-000049000000}">
      <text>
        <r>
          <rPr>
            <sz val="10"/>
            <rFont val="Arial"/>
            <family val="2"/>
          </rPr>
          <t xml:space="preserve">
La suma del % de peso físico de las subactividades debe de dar el 100% de la actividad.</t>
        </r>
      </text>
    </comment>
    <comment ref="A86" authorId="0" shapeId="0" xr:uid="{00000000-0006-0000-0100-00004A000000}">
      <text>
        <r>
          <rPr>
            <sz val="10"/>
            <rFont val="Arial"/>
            <family val="2"/>
          </rPr>
          <t xml:space="preserve">
La suma del % de peso físico de las subactividades debe de dar el 100% de la actividad.</t>
        </r>
      </text>
    </comment>
    <comment ref="A87" authorId="0" shapeId="0" xr:uid="{00000000-0006-0000-0100-00004B000000}">
      <text>
        <r>
          <rPr>
            <sz val="10"/>
            <rFont val="Arial"/>
            <family val="2"/>
          </rPr>
          <t xml:space="preserve">
la suma del % de peso físico de los alcances debe de dar el 100% del producto a obtener.</t>
        </r>
      </text>
    </comment>
    <comment ref="A88" authorId="0" shapeId="0" xr:uid="{00000000-0006-0000-0100-00004C000000}">
      <text>
        <r>
          <rPr>
            <sz val="10"/>
            <rFont val="Arial"/>
            <family val="2"/>
          </rPr>
          <t xml:space="preserve">
La suma del % de peso físico de las actividades debe de dar el 100% del alcance.</t>
        </r>
      </text>
    </comment>
    <comment ref="A89" authorId="0" shapeId="0" xr:uid="{00000000-0006-0000-0100-00004D000000}">
      <text>
        <r>
          <rPr>
            <sz val="10"/>
            <rFont val="Arial"/>
            <family val="2"/>
          </rPr>
          <t xml:space="preserve">
La suma del % de peso físico de las subactividades debe de dar el 100% de la actividad.</t>
        </r>
      </text>
    </comment>
    <comment ref="A90" authorId="0" shapeId="0" xr:uid="{00000000-0006-0000-0100-00004E000000}">
      <text>
        <r>
          <rPr>
            <sz val="10"/>
            <rFont val="Arial"/>
            <family val="2"/>
          </rPr>
          <t xml:space="preserve">
La suma del % de peso físico de las subactividades debe de dar el 100% de la actividad.</t>
        </r>
      </text>
    </comment>
    <comment ref="A91" authorId="0" shapeId="0" xr:uid="{00000000-0006-0000-0100-00004F000000}">
      <text>
        <r>
          <rPr>
            <sz val="10"/>
            <rFont val="Arial"/>
            <family val="2"/>
          </rPr>
          <t xml:space="preserve">
La suma del % de peso físico de las subactividades debe de dar el 100% de la actividad.</t>
        </r>
      </text>
    </comment>
    <comment ref="A92" authorId="0" shapeId="0" xr:uid="{00000000-0006-0000-0100-000050000000}">
      <text>
        <r>
          <rPr>
            <sz val="10"/>
            <rFont val="Arial"/>
            <family val="2"/>
          </rPr>
          <t xml:space="preserve">
La suma del % de peso físico de las subactividades debe de dar el 100% de la actividad.</t>
        </r>
      </text>
    </comment>
    <comment ref="A93" authorId="0" shapeId="0" xr:uid="{00000000-0006-0000-0100-000051000000}">
      <text>
        <r>
          <rPr>
            <sz val="10"/>
            <rFont val="Arial"/>
            <family val="2"/>
          </rPr>
          <t xml:space="preserve">
La suma del % de peso físico de las subactividades debe de dar el 100% de la actividad.</t>
        </r>
      </text>
    </comment>
    <comment ref="A94" authorId="0" shapeId="0" xr:uid="{00000000-0006-0000-0100-000052000000}">
      <text>
        <r>
          <rPr>
            <sz val="10"/>
            <rFont val="Arial"/>
            <family val="2"/>
          </rPr>
          <t xml:space="preserve">
La suma del % de peso físico de las actividades debe de dar el 100% del alcance.</t>
        </r>
      </text>
    </comment>
    <comment ref="A95" authorId="0" shapeId="0" xr:uid="{00000000-0006-0000-0100-000053000000}">
      <text>
        <r>
          <rPr>
            <sz val="10"/>
            <rFont val="Arial"/>
            <family val="2"/>
          </rPr>
          <t xml:space="preserve">
La suma del % de peso físico de las subactividades debe de dar el 100% de la actividad.</t>
        </r>
      </text>
    </comment>
    <comment ref="A96" authorId="0" shapeId="0" xr:uid="{00000000-0006-0000-0100-000054000000}">
      <text>
        <r>
          <rPr>
            <sz val="10"/>
            <rFont val="Arial"/>
            <family val="2"/>
          </rPr>
          <t xml:space="preserve">
La suma del % de peso físico de las subactividades debe de dar el 100% de la actividad.</t>
        </r>
      </text>
    </comment>
    <comment ref="A97" authorId="0" shapeId="0" xr:uid="{00000000-0006-0000-0100-000055000000}">
      <text>
        <r>
          <rPr>
            <sz val="10"/>
            <rFont val="Arial"/>
            <family val="2"/>
          </rPr>
          <t xml:space="preserve">
La suma del % de peso físico de las subactividades debe de dar el 100% de la actividad.</t>
        </r>
      </text>
    </comment>
    <comment ref="A98" authorId="0" shapeId="0" xr:uid="{00000000-0006-0000-0100-000056000000}">
      <text>
        <r>
          <rPr>
            <sz val="10"/>
            <rFont val="Arial"/>
            <family val="2"/>
          </rPr>
          <t xml:space="preserve">
La suma del % de peso físico de las subactividades debe de dar el 100% de la actividad.</t>
        </r>
      </text>
    </comment>
    <comment ref="A99" authorId="0" shapeId="0" xr:uid="{00000000-0006-0000-0100-000057000000}">
      <text>
        <r>
          <rPr>
            <sz val="10"/>
            <rFont val="Arial"/>
            <family val="2"/>
          </rPr>
          <t xml:space="preserve">
La suma del % de peso físico de las subactividades debe de dar el 100% de la actividad.</t>
        </r>
      </text>
    </comment>
    <comment ref="A100" authorId="0" shapeId="0" xr:uid="{00000000-0006-0000-0100-000058000000}">
      <text>
        <r>
          <rPr>
            <sz val="10"/>
            <rFont val="Arial"/>
            <family val="2"/>
          </rPr>
          <t xml:space="preserve">
La suma del % de peso físico de las actividades debe de dar el 100% del alcance.</t>
        </r>
      </text>
    </comment>
    <comment ref="A101" authorId="0" shapeId="0" xr:uid="{00000000-0006-0000-0100-000059000000}">
      <text>
        <r>
          <rPr>
            <sz val="10"/>
            <rFont val="Arial"/>
            <family val="2"/>
          </rPr>
          <t xml:space="preserve">
La suma del % de peso físico de las subactividades debe de dar el 100% de la actividad.</t>
        </r>
      </text>
    </comment>
    <comment ref="A102" authorId="0" shapeId="0" xr:uid="{00000000-0006-0000-0100-00005A000000}">
      <text>
        <r>
          <rPr>
            <sz val="10"/>
            <rFont val="Arial"/>
            <family val="2"/>
          </rPr>
          <t xml:space="preserve">
La suma del % de peso físico de las subactividades debe de dar el 100% de la actividad.</t>
        </r>
      </text>
    </comment>
    <comment ref="A103" authorId="0" shapeId="0" xr:uid="{00000000-0006-0000-0100-00005B000000}">
      <text>
        <r>
          <rPr>
            <sz val="10"/>
            <rFont val="Arial"/>
            <family val="2"/>
          </rPr>
          <t xml:space="preserve">
La suma del % de peso físico de las subactividades debe de dar el 100% de la actividad.</t>
        </r>
      </text>
    </comment>
    <comment ref="A104" authorId="0" shapeId="0" xr:uid="{00000000-0006-0000-0100-00005C000000}">
      <text>
        <r>
          <rPr>
            <sz val="10"/>
            <rFont val="Arial"/>
            <family val="2"/>
          </rPr>
          <t xml:space="preserve">
La suma del % de peso físico de las subactividades debe de dar el 100% de la actividad.</t>
        </r>
      </text>
    </comment>
    <comment ref="A105" authorId="0" shapeId="0" xr:uid="{00000000-0006-0000-0100-00005D000000}">
      <text>
        <r>
          <rPr>
            <sz val="10"/>
            <rFont val="Arial"/>
            <family val="2"/>
          </rPr>
          <t xml:space="preserve">
La suma del % de peso físico de las subactividades debe de dar el 100% de la actividad.</t>
        </r>
      </text>
    </comment>
    <comment ref="A106" authorId="0" shapeId="0" xr:uid="{00000000-0006-0000-0100-00005E000000}">
      <text>
        <r>
          <rPr>
            <sz val="10"/>
            <rFont val="Arial"/>
            <family val="2"/>
          </rPr>
          <t xml:space="preserve">
La suma del % de peso físico de las actividades debe de dar el 100% del alcance.</t>
        </r>
      </text>
    </comment>
    <comment ref="A107" authorId="0" shapeId="0" xr:uid="{00000000-0006-0000-0100-00005F000000}">
      <text>
        <r>
          <rPr>
            <sz val="10"/>
            <rFont val="Arial"/>
            <family val="2"/>
          </rPr>
          <t xml:space="preserve">
La suma del % de peso físico de las subactividades debe de dar el 100% de la actividad.</t>
        </r>
      </text>
    </comment>
    <comment ref="A108" authorId="0" shapeId="0" xr:uid="{00000000-0006-0000-0100-000060000000}">
      <text>
        <r>
          <rPr>
            <sz val="10"/>
            <rFont val="Arial"/>
            <family val="2"/>
          </rPr>
          <t xml:space="preserve">
La suma del % de peso físico de las subactividades debe de dar el 100% de la actividad.</t>
        </r>
      </text>
    </comment>
    <comment ref="A109" authorId="0" shapeId="0" xr:uid="{00000000-0006-0000-0100-000061000000}">
      <text>
        <r>
          <rPr>
            <sz val="10"/>
            <rFont val="Arial"/>
            <family val="2"/>
          </rPr>
          <t xml:space="preserve">
La suma del % de peso físico de las subactividades debe de dar el 100% de la actividad.</t>
        </r>
      </text>
    </comment>
    <comment ref="A110" authorId="0" shapeId="0" xr:uid="{00000000-0006-0000-0100-000062000000}">
      <text>
        <r>
          <rPr>
            <sz val="10"/>
            <rFont val="Arial"/>
            <family val="2"/>
          </rPr>
          <t xml:space="preserve">
La suma del % de peso físico de las subactividades debe de dar el 100% de la actividad.</t>
        </r>
      </text>
    </comment>
    <comment ref="A111" authorId="0" shapeId="0" xr:uid="{00000000-0006-0000-0100-000063000000}">
      <text>
        <r>
          <rPr>
            <sz val="10"/>
            <rFont val="Arial"/>
            <family val="2"/>
          </rPr>
          <t xml:space="preserve">
La suma del % de peso físico de las subactividades debe de dar el 100% de la actividad.</t>
        </r>
      </text>
    </comment>
    <comment ref="A112" authorId="0" shapeId="0" xr:uid="{00000000-0006-0000-0100-000064000000}">
      <text>
        <r>
          <rPr>
            <sz val="10"/>
            <rFont val="Arial"/>
            <family val="2"/>
          </rPr>
          <t xml:space="preserve">
La suma del % de peso físico de las actividades debe de dar el 100% del alcance.</t>
        </r>
      </text>
    </comment>
    <comment ref="A113" authorId="0" shapeId="0" xr:uid="{00000000-0006-0000-0100-000065000000}">
      <text>
        <r>
          <rPr>
            <sz val="10"/>
            <rFont val="Arial"/>
            <family val="2"/>
          </rPr>
          <t xml:space="preserve">
La suma del % de peso físico de las subactividades debe de dar el 100% de la actividad.</t>
        </r>
      </text>
    </comment>
    <comment ref="A114" authorId="0" shapeId="0" xr:uid="{00000000-0006-0000-0100-000066000000}">
      <text>
        <r>
          <rPr>
            <sz val="10"/>
            <rFont val="Arial"/>
            <family val="2"/>
          </rPr>
          <t xml:space="preserve">
La suma del % de peso físico de las subactividades debe de dar el 100% de la actividad.</t>
        </r>
      </text>
    </comment>
    <comment ref="A115" authorId="0" shapeId="0" xr:uid="{00000000-0006-0000-0100-000067000000}">
      <text>
        <r>
          <rPr>
            <sz val="10"/>
            <rFont val="Arial"/>
            <family val="2"/>
          </rPr>
          <t xml:space="preserve">
La suma del % de peso físico de las subactividades debe de dar el 100% de la actividad.</t>
        </r>
      </text>
    </comment>
    <comment ref="A116" authorId="0" shapeId="0" xr:uid="{00000000-0006-0000-0100-000068000000}">
      <text>
        <r>
          <rPr>
            <sz val="10"/>
            <rFont val="Arial"/>
            <family val="2"/>
          </rPr>
          <t xml:space="preserve">
La suma del % de peso físico de las subactividades debe de dar el 100% de la actividad.</t>
        </r>
      </text>
    </comment>
    <comment ref="A117" authorId="0" shapeId="0" xr:uid="{00000000-0006-0000-0100-000069000000}">
      <text>
        <r>
          <rPr>
            <sz val="10"/>
            <rFont val="Arial"/>
            <family val="2"/>
          </rPr>
          <t xml:space="preserve">
La suma del % de peso físico de las subactividades debe de dar el 100% de la actividad.</t>
        </r>
      </text>
    </comment>
    <comment ref="A118" authorId="0" shapeId="0" xr:uid="{00000000-0006-0000-0100-00006A000000}">
      <text>
        <r>
          <rPr>
            <sz val="10"/>
            <rFont val="Arial"/>
            <family val="2"/>
          </rPr>
          <t xml:space="preserve">
la suma del % de peso físico de los alcances debe de dar el 100% del producto a obtener.</t>
        </r>
      </text>
    </comment>
    <comment ref="A119" authorId="0" shapeId="0" xr:uid="{00000000-0006-0000-0100-00006B000000}">
      <text>
        <r>
          <rPr>
            <sz val="10"/>
            <rFont val="Arial"/>
            <family val="2"/>
          </rPr>
          <t xml:space="preserve">
La suma del % de peso físico de las actividades debe de dar el 100% del alcance.</t>
        </r>
      </text>
    </comment>
    <comment ref="A120" authorId="0" shapeId="0" xr:uid="{00000000-0006-0000-0100-00006C000000}">
      <text>
        <r>
          <rPr>
            <sz val="10"/>
            <rFont val="Arial"/>
            <family val="2"/>
          </rPr>
          <t xml:space="preserve">
La suma del % de peso físico de las subactividades debe de dar el 100% de la actividad.</t>
        </r>
      </text>
    </comment>
    <comment ref="A121" authorId="0" shapeId="0" xr:uid="{00000000-0006-0000-0100-00006D000000}">
      <text>
        <r>
          <rPr>
            <sz val="10"/>
            <rFont val="Arial"/>
            <family val="2"/>
          </rPr>
          <t xml:space="preserve">
La suma del % de peso físico de las subactividades debe de dar el 100% de la actividad.</t>
        </r>
      </text>
    </comment>
    <comment ref="A122" authorId="0" shapeId="0" xr:uid="{00000000-0006-0000-0100-00006E000000}">
      <text>
        <r>
          <rPr>
            <sz val="10"/>
            <rFont val="Arial"/>
            <family val="2"/>
          </rPr>
          <t xml:space="preserve">
La suma del % de peso físico de las subactividades debe de dar el 100% de la actividad.</t>
        </r>
      </text>
    </comment>
    <comment ref="A123" authorId="0" shapeId="0" xr:uid="{00000000-0006-0000-0100-00006F000000}">
      <text>
        <r>
          <rPr>
            <sz val="10"/>
            <rFont val="Arial"/>
            <family val="2"/>
          </rPr>
          <t xml:space="preserve">
La suma del % de peso físico de las subactividades debe de dar el 100% de la actividad.</t>
        </r>
      </text>
    </comment>
    <comment ref="A124" authorId="0" shapeId="0" xr:uid="{00000000-0006-0000-0100-000070000000}">
      <text>
        <r>
          <rPr>
            <sz val="10"/>
            <rFont val="Arial"/>
            <family val="2"/>
          </rPr>
          <t xml:space="preserve">
La suma del % de peso físico de las subactividades debe de dar el 100% de la actividad.</t>
        </r>
      </text>
    </comment>
    <comment ref="A125" authorId="0" shapeId="0" xr:uid="{00000000-0006-0000-0100-000071000000}">
      <text>
        <r>
          <rPr>
            <sz val="10"/>
            <rFont val="Arial"/>
            <family val="2"/>
          </rPr>
          <t xml:space="preserve">
La suma del % de peso físico de las actividades debe de dar el 100% del alcance.</t>
        </r>
      </text>
    </comment>
    <comment ref="A126" authorId="0" shapeId="0" xr:uid="{00000000-0006-0000-0100-000072000000}">
      <text>
        <r>
          <rPr>
            <sz val="10"/>
            <rFont val="Arial"/>
            <family val="2"/>
          </rPr>
          <t xml:space="preserve">
La suma del % de peso físico de las subactividades debe de dar el 100% de la actividad.</t>
        </r>
      </text>
    </comment>
    <comment ref="A127" authorId="0" shapeId="0" xr:uid="{00000000-0006-0000-0100-000073000000}">
      <text>
        <r>
          <rPr>
            <sz val="10"/>
            <rFont val="Arial"/>
            <family val="2"/>
          </rPr>
          <t xml:space="preserve">
La suma del % de peso físico de las subactividades debe de dar el 100% de la actividad.</t>
        </r>
      </text>
    </comment>
    <comment ref="A128" authorId="0" shapeId="0" xr:uid="{00000000-0006-0000-0100-000074000000}">
      <text>
        <r>
          <rPr>
            <sz val="10"/>
            <rFont val="Arial"/>
            <family val="2"/>
          </rPr>
          <t xml:space="preserve">
La suma del % de peso físico de las subactividades debe de dar el 100% de la actividad.</t>
        </r>
      </text>
    </comment>
    <comment ref="A129" authorId="0" shapeId="0" xr:uid="{00000000-0006-0000-0100-000075000000}">
      <text>
        <r>
          <rPr>
            <sz val="10"/>
            <rFont val="Arial"/>
            <family val="2"/>
          </rPr>
          <t xml:space="preserve">
La suma del % de peso físico de las subactividades debe de dar el 100% de la actividad.</t>
        </r>
      </text>
    </comment>
    <comment ref="A130" authorId="0" shapeId="0" xr:uid="{00000000-0006-0000-0100-000076000000}">
      <text>
        <r>
          <rPr>
            <sz val="10"/>
            <rFont val="Arial"/>
            <family val="2"/>
          </rPr>
          <t xml:space="preserve">
La suma del % de peso físico de las subactividades debe de dar el 100% de la actividad.</t>
        </r>
      </text>
    </comment>
    <comment ref="A131" authorId="0" shapeId="0" xr:uid="{00000000-0006-0000-0100-000077000000}">
      <text>
        <r>
          <rPr>
            <sz val="10"/>
            <rFont val="Arial"/>
            <family val="2"/>
          </rPr>
          <t xml:space="preserve">
La suma del % de peso físico de las actividades debe de dar el 100% del alcance.</t>
        </r>
      </text>
    </comment>
    <comment ref="A132" authorId="0" shapeId="0" xr:uid="{00000000-0006-0000-0100-000078000000}">
      <text>
        <r>
          <rPr>
            <sz val="10"/>
            <rFont val="Arial"/>
            <family val="2"/>
          </rPr>
          <t xml:space="preserve">
La suma del % de peso físico de las subactividades debe de dar el 100% de la actividad.</t>
        </r>
      </text>
    </comment>
    <comment ref="A133" authorId="0" shapeId="0" xr:uid="{00000000-0006-0000-0100-000079000000}">
      <text>
        <r>
          <rPr>
            <sz val="10"/>
            <rFont val="Arial"/>
            <family val="2"/>
          </rPr>
          <t xml:space="preserve">
La suma del % de peso físico de las subactividades debe de dar el 100% de la actividad.</t>
        </r>
      </text>
    </comment>
    <comment ref="A134" authorId="0" shapeId="0" xr:uid="{00000000-0006-0000-0100-00007A000000}">
      <text>
        <r>
          <rPr>
            <sz val="10"/>
            <rFont val="Arial"/>
            <family val="2"/>
          </rPr>
          <t xml:space="preserve">
La suma del % de peso físico de las subactividades debe de dar el 100% de la actividad.</t>
        </r>
      </text>
    </comment>
    <comment ref="A135" authorId="0" shapeId="0" xr:uid="{00000000-0006-0000-0100-00007B000000}">
      <text>
        <r>
          <rPr>
            <sz val="10"/>
            <rFont val="Arial"/>
            <family val="2"/>
          </rPr>
          <t xml:space="preserve">
La suma del % de peso físico de las subactividades debe de dar el 100% de la actividad.</t>
        </r>
      </text>
    </comment>
    <comment ref="A136" authorId="0" shapeId="0" xr:uid="{00000000-0006-0000-0100-00007C000000}">
      <text>
        <r>
          <rPr>
            <sz val="10"/>
            <rFont val="Arial"/>
            <family val="2"/>
          </rPr>
          <t xml:space="preserve">
La suma del % de peso físico de las subactividades debe de dar el 100% de la actividad.</t>
        </r>
      </text>
    </comment>
    <comment ref="A137" authorId="0" shapeId="0" xr:uid="{00000000-0006-0000-0100-00007D000000}">
      <text>
        <r>
          <rPr>
            <sz val="10"/>
            <rFont val="Arial"/>
            <family val="2"/>
          </rPr>
          <t xml:space="preserve">
La suma del % de peso físico de las actividades debe de dar el 100% del alcance.</t>
        </r>
      </text>
    </comment>
    <comment ref="A138" authorId="0" shapeId="0" xr:uid="{00000000-0006-0000-0100-00007E000000}">
      <text>
        <r>
          <rPr>
            <sz val="10"/>
            <rFont val="Arial"/>
            <family val="2"/>
          </rPr>
          <t xml:space="preserve">
La suma del % de peso físico de las subactividades debe de dar el 100% de la actividad.</t>
        </r>
      </text>
    </comment>
    <comment ref="A139" authorId="0" shapeId="0" xr:uid="{00000000-0006-0000-0100-00007F000000}">
      <text>
        <r>
          <rPr>
            <sz val="10"/>
            <rFont val="Arial"/>
            <family val="2"/>
          </rPr>
          <t xml:space="preserve">
La suma del % de peso físico de las subactividades debe de dar el 100% de la actividad.</t>
        </r>
      </text>
    </comment>
    <comment ref="A140" authorId="0" shapeId="0" xr:uid="{00000000-0006-0000-0100-000080000000}">
      <text>
        <r>
          <rPr>
            <sz val="10"/>
            <rFont val="Arial"/>
            <family val="2"/>
          </rPr>
          <t xml:space="preserve">
La suma del % de peso físico de las subactividades debe de dar el 100% de la actividad.</t>
        </r>
      </text>
    </comment>
    <comment ref="A141" authorId="0" shapeId="0" xr:uid="{00000000-0006-0000-0100-000081000000}">
      <text>
        <r>
          <rPr>
            <sz val="10"/>
            <rFont val="Arial"/>
            <family val="2"/>
          </rPr>
          <t xml:space="preserve">
La suma del % de peso físico de las subactividades debe de dar el 100% de la actividad.</t>
        </r>
      </text>
    </comment>
    <comment ref="A142" authorId="0" shapeId="0" xr:uid="{00000000-0006-0000-0100-000082000000}">
      <text>
        <r>
          <rPr>
            <sz val="10"/>
            <rFont val="Arial"/>
            <family val="2"/>
          </rPr>
          <t xml:space="preserve">
La suma del % de peso físico de las subactividades debe de dar el 100% de la actividad.</t>
        </r>
      </text>
    </comment>
    <comment ref="A143" authorId="0" shapeId="0" xr:uid="{00000000-0006-0000-0100-000083000000}">
      <text>
        <r>
          <rPr>
            <sz val="10"/>
            <rFont val="Arial"/>
            <family val="2"/>
          </rPr>
          <t xml:space="preserve">
La suma del % de peso físico de las actividades debe de dar el 100% del alcance.</t>
        </r>
      </text>
    </comment>
    <comment ref="A144" authorId="0" shapeId="0" xr:uid="{00000000-0006-0000-0100-000084000000}">
      <text>
        <r>
          <rPr>
            <sz val="10"/>
            <rFont val="Arial"/>
            <family val="2"/>
          </rPr>
          <t xml:space="preserve">
La suma del % de peso físico de las subactividades debe de dar el 100% de la actividad.</t>
        </r>
      </text>
    </comment>
    <comment ref="A145" authorId="0" shapeId="0" xr:uid="{00000000-0006-0000-0100-000085000000}">
      <text>
        <r>
          <rPr>
            <sz val="10"/>
            <rFont val="Arial"/>
            <family val="2"/>
          </rPr>
          <t xml:space="preserve">
La suma del % de peso físico de las subactividades debe de dar el 100% de la actividad.</t>
        </r>
      </text>
    </comment>
    <comment ref="A146" authorId="0" shapeId="0" xr:uid="{00000000-0006-0000-0100-000086000000}">
      <text>
        <r>
          <rPr>
            <sz val="10"/>
            <rFont val="Arial"/>
            <family val="2"/>
          </rPr>
          <t xml:space="preserve">
La suma del % de peso físico de las subactividades debe de dar el 100% de la actividad.</t>
        </r>
      </text>
    </comment>
    <comment ref="A147" authorId="0" shapeId="0" xr:uid="{00000000-0006-0000-0100-000087000000}">
      <text>
        <r>
          <rPr>
            <sz val="10"/>
            <rFont val="Arial"/>
            <family val="2"/>
          </rPr>
          <t xml:space="preserve">
La suma del % de peso físico de las subactividades debe de dar el 100% de la actividad.</t>
        </r>
      </text>
    </comment>
    <comment ref="A148" authorId="0" shapeId="0" xr:uid="{00000000-0006-0000-0100-000088000000}">
      <text>
        <r>
          <rPr>
            <sz val="10"/>
            <rFont val="Arial"/>
            <family val="2"/>
          </rPr>
          <t xml:space="preserve">
La suma del % de peso físico de las subactividades debe de dar el 100% de la actividad.</t>
        </r>
      </text>
    </comment>
    <comment ref="A149" authorId="0" shapeId="0" xr:uid="{00000000-0006-0000-0100-000089000000}">
      <text>
        <r>
          <rPr>
            <sz val="10"/>
            <rFont val="Arial"/>
            <family val="2"/>
          </rPr>
          <t xml:space="preserve">
la suma del % de peso físico de los alcances debe de dar el 100% del producto a obtener.</t>
        </r>
      </text>
    </comment>
    <comment ref="A150" authorId="0" shapeId="0" xr:uid="{00000000-0006-0000-0100-00008A000000}">
      <text>
        <r>
          <rPr>
            <sz val="10"/>
            <rFont val="Arial"/>
            <family val="2"/>
          </rPr>
          <t xml:space="preserve">
La suma del % de peso físico de las actividades debe de dar el 100% del alcance.</t>
        </r>
      </text>
    </comment>
    <comment ref="A151" authorId="0" shapeId="0" xr:uid="{00000000-0006-0000-0100-00008B000000}">
      <text>
        <r>
          <rPr>
            <sz val="10"/>
            <rFont val="Arial"/>
            <family val="2"/>
          </rPr>
          <t xml:space="preserve">
La suma del % de peso físico de las subactividades debe de dar el 100% de la actividad.</t>
        </r>
      </text>
    </comment>
    <comment ref="A152" authorId="0" shapeId="0" xr:uid="{00000000-0006-0000-0100-00008C000000}">
      <text>
        <r>
          <rPr>
            <sz val="10"/>
            <rFont val="Arial"/>
            <family val="2"/>
          </rPr>
          <t xml:space="preserve">
La suma del % de peso físico de las subactividades debe de dar el 100% de la actividad.</t>
        </r>
      </text>
    </comment>
    <comment ref="A153" authorId="0" shapeId="0" xr:uid="{00000000-0006-0000-0100-00008D000000}">
      <text>
        <r>
          <rPr>
            <sz val="10"/>
            <rFont val="Arial"/>
            <family val="2"/>
          </rPr>
          <t xml:space="preserve">
La suma del % de peso físico de las subactividades debe de dar el 100% de la actividad.</t>
        </r>
      </text>
    </comment>
    <comment ref="A154" authorId="0" shapeId="0" xr:uid="{00000000-0006-0000-0100-00008E000000}">
      <text>
        <r>
          <rPr>
            <sz val="10"/>
            <rFont val="Arial"/>
            <family val="2"/>
          </rPr>
          <t xml:space="preserve">
La suma del % de peso físico de las subactividades debe de dar el 100% de la actividad.</t>
        </r>
      </text>
    </comment>
    <comment ref="A155" authorId="0" shapeId="0" xr:uid="{00000000-0006-0000-0100-00008F000000}">
      <text>
        <r>
          <rPr>
            <sz val="10"/>
            <rFont val="Arial"/>
            <family val="2"/>
          </rPr>
          <t xml:space="preserve">
La suma del % de peso físico de las subactividades debe de dar el 100% de la actividad.</t>
        </r>
      </text>
    </comment>
    <comment ref="A156" authorId="0" shapeId="0" xr:uid="{00000000-0006-0000-0100-000090000000}">
      <text>
        <r>
          <rPr>
            <sz val="10"/>
            <rFont val="Arial"/>
            <family val="2"/>
          </rPr>
          <t xml:space="preserve">
La suma del % de peso físico de las actividades debe de dar el 100% del alcance.</t>
        </r>
      </text>
    </comment>
    <comment ref="A157" authorId="0" shapeId="0" xr:uid="{00000000-0006-0000-0100-000091000000}">
      <text>
        <r>
          <rPr>
            <sz val="10"/>
            <rFont val="Arial"/>
            <family val="2"/>
          </rPr>
          <t xml:space="preserve">
La suma del % de peso físico de las subactividades debe de dar el 100% de la actividad.</t>
        </r>
      </text>
    </comment>
    <comment ref="A158" authorId="0" shapeId="0" xr:uid="{00000000-0006-0000-0100-000092000000}">
      <text>
        <r>
          <rPr>
            <sz val="10"/>
            <rFont val="Arial"/>
            <family val="2"/>
          </rPr>
          <t xml:space="preserve">
La suma del % de peso físico de las subactividades debe de dar el 100% de la actividad.</t>
        </r>
      </text>
    </comment>
    <comment ref="A159" authorId="0" shapeId="0" xr:uid="{00000000-0006-0000-0100-000093000000}">
      <text>
        <r>
          <rPr>
            <sz val="10"/>
            <rFont val="Arial"/>
            <family val="2"/>
          </rPr>
          <t xml:space="preserve">
La suma del % de peso físico de las subactividades debe de dar el 100% de la actividad.</t>
        </r>
      </text>
    </comment>
    <comment ref="A160" authorId="0" shapeId="0" xr:uid="{00000000-0006-0000-0100-000094000000}">
      <text>
        <r>
          <rPr>
            <sz val="10"/>
            <rFont val="Arial"/>
            <family val="2"/>
          </rPr>
          <t xml:space="preserve">
La suma del % de peso físico de las subactividades debe de dar el 100% de la actividad.</t>
        </r>
      </text>
    </comment>
    <comment ref="A161" authorId="0" shapeId="0" xr:uid="{00000000-0006-0000-0100-000095000000}">
      <text>
        <r>
          <rPr>
            <sz val="10"/>
            <rFont val="Arial"/>
            <family val="2"/>
          </rPr>
          <t xml:space="preserve">
La suma del % de peso físico de las subactividades debe de dar el 100% de la actividad.</t>
        </r>
      </text>
    </comment>
    <comment ref="A162" authorId="0" shapeId="0" xr:uid="{00000000-0006-0000-0100-000096000000}">
      <text>
        <r>
          <rPr>
            <sz val="10"/>
            <rFont val="Arial"/>
            <family val="2"/>
          </rPr>
          <t xml:space="preserve">
La suma del % de peso físico de las actividades debe de dar el 100% del alcance.</t>
        </r>
      </text>
    </comment>
    <comment ref="A163" authorId="0" shapeId="0" xr:uid="{00000000-0006-0000-0100-000097000000}">
      <text>
        <r>
          <rPr>
            <sz val="10"/>
            <rFont val="Arial"/>
            <family val="2"/>
          </rPr>
          <t xml:space="preserve">
La suma del % de peso físico de las subactividades debe de dar el 100% de la actividad.</t>
        </r>
      </text>
    </comment>
    <comment ref="A164" authorId="0" shapeId="0" xr:uid="{00000000-0006-0000-0100-000098000000}">
      <text>
        <r>
          <rPr>
            <sz val="10"/>
            <rFont val="Arial"/>
            <family val="2"/>
          </rPr>
          <t xml:space="preserve">
La suma del % de peso físico de las subactividades debe de dar el 100% de la actividad.</t>
        </r>
      </text>
    </comment>
    <comment ref="A165" authorId="0" shapeId="0" xr:uid="{00000000-0006-0000-0100-000099000000}">
      <text>
        <r>
          <rPr>
            <sz val="10"/>
            <rFont val="Arial"/>
            <family val="2"/>
          </rPr>
          <t xml:space="preserve">
La suma del % de peso físico de las subactividades debe de dar el 100% de la actividad.</t>
        </r>
      </text>
    </comment>
    <comment ref="A166" authorId="0" shapeId="0" xr:uid="{00000000-0006-0000-0100-00009A000000}">
      <text>
        <r>
          <rPr>
            <sz val="10"/>
            <rFont val="Arial"/>
            <family val="2"/>
          </rPr>
          <t xml:space="preserve">
La suma del % de peso físico de las subactividades debe de dar el 100% de la actividad.</t>
        </r>
      </text>
    </comment>
    <comment ref="A167" authorId="0" shapeId="0" xr:uid="{00000000-0006-0000-0100-00009B000000}">
      <text>
        <r>
          <rPr>
            <sz val="10"/>
            <rFont val="Arial"/>
            <family val="2"/>
          </rPr>
          <t xml:space="preserve">
La suma del % de peso físico de las subactividades debe de dar el 100% de la actividad.</t>
        </r>
      </text>
    </comment>
    <comment ref="A168" authorId="0" shapeId="0" xr:uid="{00000000-0006-0000-0100-00009C000000}">
      <text>
        <r>
          <rPr>
            <sz val="10"/>
            <rFont val="Arial"/>
            <family val="2"/>
          </rPr>
          <t xml:space="preserve">
La suma del % de peso físico de las actividades debe de dar el 100% del alcance.</t>
        </r>
      </text>
    </comment>
    <comment ref="A169" authorId="0" shapeId="0" xr:uid="{00000000-0006-0000-0100-00009D000000}">
      <text>
        <r>
          <rPr>
            <sz val="10"/>
            <rFont val="Arial"/>
            <family val="2"/>
          </rPr>
          <t xml:space="preserve">
La suma del % de peso físico de las subactividades debe de dar el 100% de la actividad.</t>
        </r>
      </text>
    </comment>
    <comment ref="A170" authorId="0" shapeId="0" xr:uid="{00000000-0006-0000-0100-00009E000000}">
      <text>
        <r>
          <rPr>
            <sz val="10"/>
            <rFont val="Arial"/>
            <family val="2"/>
          </rPr>
          <t xml:space="preserve">
La suma del % de peso físico de las subactividades debe de dar el 100% de la actividad.</t>
        </r>
      </text>
    </comment>
    <comment ref="A171" authorId="0" shapeId="0" xr:uid="{00000000-0006-0000-0100-00009F000000}">
      <text>
        <r>
          <rPr>
            <sz val="10"/>
            <rFont val="Arial"/>
            <family val="2"/>
          </rPr>
          <t xml:space="preserve">
La suma del % de peso físico de las subactividades debe de dar el 100% de la actividad.</t>
        </r>
      </text>
    </comment>
    <comment ref="A172" authorId="0" shapeId="0" xr:uid="{00000000-0006-0000-0100-0000A0000000}">
      <text>
        <r>
          <rPr>
            <sz val="10"/>
            <rFont val="Arial"/>
            <family val="2"/>
          </rPr>
          <t xml:space="preserve">
La suma del % de peso físico de las subactividades debe de dar el 100% de la actividad.</t>
        </r>
      </text>
    </comment>
    <comment ref="A173" authorId="0" shapeId="0" xr:uid="{00000000-0006-0000-0100-0000A1000000}">
      <text>
        <r>
          <rPr>
            <sz val="10"/>
            <rFont val="Arial"/>
            <family val="2"/>
          </rPr>
          <t xml:space="preserve">
La suma del % de peso físico de las subactividades debe de dar el 100% de la actividad.</t>
        </r>
      </text>
    </comment>
    <comment ref="A174" authorId="0" shapeId="0" xr:uid="{00000000-0006-0000-0100-0000A2000000}">
      <text>
        <r>
          <rPr>
            <sz val="10"/>
            <rFont val="Arial"/>
            <family val="2"/>
          </rPr>
          <t xml:space="preserve">
La suma del % de peso físico de las actividades debe de dar el 100% del alcance.</t>
        </r>
      </text>
    </comment>
    <comment ref="A175" authorId="0" shapeId="0" xr:uid="{00000000-0006-0000-0100-0000A3000000}">
      <text>
        <r>
          <rPr>
            <sz val="10"/>
            <rFont val="Arial"/>
            <family val="2"/>
          </rPr>
          <t xml:space="preserve">
La suma del % de peso físico de las subactividades debe de dar el 100% de la actividad.</t>
        </r>
      </text>
    </comment>
    <comment ref="A176" authorId="0" shapeId="0" xr:uid="{00000000-0006-0000-0100-0000A4000000}">
      <text>
        <r>
          <rPr>
            <sz val="10"/>
            <rFont val="Arial"/>
            <family val="2"/>
          </rPr>
          <t xml:space="preserve">
La suma del % de peso físico de las subactividades debe de dar el 100% de la actividad.</t>
        </r>
      </text>
    </comment>
    <comment ref="A177" authorId="0" shapeId="0" xr:uid="{00000000-0006-0000-0100-0000A5000000}">
      <text>
        <r>
          <rPr>
            <sz val="10"/>
            <rFont val="Arial"/>
            <family val="2"/>
          </rPr>
          <t xml:space="preserve">
La suma del % de peso físico de las subactividades debe de dar el 100% de la actividad.</t>
        </r>
      </text>
    </comment>
    <comment ref="A178" authorId="0" shapeId="0" xr:uid="{00000000-0006-0000-0100-0000A6000000}">
      <text>
        <r>
          <rPr>
            <sz val="10"/>
            <rFont val="Arial"/>
            <family val="2"/>
          </rPr>
          <t xml:space="preserve">
La suma del % de peso físico de las subactividades debe de dar el 100% de la actividad.</t>
        </r>
      </text>
    </comment>
    <comment ref="A179" authorId="0" shapeId="0" xr:uid="{00000000-0006-0000-0100-0000A7000000}">
      <text>
        <r>
          <rPr>
            <sz val="10"/>
            <rFont val="Arial"/>
            <family val="2"/>
          </rPr>
          <t xml:space="preserve">
La suma del % de peso físico de las subactividades debe de dar el 100% de la actividad.</t>
        </r>
      </text>
    </comment>
    <comment ref="A180" authorId="0" shapeId="0" xr:uid="{00000000-0006-0000-0100-0000A8000000}">
      <text>
        <r>
          <rPr>
            <sz val="10"/>
            <rFont val="Arial"/>
            <family val="2"/>
          </rPr>
          <t xml:space="preserve">
la suma del % de peso físico de los alcances debe de dar el 100% del producto a obtener.</t>
        </r>
      </text>
    </comment>
    <comment ref="A181" authorId="0" shapeId="0" xr:uid="{00000000-0006-0000-0100-0000A9000000}">
      <text>
        <r>
          <rPr>
            <sz val="10"/>
            <rFont val="Arial"/>
            <family val="2"/>
          </rPr>
          <t xml:space="preserve">
La suma del % de peso físico de las actividades debe de dar el 100% del alcance.</t>
        </r>
      </text>
    </comment>
    <comment ref="A182" authorId="0" shapeId="0" xr:uid="{00000000-0006-0000-0100-0000AA000000}">
      <text>
        <r>
          <rPr>
            <sz val="10"/>
            <rFont val="Arial"/>
            <family val="2"/>
          </rPr>
          <t xml:space="preserve">
La suma del % de peso físico de las subactividades debe de dar el 100% de la actividad.</t>
        </r>
      </text>
    </comment>
    <comment ref="A183" authorId="0" shapeId="0" xr:uid="{00000000-0006-0000-0100-0000AB000000}">
      <text>
        <r>
          <rPr>
            <sz val="10"/>
            <rFont val="Arial"/>
            <family val="2"/>
          </rPr>
          <t xml:space="preserve">
La suma del % de peso físico de las subactividades debe de dar el 100% de la actividad.</t>
        </r>
      </text>
    </comment>
    <comment ref="A184" authorId="0" shapeId="0" xr:uid="{00000000-0006-0000-0100-0000AC000000}">
      <text>
        <r>
          <rPr>
            <sz val="10"/>
            <rFont val="Arial"/>
            <family val="2"/>
          </rPr>
          <t xml:space="preserve">
La suma del % de peso físico de las subactividades debe de dar el 100% de la actividad.</t>
        </r>
      </text>
    </comment>
    <comment ref="A185" authorId="0" shapeId="0" xr:uid="{00000000-0006-0000-0100-0000AD000000}">
      <text>
        <r>
          <rPr>
            <sz val="10"/>
            <rFont val="Arial"/>
            <family val="2"/>
          </rPr>
          <t xml:space="preserve">
La suma del % de peso físico de las subactividades debe de dar el 100% de la actividad.</t>
        </r>
      </text>
    </comment>
    <comment ref="A186" authorId="0" shapeId="0" xr:uid="{00000000-0006-0000-0100-0000AE000000}">
      <text>
        <r>
          <rPr>
            <sz val="10"/>
            <rFont val="Arial"/>
            <family val="2"/>
          </rPr>
          <t xml:space="preserve">
La suma del % de peso físico de las subactividades debe de dar el 100% de la actividad.</t>
        </r>
      </text>
    </comment>
    <comment ref="A187" authorId="0" shapeId="0" xr:uid="{00000000-0006-0000-0100-0000AF000000}">
      <text>
        <r>
          <rPr>
            <sz val="10"/>
            <rFont val="Arial"/>
            <family val="2"/>
          </rPr>
          <t xml:space="preserve">
La suma del % de peso físico de las actividades debe de dar el 100% del alcance.</t>
        </r>
      </text>
    </comment>
    <comment ref="A188" authorId="0" shapeId="0" xr:uid="{00000000-0006-0000-0100-0000B0000000}">
      <text>
        <r>
          <rPr>
            <sz val="10"/>
            <rFont val="Arial"/>
            <family val="2"/>
          </rPr>
          <t xml:space="preserve">
La suma del % de peso físico de las subactividades debe de dar el 100% de la actividad.</t>
        </r>
      </text>
    </comment>
    <comment ref="A189" authorId="0" shapeId="0" xr:uid="{00000000-0006-0000-0100-0000B1000000}">
      <text>
        <r>
          <rPr>
            <sz val="10"/>
            <rFont val="Arial"/>
            <family val="2"/>
          </rPr>
          <t xml:space="preserve">
La suma del % de peso físico de las subactividades debe de dar el 100% de la actividad.</t>
        </r>
      </text>
    </comment>
    <comment ref="A190" authorId="0" shapeId="0" xr:uid="{00000000-0006-0000-0100-0000B2000000}">
      <text>
        <r>
          <rPr>
            <sz val="10"/>
            <rFont val="Arial"/>
            <family val="2"/>
          </rPr>
          <t xml:space="preserve">
La suma del % de peso físico de las subactividades debe de dar el 100% de la actividad.</t>
        </r>
      </text>
    </comment>
    <comment ref="A191" authorId="0" shapeId="0" xr:uid="{00000000-0006-0000-0100-0000B3000000}">
      <text>
        <r>
          <rPr>
            <sz val="10"/>
            <rFont val="Arial"/>
            <family val="2"/>
          </rPr>
          <t xml:space="preserve">
La suma del % de peso físico de las subactividades debe de dar el 100% de la actividad.</t>
        </r>
      </text>
    </comment>
    <comment ref="A192" authorId="0" shapeId="0" xr:uid="{00000000-0006-0000-0100-0000B4000000}">
      <text>
        <r>
          <rPr>
            <sz val="10"/>
            <rFont val="Arial"/>
            <family val="2"/>
          </rPr>
          <t xml:space="preserve">
La suma del % de peso físico de las subactividades debe de dar el 100% de la actividad.</t>
        </r>
      </text>
    </comment>
    <comment ref="A193" authorId="0" shapeId="0" xr:uid="{00000000-0006-0000-0100-0000B5000000}">
      <text>
        <r>
          <rPr>
            <sz val="10"/>
            <rFont val="Arial"/>
            <family val="2"/>
          </rPr>
          <t xml:space="preserve">
La suma del % de peso físico de las actividades debe de dar el 100% del alcance.</t>
        </r>
      </text>
    </comment>
    <comment ref="A194" authorId="0" shapeId="0" xr:uid="{00000000-0006-0000-0100-0000B6000000}">
      <text>
        <r>
          <rPr>
            <sz val="10"/>
            <rFont val="Arial"/>
            <family val="2"/>
          </rPr>
          <t xml:space="preserve">
La suma del % de peso físico de las subactividades debe de dar el 100% de la actividad.</t>
        </r>
      </text>
    </comment>
    <comment ref="A195" authorId="0" shapeId="0" xr:uid="{00000000-0006-0000-0100-0000B7000000}">
      <text>
        <r>
          <rPr>
            <sz val="10"/>
            <rFont val="Arial"/>
            <family val="2"/>
          </rPr>
          <t xml:space="preserve">
La suma del % de peso físico de las subactividades debe de dar el 100% de la actividad.</t>
        </r>
      </text>
    </comment>
    <comment ref="A196" authorId="0" shapeId="0" xr:uid="{00000000-0006-0000-0100-0000B8000000}">
      <text>
        <r>
          <rPr>
            <sz val="10"/>
            <rFont val="Arial"/>
            <family val="2"/>
          </rPr>
          <t xml:space="preserve">
La suma del % de peso físico de las subactividades debe de dar el 100% de la actividad.</t>
        </r>
      </text>
    </comment>
    <comment ref="A197" authorId="0" shapeId="0" xr:uid="{00000000-0006-0000-0100-0000B9000000}">
      <text>
        <r>
          <rPr>
            <sz val="10"/>
            <rFont val="Arial"/>
            <family val="2"/>
          </rPr>
          <t xml:space="preserve">
La suma del % de peso físico de las subactividades debe de dar el 100% de la actividad.</t>
        </r>
      </text>
    </comment>
    <comment ref="A198" authorId="0" shapeId="0" xr:uid="{00000000-0006-0000-0100-0000BA000000}">
      <text>
        <r>
          <rPr>
            <sz val="10"/>
            <rFont val="Arial"/>
            <family val="2"/>
          </rPr>
          <t xml:space="preserve">
La suma del % de peso físico de las subactividades debe de dar el 100% de la actividad.</t>
        </r>
      </text>
    </comment>
    <comment ref="A199" authorId="0" shapeId="0" xr:uid="{00000000-0006-0000-0100-0000BB000000}">
      <text>
        <r>
          <rPr>
            <sz val="10"/>
            <rFont val="Arial"/>
            <family val="2"/>
          </rPr>
          <t xml:space="preserve">
La suma del % de peso físico de las actividades debe de dar el 100% del alcance.</t>
        </r>
      </text>
    </comment>
    <comment ref="A200" authorId="0" shapeId="0" xr:uid="{00000000-0006-0000-0100-0000BC000000}">
      <text>
        <r>
          <rPr>
            <sz val="10"/>
            <rFont val="Arial"/>
            <family val="2"/>
          </rPr>
          <t xml:space="preserve">
La suma del % de peso físico de las subactividades debe de dar el 100% de la actividad.</t>
        </r>
      </text>
    </comment>
    <comment ref="A201" authorId="0" shapeId="0" xr:uid="{00000000-0006-0000-0100-0000BD000000}">
      <text>
        <r>
          <rPr>
            <sz val="10"/>
            <rFont val="Arial"/>
            <family val="2"/>
          </rPr>
          <t xml:space="preserve">
La suma del % de peso físico de las subactividades debe de dar el 100% de la actividad.</t>
        </r>
      </text>
    </comment>
    <comment ref="A202" authorId="0" shapeId="0" xr:uid="{00000000-0006-0000-0100-0000BE000000}">
      <text>
        <r>
          <rPr>
            <sz val="10"/>
            <rFont val="Arial"/>
            <family val="2"/>
          </rPr>
          <t xml:space="preserve">
La suma del % de peso físico de las subactividades debe de dar el 100% de la actividad.</t>
        </r>
      </text>
    </comment>
    <comment ref="A203" authorId="0" shapeId="0" xr:uid="{00000000-0006-0000-0100-0000BF000000}">
      <text>
        <r>
          <rPr>
            <sz val="10"/>
            <rFont val="Arial"/>
            <family val="2"/>
          </rPr>
          <t xml:space="preserve">
La suma del % de peso físico de las subactividades debe de dar el 100% de la actividad.</t>
        </r>
      </text>
    </comment>
    <comment ref="A204" authorId="0" shapeId="0" xr:uid="{00000000-0006-0000-0100-0000C0000000}">
      <text>
        <r>
          <rPr>
            <sz val="10"/>
            <rFont val="Arial"/>
            <family val="2"/>
          </rPr>
          <t xml:space="preserve">
La suma del % de peso físico de las subactividades debe de dar el 100% de la actividad.</t>
        </r>
      </text>
    </comment>
    <comment ref="A205" authorId="0" shapeId="0" xr:uid="{00000000-0006-0000-0100-0000C1000000}">
      <text>
        <r>
          <rPr>
            <sz val="10"/>
            <rFont val="Arial"/>
            <family val="2"/>
          </rPr>
          <t xml:space="preserve">
La suma del % de peso físico de las actividades debe de dar el 100% del alcance.</t>
        </r>
      </text>
    </comment>
    <comment ref="A206" authorId="0" shapeId="0" xr:uid="{00000000-0006-0000-0100-0000C2000000}">
      <text>
        <r>
          <rPr>
            <sz val="10"/>
            <rFont val="Arial"/>
            <family val="2"/>
          </rPr>
          <t xml:space="preserve">
La suma del % de peso físico de las subactividades debe de dar el 100% de la actividad.</t>
        </r>
      </text>
    </comment>
    <comment ref="A207" authorId="0" shapeId="0" xr:uid="{00000000-0006-0000-0100-0000C3000000}">
      <text>
        <r>
          <rPr>
            <sz val="10"/>
            <rFont val="Arial"/>
            <family val="2"/>
          </rPr>
          <t xml:space="preserve">
La suma del % de peso físico de las subactividades debe de dar el 100% de la actividad.</t>
        </r>
      </text>
    </comment>
    <comment ref="A208" authorId="0" shapeId="0" xr:uid="{00000000-0006-0000-0100-0000C4000000}">
      <text>
        <r>
          <rPr>
            <sz val="10"/>
            <rFont val="Arial"/>
            <family val="2"/>
          </rPr>
          <t xml:space="preserve">
La suma del % de peso físico de las subactividades debe de dar el 100% de la actividad.</t>
        </r>
      </text>
    </comment>
    <comment ref="A209" authorId="0" shapeId="0" xr:uid="{00000000-0006-0000-0100-0000C5000000}">
      <text>
        <r>
          <rPr>
            <sz val="10"/>
            <rFont val="Arial"/>
            <family val="2"/>
          </rPr>
          <t xml:space="preserve">
La suma del % de peso físico de las subactividades debe de dar el 100% de la actividad.</t>
        </r>
      </text>
    </comment>
    <comment ref="A210" authorId="0" shapeId="0" xr:uid="{00000000-0006-0000-0100-0000C6000000}">
      <text>
        <r>
          <rPr>
            <sz val="10"/>
            <rFont val="Arial"/>
            <family val="2"/>
          </rPr>
          <t xml:space="preserve">
La suma del % de peso físico de las subactividades debe de dar el 100% de la actividad.</t>
        </r>
      </text>
    </comment>
    <comment ref="A211" authorId="0" shapeId="0" xr:uid="{00000000-0006-0000-0100-0000C7000000}">
      <text>
        <r>
          <rPr>
            <sz val="10"/>
            <rFont val="Arial"/>
            <family val="2"/>
          </rPr>
          <t xml:space="preserve">
Suma de la ejecución de las subactividades en cada período</t>
        </r>
      </text>
    </comment>
    <comment ref="A212" authorId="0" shapeId="0" xr:uid="{00000000-0006-0000-0100-0000C8000000}">
      <text>
        <r>
          <rPr>
            <sz val="10"/>
            <rFont val="Arial"/>
            <family val="2"/>
          </rPr>
          <t xml:space="preserve">
Suma del total del período anterior + el total del período actual</t>
        </r>
      </text>
    </comment>
    <comment ref="E216" authorId="0" shapeId="0" xr:uid="{00000000-0006-0000-0100-0000CE000000}">
      <text>
        <r>
          <rPr>
            <sz val="10"/>
            <rFont val="Arial"/>
            <family val="2"/>
          </rPr>
          <t xml:space="preserve">
Valor total incluido los aportes en dinero y en especie, de todos los participantes</t>
        </r>
      </text>
    </comment>
    <comment ref="F216" authorId="0" shapeId="0" xr:uid="{00000000-0006-0000-0100-0000D4000000}">
      <text>
        <r>
          <rPr>
            <sz val="10"/>
            <rFont val="Arial"/>
            <family val="2"/>
          </rPr>
          <t xml:space="preserve">
Valor total en dinero aportado por corantioquia</t>
        </r>
      </text>
    </comment>
    <comment ref="F218" authorId="0" shapeId="0" xr:uid="{00000000-0006-0000-0100-0000D5000000}">
      <text>
        <r>
          <rPr>
            <sz val="10"/>
            <rFont val="Arial"/>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8" authorId="0" shapeId="0" xr:uid="{00000000-0006-0000-0100-0000D9000000}">
      <text>
        <r>
          <rPr>
            <sz val="10"/>
            <rFont val="Arial"/>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9" authorId="0" shapeId="0" xr:uid="{00000000-0006-0000-0100-0000CF000000}">
      <text>
        <r>
          <rPr>
            <sz val="10"/>
            <rFont val="Arial"/>
            <family val="2"/>
          </rPr>
          <t xml:space="preserve">
Peso %:
 Valor aportado por corantioquia en cada periodo / el valor (total) aportado por corantioquia</t>
        </r>
      </text>
    </comment>
    <comment ref="E220" authorId="0" shapeId="0" xr:uid="{00000000-0006-0000-0100-0000D0000000}">
      <text>
        <r>
          <rPr>
            <sz val="10"/>
            <rFont val="Arial"/>
            <family val="2"/>
          </rPr>
          <t xml:space="preserve">
Suma del (%) del período anterior + el (%) del período actual</t>
        </r>
      </text>
    </comment>
    <comment ref="E222" authorId="0" shapeId="0" xr:uid="{00000000-0006-0000-0100-0000D1000000}">
      <text>
        <r>
          <rPr>
            <sz val="10"/>
            <rFont val="Arial"/>
            <family val="2"/>
          </rPr>
          <t xml:space="preserve">
Esta información se compara con los datos disponibles en el PGAR.
Peso %:
 Valor desembolsado por corantioquia en cada periodo / el valor (total) aportado por corantioquia</t>
        </r>
      </text>
    </comment>
    <comment ref="E223" authorId="0" shapeId="0" xr:uid="{00000000-0006-0000-0100-0000D2000000}">
      <text>
        <r>
          <rPr>
            <sz val="10"/>
            <rFont val="Arial"/>
            <family val="2"/>
          </rPr>
          <t xml:space="preserve">
Esta información se compara con los datos disponibles en el PGAR.
Suma del (%) del período anterior + el (%) del período actual</t>
        </r>
      </text>
    </comment>
    <comment ref="C225" authorId="0" shapeId="0" xr:uid="{00000000-0006-0000-0100-0000CB000000}">
      <text>
        <r>
          <rPr>
            <sz val="10"/>
            <rFont val="Arial"/>
            <family val="2"/>
          </rPr>
          <t xml:space="preserve">
Diligenciar esta información solo en caso de Otrosí de adición de recursos o prórroga </t>
        </r>
      </text>
    </comment>
    <comment ref="E226" authorId="0" shapeId="0" xr:uid="{00000000-0006-0000-0100-0000D3000000}">
      <text>
        <r>
          <rPr>
            <sz val="10"/>
            <rFont val="Arial"/>
            <family val="2"/>
          </rPr>
          <t xml:space="preserve">
Valor aportado por corantioquia (solo en dinero) de manera inicial + las adiciones</t>
        </r>
      </text>
    </comment>
    <comment ref="F228" authorId="0" shapeId="0" xr:uid="{00000000-0006-0000-0100-0000D6000000}">
      <text>
        <r>
          <rPr>
            <sz val="10"/>
            <rFont val="Arial"/>
            <family val="2"/>
          </rPr>
          <t xml:space="preserve">
Diligenciar la información de los valores que efectivamente se han desembolsado, de acuerdo con la información en el PGAR</t>
        </r>
      </text>
    </comment>
    <comment ref="F231" authorId="0" shapeId="0" xr:uid="{00000000-0006-0000-0100-0000D7000000}">
      <text>
        <r>
          <rPr>
            <sz val="10"/>
            <rFont val="Arial"/>
            <family val="2"/>
          </rPr>
          <t xml:space="preserve">
Plasmar la planeación de los valores pendientes de ejecución o desembolso</t>
        </r>
      </text>
    </comment>
    <comment ref="C234" authorId="0" shapeId="0" xr:uid="{00000000-0006-0000-0100-0000CC000000}">
      <text>
        <r>
          <rPr>
            <sz val="10"/>
            <rFont val="Arial"/>
            <family val="2"/>
          </rPr>
          <t xml:space="preserve">
Suma del porcentaje acumulado de los valores ya ejecutados y el porcentaje acumulado de los valores por ejecutar</t>
        </r>
      </text>
    </comment>
    <comment ref="B241" authorId="1" shapeId="0" xr:uid="{00000000-0006-0000-0100-0000C9000000}">
      <text>
        <r>
          <rPr>
            <sz val="10"/>
            <rFont val="Arial"/>
            <family val="2"/>
          </rPr>
          <t>Por favor escribir el nombre del Gerente Programa</t>
        </r>
      </text>
    </comment>
    <comment ref="G241" authorId="1" shapeId="0" xr:uid="{00000000-0006-0000-0100-0000D8000000}">
      <text>
        <r>
          <rPr>
            <sz val="10"/>
            <rFont val="Arial"/>
            <family val="2"/>
          </rPr>
          <t>Por favor escribir el nombre del Gerente Programa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13" authorId="0" shapeId="0" xr:uid="{00000000-0006-0000-0200-000005000000}">
      <text>
        <r>
          <rPr>
            <sz val="10"/>
            <rFont val="Arial"/>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A15" authorId="0" shapeId="0" xr:uid="{00000000-0006-0000-0200-000001000000}">
      <text>
        <r>
          <rPr>
            <sz val="10"/>
            <rFont val="Arial"/>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6" authorId="0" shapeId="0" xr:uid="{00000000-0006-0000-0200-000002000000}">
      <text>
        <r>
          <rPr>
            <sz val="10"/>
            <rFont val="Arial"/>
            <family val="2"/>
          </rPr>
          <t>la suma del % de peso físico de los alcances debe de dar el 100% del producto a obtener.</t>
        </r>
      </text>
    </comment>
    <comment ref="A17" authorId="0" shapeId="0" xr:uid="{00000000-0006-0000-0200-000003000000}">
      <text>
        <r>
          <rPr>
            <sz val="10"/>
            <rFont val="Arial"/>
            <family val="2"/>
          </rPr>
          <t xml:space="preserve">
Suma de la ejecución de las subactividades en cada período</t>
        </r>
      </text>
    </comment>
    <comment ref="A18" authorId="0" shapeId="0" xr:uid="{00000000-0006-0000-0200-000004000000}">
      <text>
        <r>
          <rPr>
            <sz val="10"/>
            <rFont val="Arial"/>
            <family val="2"/>
          </rPr>
          <t xml:space="preserve">
Suma del total del período anterior + el total del período actual</t>
        </r>
      </text>
    </comment>
    <comment ref="Q24" authorId="0" shapeId="0" xr:uid="{00000000-0006-0000-0200-00000F000000}">
      <text>
        <r>
          <rPr>
            <sz val="10"/>
            <rFont val="Arial"/>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5" authorId="0" shapeId="0" xr:uid="{00000000-0006-0000-0200-000009000000}">
      <text>
        <r>
          <rPr>
            <sz val="10"/>
            <rFont val="Arial"/>
            <family val="2"/>
          </rPr>
          <t xml:space="preserve">
Peso %:
 Valor aportado por corantioquia en cada periodo / el valor (total) aportado por corantioquia</t>
        </r>
      </text>
    </comment>
    <comment ref="E26" authorId="0" shapeId="0" xr:uid="{00000000-0006-0000-0200-00000A000000}">
      <text>
        <r>
          <rPr>
            <sz val="10"/>
            <rFont val="Arial"/>
            <family val="2"/>
          </rPr>
          <t xml:space="preserve">
Suma del (%) del período anterior + el (%) del período actual</t>
        </r>
      </text>
    </comment>
    <comment ref="E28" authorId="0" shapeId="0" xr:uid="{00000000-0006-0000-0200-00000B000000}">
      <text>
        <r>
          <rPr>
            <sz val="10"/>
            <rFont val="Arial"/>
            <family val="2"/>
          </rPr>
          <t xml:space="preserve">
Esta información se compara con los datos disponibles en el PGAR.
Peso %:
 Valor desembolsado por corantioquia en cada periodo / el valor (total) aportado por corantioquia</t>
        </r>
      </text>
    </comment>
    <comment ref="E29" authorId="0" shapeId="0" xr:uid="{00000000-0006-0000-0200-00000C000000}">
      <text>
        <r>
          <rPr>
            <sz val="10"/>
            <rFont val="Arial"/>
            <family val="2"/>
          </rPr>
          <t xml:space="preserve">
Esta información se compara con los datos disponibles en el PGAR.
Suma del (%) del período anterior + el (%) del período actual</t>
        </r>
      </text>
    </comment>
    <comment ref="C31" authorId="0" shapeId="0" xr:uid="{00000000-0006-0000-0200-000006000000}">
      <text>
        <r>
          <rPr>
            <sz val="10"/>
            <rFont val="Arial"/>
            <family val="2"/>
          </rPr>
          <t xml:space="preserve">
Diligenciar esta información solo en caso de Otrosí de adición de recursos o prórroga </t>
        </r>
      </text>
    </comment>
    <comment ref="D32" authorId="0" shapeId="0" xr:uid="{00000000-0006-0000-0200-000008000000}">
      <text>
        <r>
          <rPr>
            <sz val="10"/>
            <rFont val="Arial"/>
            <family val="2"/>
          </rPr>
          <t xml:space="preserve">
Valor aportado por corantioquia (solo en dinero) de manera inicial + las adiciones</t>
        </r>
      </text>
    </comment>
    <comment ref="E34" authorId="0" shapeId="0" xr:uid="{00000000-0006-0000-0200-00000D000000}">
      <text>
        <r>
          <rPr>
            <sz val="10"/>
            <rFont val="Arial"/>
            <family val="2"/>
          </rPr>
          <t xml:space="preserve">
Diligenciar la información de los valores que efectivamente se han desembolsado, de acuerdo con la información en el PGAR</t>
        </r>
      </text>
    </comment>
    <comment ref="E37" authorId="0" shapeId="0" xr:uid="{00000000-0006-0000-0200-00000E000000}">
      <text>
        <r>
          <rPr>
            <sz val="10"/>
            <rFont val="Arial"/>
            <family val="2"/>
          </rPr>
          <t xml:space="preserve">
Plasmar la planeación de los valores pendientes de ejecución o desembolso</t>
        </r>
      </text>
    </comment>
    <comment ref="C40" authorId="0" shapeId="0" xr:uid="{00000000-0006-0000-0200-000007000000}">
      <text>
        <r>
          <rPr>
            <sz val="10"/>
            <rFont val="Arial"/>
            <family val="2"/>
          </rPr>
          <t xml:space="preserve">
Suma del porcentaje acumulado de los valores ya ejecutados y el porcentaje acumulado de los valores por ejecutar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300-000001000000}">
      <text>
        <r>
          <rPr>
            <sz val="10"/>
            <rFont val="Arial"/>
            <family val="2"/>
          </rPr>
          <t>La información se alimenta de la hoja 
"PLAN DE EJECUCIÓN FÍSICA Y DE INVERSIONES"</t>
        </r>
      </text>
    </comment>
    <comment ref="A6" authorId="0" shapeId="0" xr:uid="{00000000-0006-0000-0300-000002000000}">
      <text>
        <r>
          <rPr>
            <sz val="10"/>
            <rFont val="Arial"/>
            <family val="2"/>
          </rPr>
          <t>La información se alimenta de la hoja 
"PLAN DE EJECUCIÓN FÍSICA Y DE INVERSIONES"</t>
        </r>
      </text>
    </comment>
    <comment ref="I8" authorId="0" shapeId="0" xr:uid="{00000000-0006-0000-0300-000012000000}">
      <text>
        <r>
          <rPr>
            <sz val="10"/>
            <rFont val="Arial"/>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1" shapeId="0" xr:uid="{00000000-0006-0000-0300-000004000000}">
      <text>
        <r>
          <rPr>
            <sz val="10"/>
            <rFont val="Arial"/>
            <family val="2"/>
          </rPr>
          <t xml:space="preserve">
Respecto al ítem</t>
        </r>
      </text>
    </comment>
    <comment ref="C9" authorId="1" shapeId="0" xr:uid="{00000000-0006-0000-0300-000005000000}">
      <text>
        <r>
          <rPr>
            <sz val="10"/>
            <rFont val="Arial"/>
            <family val="2"/>
          </rPr>
          <t xml:space="preserve">
(%) de dedicación respecto a la unidad de medida, justificar adecuamente en caso que sea inferior al 100% y no sea aporte en especie</t>
        </r>
      </text>
    </comment>
    <comment ref="E9" authorId="1" shapeId="0" xr:uid="{00000000-0006-0000-0300-000006000000}">
      <text>
        <r>
          <rPr>
            <sz val="10"/>
            <rFont val="Arial"/>
            <family val="2"/>
          </rPr>
          <t xml:space="preserve">
Respecto a la unidad de medida</t>
        </r>
      </text>
    </comment>
    <comment ref="H9" authorId="0" shapeId="0" xr:uid="{00000000-0006-0000-0300-00000F000000}">
      <text>
        <r>
          <rPr>
            <sz val="10"/>
            <rFont val="Arial"/>
            <family val="2"/>
          </rPr>
          <t xml:space="preserve">
(%) Porcentaje de participación respecto al SUBTOTAL PERSONAL</t>
        </r>
      </text>
    </comment>
    <comment ref="F83" authorId="0" shapeId="0" xr:uid="{00000000-0006-0000-0300-000008000000}">
      <text>
        <r>
          <rPr>
            <sz val="10"/>
            <rFont val="Arial"/>
            <family val="2"/>
          </rPr>
          <t xml:space="preserve">
Los valores unitarios se deben expresar en valores mayores de cero (0)</t>
        </r>
      </text>
    </comment>
    <comment ref="G83" authorId="0" shapeId="0" xr:uid="{00000000-0006-0000-0300-00000A000000}">
      <text>
        <r>
          <rPr>
            <sz val="10"/>
            <rFont val="Arial"/>
            <family val="2"/>
          </rPr>
          <t xml:space="preserve">
cantidad X valor unitario</t>
        </r>
      </text>
    </comment>
    <comment ref="H83" authorId="0" shapeId="0" xr:uid="{00000000-0006-0000-0300-000010000000}">
      <text>
        <r>
          <rPr>
            <sz val="10"/>
            <rFont val="Arial"/>
            <family val="2"/>
          </rPr>
          <t xml:space="preserve">
(%) Porcentaje de participación respecto al SUBTOTAL COSTOS (diferentes a los costos del personal)</t>
        </r>
      </text>
    </comment>
    <comment ref="G130" authorId="0" shapeId="0" xr:uid="{00000000-0006-0000-0300-00000B000000}">
      <text>
        <r>
          <rPr>
            <sz val="10"/>
            <rFont val="Arial"/>
            <family val="2"/>
          </rPr>
          <t xml:space="preserve">
Diligenciar si aplica</t>
        </r>
      </text>
    </comment>
    <comment ref="G131" authorId="0" shapeId="0" xr:uid="{00000000-0006-0000-0300-00000C000000}">
      <text>
        <r>
          <rPr>
            <sz val="10"/>
            <rFont val="Arial"/>
            <family val="2"/>
          </rPr>
          <t xml:space="preserve">
Diligenciar si aplica</t>
        </r>
      </text>
    </comment>
    <comment ref="G132" authorId="0" shapeId="0" xr:uid="{00000000-0006-0000-0300-00000D000000}">
      <text>
        <r>
          <rPr>
            <sz val="10"/>
            <rFont val="Arial"/>
            <family val="2"/>
          </rPr>
          <t xml:space="preserve">
Diligenciar si aplica</t>
        </r>
      </text>
    </comment>
    <comment ref="H133" authorId="0" shapeId="0" xr:uid="{00000000-0006-0000-0300-000011000000}">
      <text>
        <r>
          <rPr>
            <sz val="10"/>
            <rFont val="Arial"/>
            <family val="2"/>
          </rPr>
          <t xml:space="preserve">
Valor expresado en moneda legal colombiana</t>
        </r>
      </text>
    </comment>
    <comment ref="E136" authorId="2" shapeId="0" xr:uid="{00000000-0006-0000-0300-000007000000}">
      <text>
        <r>
          <rPr>
            <sz val="10"/>
            <rFont val="Arial"/>
            <family val="2"/>
          </rPr>
          <t xml:space="preserve">
(%) Porcentaje de participación respecto al SUBTOTAL (Antes de AU e IVA)</t>
        </r>
      </text>
    </comment>
    <comment ref="F136" authorId="0" shapeId="0" xr:uid="{00000000-0006-0000-0300-000009000000}">
      <text>
        <r>
          <rPr>
            <sz val="10"/>
            <rFont val="Arial"/>
            <family val="2"/>
          </rPr>
          <t xml:space="preserve">
(%) Porcentaje de participación respecto al TOTAL (incluido AU e IVA)</t>
        </r>
      </text>
    </comment>
    <comment ref="A144" authorId="0" shapeId="0" xr:uid="{00000000-0006-0000-0300-000003000000}">
      <text>
        <r>
          <rPr>
            <sz val="10"/>
            <rFont val="Arial"/>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G145" authorId="0" shapeId="0" xr:uid="{00000000-0006-0000-0300-00000E000000}">
      <text>
        <r>
          <rPr>
            <sz val="10"/>
            <rFont val="Arial"/>
            <family val="2"/>
          </rPr>
          <t xml:space="preserve">
(%) Porcentaje de participación respecto al TOTAL (incluido AU e IVA)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B5" authorId="0" shapeId="0" xr:uid="{00000000-0006-0000-0400-000002000000}">
      <text>
        <r>
          <rPr>
            <sz val="10"/>
            <rFont val="Arial"/>
            <family val="2"/>
          </rPr>
          <t>La información se alimenta de la hoja 
"PLAN DE EJECUCIÓN FÍSICA Y DE INVERSIONES - PRESTACIÓN DE SERVICIOS PERSONALES"</t>
        </r>
      </text>
    </comment>
    <comment ref="B6" authorId="0" shapeId="0" xr:uid="{00000000-0006-0000-0400-000003000000}">
      <text>
        <r>
          <rPr>
            <sz val="10"/>
            <rFont val="Arial"/>
            <family val="2"/>
          </rPr>
          <t>La información se alimenta de la hoja 
"PLAN DE EJECUCIÓN FÍSICA Y DE INVERSIONES - PRESTACIÓN DE SERVICIOS PERSONALES"</t>
        </r>
      </text>
    </comment>
    <comment ref="C8" authorId="1" shapeId="0" xr:uid="{00000000-0006-0000-0400-000004000000}">
      <text>
        <r>
          <rPr>
            <sz val="10"/>
            <rFont val="Arial"/>
            <family val="2"/>
          </rPr>
          <t xml:space="preserve">
Respecto a la unidad de medida</t>
        </r>
      </text>
    </comment>
    <comment ref="E8" authorId="0" shapeId="0" xr:uid="{00000000-0006-0000-0400-000005000000}">
      <text>
        <r>
          <rPr>
            <sz val="10"/>
            <rFont val="Arial"/>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 authorId="0" shapeId="0" xr:uid="{00000000-0006-0000-0400-000006000000}">
      <text>
        <r>
          <rPr>
            <sz val="10"/>
            <rFont val="Arial"/>
            <family val="2"/>
          </rPr>
          <t xml:space="preserve">
Valor expresado en moneda legal colombiana</t>
        </r>
      </text>
    </comment>
    <comment ref="A12" authorId="0" shapeId="0" xr:uid="{00000000-0006-0000-0400-000001000000}">
      <text>
        <r>
          <rPr>
            <sz val="10"/>
            <rFont val="Arial"/>
            <family val="2"/>
          </rPr>
          <t xml:space="preserve">Solo aplica en caso que la persona natural sea responsable de IVA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10"/>
            <rFont val="Arial"/>
            <family val="2"/>
          </rPr>
          <t>La información se alimenta de la hoja 
"PLAN DE EJECUCIÓN FÍSICA Y DE INVERSIONES"</t>
        </r>
      </text>
    </comment>
    <comment ref="C5" authorId="0" shapeId="0" xr:uid="{00000000-0006-0000-0500-000007000000}">
      <text>
        <r>
          <rPr>
            <sz val="10"/>
            <rFont val="Arial"/>
            <family val="2"/>
          </rPr>
          <t>Convenios solidarios</t>
        </r>
        <r>
          <rPr>
            <sz val="9"/>
            <color rgb="FF000000"/>
            <rFont val="Tahoma"/>
            <family val="2"/>
            <charset val="1"/>
          </rPr>
          <t xml:space="preserve">: Los suscritos con JAC, Asocomunales y/o grupos étnicos.
</t>
        </r>
        <r>
          <rPr>
            <u/>
            <sz val="9"/>
            <color rgb="FF000000"/>
            <rFont val="Tahoma"/>
            <family val="2"/>
            <charset val="1"/>
          </rPr>
          <t>Convenios interadministrativos</t>
        </r>
        <r>
          <rPr>
            <sz val="9"/>
            <color rgb="FF000000"/>
            <rFont val="Tahoma"/>
            <family val="2"/>
            <charset val="1"/>
          </rPr>
          <t xml:space="preserve">: Los suscritos con otras entidades públicas.
</t>
        </r>
        <r>
          <rPr>
            <u/>
            <sz val="9"/>
            <color rgb="FF000000"/>
            <rFont val="Tahoma"/>
            <family val="2"/>
            <charset val="1"/>
          </rPr>
          <t>Convenios de asociación o administrativos</t>
        </r>
        <r>
          <rPr>
            <sz val="9"/>
            <color rgb="FF000000"/>
            <rFont val="Tahoma"/>
            <family val="2"/>
            <charset val="1"/>
          </rPr>
          <t xml:space="preserve">: Los suscritos con ESAL (Entidades Sin Ánimo de Lucro).
</t>
        </r>
      </text>
    </comment>
    <comment ref="A6" authorId="0" shapeId="0" xr:uid="{00000000-0006-0000-0500-000002000000}">
      <text>
        <r>
          <rPr>
            <sz val="10"/>
            <rFont val="Arial"/>
            <family val="2"/>
          </rPr>
          <t xml:space="preserve">La información se alimenta de la hoja 
"PLAN DE EJECUCIÓN FÍSICA Y DE INVERSIONES"
</t>
        </r>
      </text>
    </comment>
    <comment ref="N8" authorId="0" shapeId="0" xr:uid="{00000000-0006-0000-0500-000017000000}">
      <text>
        <r>
          <rPr>
            <sz val="10"/>
            <rFont val="Arial"/>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6000000}">
      <text>
        <r>
          <rPr>
            <sz val="10"/>
            <rFont val="Arial"/>
            <family val="2"/>
          </rPr>
          <t xml:space="preserve">
Respecto al ítem</t>
        </r>
      </text>
    </comment>
    <comment ref="C9" authorId="1" shapeId="0" xr:uid="{00000000-0006-0000-0500-000008000000}">
      <text>
        <r>
          <rPr>
            <sz val="10"/>
            <rFont val="Arial"/>
            <family val="2"/>
          </rPr>
          <t xml:space="preserve">
(%) de dedicación respecto a la unidad de medida, justificar adecuamente en caso que sea inferior al 100% y no sea aporte en especie</t>
        </r>
      </text>
    </comment>
    <comment ref="E9" authorId="0" shapeId="0" xr:uid="{00000000-0006-0000-0500-000009000000}">
      <text>
        <r>
          <rPr>
            <sz val="10"/>
            <rFont val="Arial"/>
            <family val="2"/>
          </rPr>
          <t xml:space="preserve">
Respecto a la unidad de medida</t>
        </r>
      </text>
    </comment>
    <comment ref="H9" authorId="0" shapeId="0" xr:uid="{00000000-0006-0000-0500-000012000000}">
      <text>
        <r>
          <rPr>
            <sz val="10"/>
            <rFont val="Arial"/>
            <family val="2"/>
          </rPr>
          <t xml:space="preserve">
(%) Porcentaje de participación respecto al SUBTOTAL PERSONAL</t>
        </r>
      </text>
    </comment>
    <comment ref="K9" authorId="0" shapeId="0" xr:uid="{00000000-0006-0000-0500-000014000000}">
      <text>
        <r>
          <rPr>
            <sz val="10"/>
            <rFont val="Arial"/>
            <family val="2"/>
          </rPr>
          <t xml:space="preserve">
Diligenciar el nombre del conveniante.
Incluir columnas a la derecha, en caso de requerirlo.</t>
        </r>
      </text>
    </comment>
    <comment ref="F103" authorId="0" shapeId="0" xr:uid="{00000000-0006-0000-0500-00000B000000}">
      <text>
        <r>
          <rPr>
            <sz val="10"/>
            <rFont val="Arial"/>
            <family val="2"/>
          </rPr>
          <t xml:space="preserve">
Los valores unitarios se deben expresar en valores mayores de cero (0)</t>
        </r>
      </text>
    </comment>
    <comment ref="G103" authorId="0" shapeId="0" xr:uid="{00000000-0006-0000-0500-00000F000000}">
      <text>
        <r>
          <rPr>
            <sz val="10"/>
            <rFont val="Arial"/>
            <family val="2"/>
          </rPr>
          <t xml:space="preserve">
cantidad X valor unitario</t>
        </r>
      </text>
    </comment>
    <comment ref="H103" authorId="0" shapeId="0" xr:uid="{00000000-0006-0000-0500-000013000000}">
      <text>
        <r>
          <rPr>
            <sz val="10"/>
            <rFont val="Arial"/>
            <family val="2"/>
          </rPr>
          <t xml:space="preserve">
(%) Porcentaje de participación respecto al SUBTOTAL COSTOS (diferentes a los costos del personal)</t>
        </r>
      </text>
    </comment>
    <comment ref="K103" authorId="0" shapeId="0" xr:uid="{00000000-0006-0000-0500-000015000000}">
      <text>
        <r>
          <rPr>
            <sz val="10"/>
            <rFont val="Arial"/>
            <family val="2"/>
          </rPr>
          <t xml:space="preserve">
Diligenciar el nombre del conveniante.
Incluir columnas a la derecha, en caso de requerirlo.</t>
        </r>
      </text>
    </comment>
    <comment ref="K154" authorId="0" shapeId="0" xr:uid="{00000000-0006-0000-0500-000016000000}">
      <text>
        <r>
          <rPr>
            <sz val="10"/>
            <rFont val="Arial"/>
            <family val="2"/>
          </rPr>
          <t xml:space="preserve">
Diligenciar el nombre del conveniante.
Incluir columnas a la derecha, en caso de requerirlo.</t>
        </r>
      </text>
    </comment>
    <comment ref="A157" authorId="0" shapeId="0" xr:uid="{00000000-0006-0000-0500-000003000000}">
      <text>
        <r>
          <rPr>
            <sz val="10"/>
            <rFont val="Arial"/>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8" authorId="0" shapeId="0" xr:uid="{00000000-0006-0000-0500-000004000000}">
      <text>
        <r>
          <rPr>
            <sz val="10"/>
            <rFont val="Arial"/>
            <family val="2"/>
          </rPr>
          <t xml:space="preserve">
</t>
        </r>
        <r>
          <rPr>
            <sz val="9"/>
            <color rgb="FF000000"/>
            <rFont val="Tahoma"/>
            <family val="2"/>
            <charset val="1"/>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F158" authorId="0" shapeId="0" xr:uid="{00000000-0006-0000-0500-00000C000000}">
      <text>
        <r>
          <rPr>
            <sz val="10"/>
            <rFont val="Arial"/>
            <family val="2"/>
          </rPr>
          <t xml:space="preserve">
Diligenciar el porcentaje si aplica
Porcentaje que viene del análisis realizado en la hoja gastos de administración</t>
        </r>
      </text>
    </comment>
    <comment ref="G158" authorId="0" shapeId="0" xr:uid="{00000000-0006-0000-0500-000010000000}">
      <text>
        <r>
          <rPr>
            <sz val="10"/>
            <rFont val="Arial"/>
            <family val="2"/>
          </rPr>
          <t xml:space="preserve">
Porcentaje sobre los aportes en dinero, de quien no ejecuta</t>
        </r>
      </text>
    </comment>
    <comment ref="G159" authorId="0" shapeId="0" xr:uid="{00000000-0006-0000-0500-000011000000}">
      <text>
        <r>
          <rPr>
            <sz val="10"/>
            <rFont val="Arial"/>
            <family val="2"/>
          </rPr>
          <t xml:space="preserve">
Valor expresado en moneda legal colombiana</t>
        </r>
      </text>
    </comment>
    <comment ref="E163" authorId="2" shapeId="0" xr:uid="{00000000-0006-0000-0500-00000A000000}">
      <text>
        <r>
          <rPr>
            <sz val="10"/>
            <rFont val="Arial"/>
            <family val="2"/>
          </rPr>
          <t xml:space="preserve">
(%) Porcentaje de participación respecto al SUBTOTAL </t>
        </r>
      </text>
    </comment>
    <comment ref="F163" authorId="0" shapeId="0" xr:uid="{00000000-0006-0000-0500-00000D000000}">
      <text>
        <r>
          <rPr>
            <sz val="10"/>
            <rFont val="Arial"/>
            <family val="2"/>
          </rPr>
          <t xml:space="preserve">
(%) Porcentaje de participación respecto al TOTAL </t>
        </r>
      </text>
    </comment>
    <comment ref="A172" authorId="0" shapeId="0" xr:uid="{00000000-0006-0000-0500-000005000000}">
      <text>
        <r>
          <rPr>
            <sz val="10"/>
            <rFont val="Arial"/>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3" authorId="0" shapeId="0" xr:uid="{00000000-0006-0000-0500-00000E000000}">
      <text>
        <r>
          <rPr>
            <sz val="10"/>
            <rFont val="Arial"/>
            <family val="2"/>
          </rPr>
          <t xml:space="preserve">
(%) Porcentaje de participación respecto al TOTAL (incluido AU e IVA)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600-000001000000}">
      <text>
        <r>
          <rPr>
            <sz val="10"/>
            <rFont val="Arial"/>
            <family val="2"/>
          </rPr>
          <t>La información se alimenta de la hoja 
"PLAN DE EJECUCIÓN FÍSICA Y DE INVERSIONES"</t>
        </r>
      </text>
    </comment>
    <comment ref="A6" authorId="0" shapeId="0" xr:uid="{00000000-0006-0000-0600-000002000000}">
      <text>
        <r>
          <rPr>
            <sz val="10"/>
            <rFont val="Arial"/>
            <family val="2"/>
          </rPr>
          <t>La información se alimenta de la hoja 
"PLAN DE EJECUCIÓN FÍSICA Y DE INVERSIONES"</t>
        </r>
      </text>
    </comment>
    <comment ref="D12" authorId="0" shapeId="0" xr:uid="{00000000-0006-0000-0600-000003000000}">
      <text>
        <r>
          <rPr>
            <sz val="10"/>
            <rFont val="Arial"/>
            <family val="2"/>
          </rPr>
          <t xml:space="preserve">
Normalmente este valor se deriva del estudio de mercado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700-000001000000}">
      <text>
        <r>
          <rPr>
            <sz val="10"/>
            <rFont val="Arial"/>
            <family val="2"/>
          </rPr>
          <t>La información se alimenta de la hoja 
"PLAN DE EJECUCIÓN FÍSICA Y DE INVERSIONES"</t>
        </r>
      </text>
    </comment>
    <comment ref="A6" authorId="0" shapeId="0" xr:uid="{00000000-0006-0000-0700-000002000000}">
      <text>
        <r>
          <rPr>
            <sz val="10"/>
            <rFont val="Arial"/>
            <family val="2"/>
          </rPr>
          <t>La información se alimenta de la hoja 
"PLAN DE EJECUCIÓN FÍSICA Y DE INVERSIONES"</t>
        </r>
      </text>
    </comment>
    <comment ref="H12" authorId="0" shapeId="0" xr:uid="{00000000-0006-0000-0700-00000D000000}">
      <text>
        <r>
          <rPr>
            <sz val="10"/>
            <rFont val="Arial"/>
            <family val="2"/>
          </rPr>
          <t xml:space="preserve">
Diligenciar solo si se trata de un convenio</t>
        </r>
      </text>
    </comment>
    <comment ref="J13" authorId="0" shapeId="0" xr:uid="{00000000-0006-0000-0700-00000E000000}">
      <text>
        <r>
          <rPr>
            <sz val="10"/>
            <rFont val="Arial"/>
            <family val="2"/>
          </rPr>
          <t xml:space="preserve">
Diligenciar el nombre del conveniante.
Incluir columnas a la derecha, en caso de requerirlo.</t>
        </r>
      </text>
    </comment>
    <comment ref="B14" authorId="1" shapeId="0" xr:uid="{00000000-0006-0000-0700-000006000000}">
      <text>
        <r>
          <rPr>
            <sz val="10"/>
            <rFont val="Arial"/>
            <family val="2"/>
          </rPr>
          <t xml:space="preserve">
Respecto al ítem</t>
        </r>
      </text>
    </comment>
    <comment ref="C14" authorId="1" shapeId="0" xr:uid="{00000000-0006-0000-0700-000007000000}">
      <text>
        <r>
          <rPr>
            <sz val="10"/>
            <rFont val="Arial"/>
            <family val="2"/>
          </rPr>
          <t xml:space="preserve">
(%) de dedicación respecto a la unidad de medida, justificar adecuamente en caso que sea inferior al 100% y no sea aporte en especie</t>
        </r>
      </text>
    </comment>
    <comment ref="E14" authorId="1" shapeId="0" xr:uid="{00000000-0006-0000-0700-000008000000}">
      <text>
        <r>
          <rPr>
            <sz val="10"/>
            <rFont val="Arial"/>
            <family val="2"/>
          </rPr>
          <t xml:space="preserve">
Respecto a la unidad de medida</t>
        </r>
      </text>
    </comment>
    <comment ref="F42" authorId="0" shapeId="0" xr:uid="{00000000-0006-0000-0700-000009000000}">
      <text>
        <r>
          <rPr>
            <sz val="10"/>
            <rFont val="Arial"/>
            <family val="2"/>
          </rPr>
          <t xml:space="preserve">
Normalmente este valor se deriva del estudio de mercado</t>
        </r>
      </text>
    </comment>
    <comment ref="A237" authorId="0" shapeId="0" xr:uid="{00000000-0006-0000-0700-000003000000}">
      <text>
        <r>
          <rPr>
            <sz val="10"/>
            <rFont val="Arial"/>
            <family val="2"/>
          </rPr>
          <t xml:space="preserve">
Sobre los aportes en dinero de quien no ejecuta</t>
        </r>
      </text>
    </comment>
    <comment ref="F237" authorId="0" shapeId="0" xr:uid="{00000000-0006-0000-0700-00000A000000}">
      <text>
        <r>
          <rPr>
            <sz val="10"/>
            <rFont val="Arial"/>
            <family val="2"/>
          </rPr>
          <t xml:space="preserve">
Diligenciar el porcentaje si aplica</t>
        </r>
      </text>
    </comment>
    <comment ref="A238" authorId="0" shapeId="0" xr:uid="{00000000-0006-0000-0700-000004000000}">
      <text>
        <r>
          <rPr>
            <sz val="10"/>
            <rFont val="Arial"/>
            <family val="2"/>
          </rPr>
          <t xml:space="preserve">
Sobre los aportes en dinero de quien no ejecuta</t>
        </r>
      </text>
    </comment>
    <comment ref="F238" authorId="0" shapeId="0" xr:uid="{00000000-0006-0000-0700-00000B000000}">
      <text>
        <r>
          <rPr>
            <sz val="10"/>
            <rFont val="Arial"/>
            <family val="2"/>
          </rPr>
          <t xml:space="preserve">
Diligenciar el porcentaje si aplica</t>
        </r>
      </text>
    </comment>
    <comment ref="A239" authorId="0" shapeId="0" xr:uid="{00000000-0006-0000-0700-000005000000}">
      <text>
        <r>
          <rPr>
            <sz val="10"/>
            <rFont val="Arial"/>
            <family val="2"/>
          </rPr>
          <t xml:space="preserve">
La base gravable del </t>
        </r>
        <r>
          <rPr>
            <b/>
            <u/>
            <sz val="9"/>
            <color rgb="FF000000"/>
            <rFont val="Tahoma"/>
            <family val="2"/>
            <charset val="1"/>
          </rPr>
          <t>IVA</t>
        </r>
        <r>
          <rPr>
            <sz val="9"/>
            <color rgb="FF000000"/>
            <rFont val="Tahoma"/>
            <family val="2"/>
            <charset val="1"/>
          </rPr>
          <t xml:space="preserve"> en los contratos de obra si son de</t>
        </r>
        <r>
          <rPr>
            <u/>
            <sz val="9"/>
            <color rgb="FF000000"/>
            <rFont val="Tahoma"/>
            <family val="2"/>
            <charset val="1"/>
          </rPr>
          <t xml:space="preserve"> </t>
        </r>
        <r>
          <rPr>
            <b/>
            <u/>
            <sz val="9"/>
            <color rgb="FF000000"/>
            <rFont val="Tahoma"/>
            <family val="2"/>
            <charset val="1"/>
          </rPr>
          <t>construcción</t>
        </r>
        <r>
          <rPr>
            <sz val="9"/>
            <color rgb="FF000000"/>
            <rFont val="Tahoma"/>
            <family val="2"/>
            <charset val="1"/>
          </rPr>
          <t xml:space="preserve"> son los </t>
        </r>
        <r>
          <rPr>
            <b/>
            <u/>
            <sz val="9"/>
            <color rgb="FF000000"/>
            <rFont val="Tahoma"/>
            <family val="2"/>
            <charset val="1"/>
          </rPr>
          <t>honorarios</t>
        </r>
        <r>
          <rPr>
            <sz val="9"/>
            <color rgb="FF000000"/>
            <rFont val="Tahoma"/>
            <family val="2"/>
            <charset val="1"/>
          </rPr>
          <t xml:space="preserve">, o en su defecto la </t>
        </r>
        <r>
          <rPr>
            <b/>
            <u/>
            <sz val="9"/>
            <color rgb="FF000000"/>
            <rFont val="Tahoma"/>
            <family val="2"/>
            <charset val="1"/>
          </rPr>
          <t>utilidad</t>
        </r>
        <r>
          <rPr>
            <sz val="9"/>
            <color rgb="FF000000"/>
            <rFont val="Tahoma"/>
            <family val="2"/>
            <charset val="1"/>
          </rPr>
          <t xml:space="preserve"> del contratista (artículo 1.3.1.7.9 del decreto 1625 de 2016)
La base gravable del </t>
        </r>
        <r>
          <rPr>
            <b/>
            <u/>
            <sz val="9"/>
            <color rgb="FF000000"/>
            <rFont val="Tahoma"/>
            <family val="2"/>
            <charset val="1"/>
          </rPr>
          <t>IVA</t>
        </r>
        <r>
          <rPr>
            <sz val="9"/>
            <color rgb="FF000000"/>
            <rFont val="Tahoma"/>
            <family val="2"/>
            <charset val="1"/>
          </rPr>
          <t xml:space="preserve"> en los contratos de obra si son de </t>
        </r>
        <r>
          <rPr>
            <b/>
            <u/>
            <sz val="9"/>
            <color rgb="FF000000"/>
            <rFont val="Tahoma"/>
            <family val="2"/>
            <charset val="1"/>
          </rPr>
          <t>mantenimiento</t>
        </r>
        <r>
          <rPr>
            <sz val="9"/>
            <color rgb="FF000000"/>
            <rFont val="Tahoma"/>
            <family val="2"/>
            <charset val="1"/>
          </rPr>
          <t xml:space="preserve"> son sobre el </t>
        </r>
        <r>
          <rPr>
            <b/>
            <u/>
            <sz val="9"/>
            <color rgb="FF000000"/>
            <rFont val="Tahoma"/>
            <family val="2"/>
            <charset val="1"/>
          </rPr>
          <t xml:space="preserve">total de la operación
</t>
        </r>
        <r>
          <rPr>
            <sz val="9"/>
            <color rgb="FF000000"/>
            <rFont val="Tahoma"/>
            <family val="2"/>
            <charset val="1"/>
          </rPr>
          <t xml:space="preserve">
Los </t>
        </r>
        <r>
          <rPr>
            <b/>
            <u/>
            <sz val="9"/>
            <color rgb="FF000000"/>
            <rFont val="Tahoma"/>
            <family val="2"/>
            <charset val="1"/>
          </rPr>
          <t>contratos de Obras Públicas</t>
        </r>
        <r>
          <rPr>
            <sz val="9"/>
            <color rgb="FF000000"/>
            <rFont val="Tahoma"/>
            <family val="2"/>
            <charset val="1"/>
          </rPr>
          <t xml:space="preserve"> que celebren las personas naturales o jurídicas con las </t>
        </r>
        <r>
          <rPr>
            <b/>
            <u/>
            <sz val="9"/>
            <color rgb="FF000000"/>
            <rFont val="Tahoma"/>
            <family val="2"/>
            <charset val="1"/>
          </rPr>
          <t>Entidades Territoriales y/o Entidades Descentralizadas del Orden Departamental y Municipal estarán excluidos del IVA</t>
        </r>
        <r>
          <rPr>
            <sz val="9"/>
            <color rgb="FF000000"/>
            <rFont val="Tahoma"/>
            <family val="2"/>
            <charset val="1"/>
          </rPr>
          <t xml:space="preserve"> (artículo 100 de la ley 21 de 1992)</t>
        </r>
      </text>
    </comment>
    <comment ref="F239" authorId="0" shapeId="0" xr:uid="{00000000-0006-0000-0700-00000C000000}">
      <text>
        <r>
          <rPr>
            <sz val="10"/>
            <rFont val="Arial"/>
            <family val="2"/>
          </rPr>
          <t xml:space="preserve">
Diligenciar el porcentaje si aplica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800-000001000000}">
      <text>
        <r>
          <rPr>
            <sz val="10"/>
            <rFont val="Arial"/>
            <family val="2"/>
          </rPr>
          <t>La información se alimenta de la hoja 
"PLAN DE EJECUCIÓN FÍSICA Y DE INVERSIONES"</t>
        </r>
      </text>
    </comment>
    <comment ref="A6" authorId="0" shapeId="0" xr:uid="{00000000-0006-0000-0800-000002000000}">
      <text>
        <r>
          <rPr>
            <sz val="10"/>
            <rFont val="Arial"/>
            <family val="2"/>
          </rPr>
          <t>La información se alimenta de la hoja 
"PLAN DE EJECUCIÓN FÍSICA Y DE INVERSIONES"</t>
        </r>
      </text>
    </comment>
    <comment ref="H12" authorId="0" shapeId="0" xr:uid="{00000000-0006-0000-0800-000039000000}">
      <text>
        <r>
          <rPr>
            <sz val="10"/>
            <rFont val="Arial"/>
            <family val="2"/>
          </rPr>
          <t xml:space="preserve">
Diligenciar solo si se trata de un convenio</t>
        </r>
      </text>
    </comment>
    <comment ref="J13" authorId="0" shapeId="0" xr:uid="{00000000-0006-0000-0800-00003A000000}">
      <text>
        <r>
          <rPr>
            <sz val="10"/>
            <rFont val="Arial"/>
            <family val="2"/>
          </rPr>
          <t xml:space="preserve">
Diligenciar el nombre del conveniante.
Incluir columnas a la derecha, en caso de requerirlo.</t>
        </r>
      </text>
    </comment>
    <comment ref="B15" authorId="1" shapeId="0" xr:uid="{00000000-0006-0000-0800-00000F000000}">
      <text>
        <r>
          <rPr>
            <sz val="10"/>
            <rFont val="Arial"/>
            <family val="2"/>
          </rPr>
          <t xml:space="preserve">
Respecto al ítem</t>
        </r>
      </text>
    </comment>
    <comment ref="C15" authorId="1" shapeId="0" xr:uid="{00000000-0006-0000-0800-000015000000}">
      <text>
        <r>
          <rPr>
            <sz val="10"/>
            <rFont val="Arial"/>
            <family val="2"/>
          </rPr>
          <t xml:space="preserve">
(%) de dedicación respecto a la unidad de medida, justificar adecuamente en caso que sea inferior al 100% y no sea aporte en especie</t>
        </r>
      </text>
    </comment>
    <comment ref="E15" authorId="1" shapeId="0" xr:uid="{00000000-0006-0000-0800-00001B000000}">
      <text>
        <r>
          <rPr>
            <sz val="10"/>
            <rFont val="Arial"/>
            <family val="2"/>
          </rPr>
          <t xml:space="preserve">
Respecto a la unidad de medida</t>
        </r>
      </text>
    </comment>
    <comment ref="F29" authorId="0" shapeId="0" xr:uid="{00000000-0006-0000-0800-000021000000}">
      <text>
        <r>
          <rPr>
            <sz val="10"/>
            <rFont val="Arial"/>
            <family val="2"/>
          </rPr>
          <t xml:space="preserve">
Normalmente este valor se deriva del estudio de mercado</t>
        </r>
      </text>
    </comment>
    <comment ref="A48" authorId="0" shapeId="0" xr:uid="{00000000-0006-0000-0800-000003000000}">
      <text>
        <r>
          <rPr>
            <sz val="10"/>
            <rFont val="Arial"/>
            <family val="2"/>
          </rPr>
          <t xml:space="preserve">
Sobre los aportes en dinero de quien no ejecuta</t>
        </r>
      </text>
    </comment>
    <comment ref="F48" authorId="0" shapeId="0" xr:uid="{00000000-0006-0000-0800-000022000000}">
      <text>
        <r>
          <rPr>
            <sz val="10"/>
            <rFont val="Arial"/>
            <family val="2"/>
          </rPr>
          <t xml:space="preserve">
Diligenciar el porcentaje si aplica</t>
        </r>
      </text>
    </comment>
    <comment ref="A49" authorId="0" shapeId="0" xr:uid="{00000000-0006-0000-0800-000004000000}">
      <text>
        <r>
          <rPr>
            <sz val="10"/>
            <rFont val="Arial"/>
            <family val="2"/>
          </rPr>
          <t xml:space="preserve">
Sobre los aportes en dinero de quien no ejecuta</t>
        </r>
      </text>
    </comment>
    <comment ref="F49" authorId="0" shapeId="0" xr:uid="{00000000-0006-0000-0800-000023000000}">
      <text>
        <r>
          <rPr>
            <sz val="10"/>
            <rFont val="Arial"/>
            <family val="2"/>
          </rPr>
          <t xml:space="preserve">
Diligenciar el porcentaje si aplica</t>
        </r>
      </text>
    </comment>
    <comment ref="F50" authorId="0" shapeId="0" xr:uid="{00000000-0006-0000-0800-000024000000}">
      <text>
        <r>
          <rPr>
            <sz val="10"/>
            <rFont val="Arial"/>
            <family val="2"/>
          </rPr>
          <t xml:space="preserve">
Diligenciar el porcentaje si aplica</t>
        </r>
      </text>
    </comment>
    <comment ref="B57" authorId="1" shapeId="0" xr:uid="{00000000-0006-0000-0800-000010000000}">
      <text>
        <r>
          <rPr>
            <sz val="10"/>
            <rFont val="Arial"/>
            <family val="2"/>
          </rPr>
          <t xml:space="preserve">
Respecto al ítem</t>
        </r>
      </text>
    </comment>
    <comment ref="C57" authorId="1" shapeId="0" xr:uid="{00000000-0006-0000-0800-000016000000}">
      <text>
        <r>
          <rPr>
            <sz val="10"/>
            <rFont val="Arial"/>
            <family val="2"/>
          </rPr>
          <t xml:space="preserve">
(%) de dedicación respecto a la unidad de medida, justificar adecuamente en caso que sea inferior al 100% y no sea aporte en especie</t>
        </r>
      </text>
    </comment>
    <comment ref="E57" authorId="1" shapeId="0" xr:uid="{00000000-0006-0000-0800-00001C000000}">
      <text>
        <r>
          <rPr>
            <sz val="10"/>
            <rFont val="Arial"/>
            <family val="2"/>
          </rPr>
          <t xml:space="preserve">
Respecto a la unidad de medida</t>
        </r>
      </text>
    </comment>
    <comment ref="F71" authorId="0" shapeId="0" xr:uid="{00000000-0006-0000-0800-000025000000}">
      <text>
        <r>
          <rPr>
            <sz val="10"/>
            <rFont val="Arial"/>
            <family val="2"/>
          </rPr>
          <t xml:space="preserve">
Normalmente este valor se deriva del estudio de mercado</t>
        </r>
      </text>
    </comment>
    <comment ref="A90" authorId="0" shapeId="0" xr:uid="{00000000-0006-0000-0800-000005000000}">
      <text>
        <r>
          <rPr>
            <sz val="10"/>
            <rFont val="Arial"/>
            <family val="2"/>
          </rPr>
          <t xml:space="preserve">
Sobre los aportes en dinero de quien no ejecuta</t>
        </r>
      </text>
    </comment>
    <comment ref="F90" authorId="0" shapeId="0" xr:uid="{00000000-0006-0000-0800-000026000000}">
      <text>
        <r>
          <rPr>
            <sz val="10"/>
            <rFont val="Arial"/>
            <family val="2"/>
          </rPr>
          <t xml:space="preserve">
Diligenciar el porcentaje si aplica</t>
        </r>
      </text>
    </comment>
    <comment ref="A91" authorId="0" shapeId="0" xr:uid="{00000000-0006-0000-0800-000006000000}">
      <text>
        <r>
          <rPr>
            <sz val="10"/>
            <rFont val="Arial"/>
            <family val="2"/>
          </rPr>
          <t xml:space="preserve">
Sobre los aportes en dinero de quien no ejecuta</t>
        </r>
      </text>
    </comment>
    <comment ref="F91" authorId="0" shapeId="0" xr:uid="{00000000-0006-0000-0800-000027000000}">
      <text>
        <r>
          <rPr>
            <sz val="10"/>
            <rFont val="Arial"/>
            <family val="2"/>
          </rPr>
          <t xml:space="preserve">
Diligenciar el porcentaje si aplica</t>
        </r>
      </text>
    </comment>
    <comment ref="F92" authorId="0" shapeId="0" xr:uid="{00000000-0006-0000-0800-000028000000}">
      <text>
        <r>
          <rPr>
            <sz val="10"/>
            <rFont val="Arial"/>
            <family val="2"/>
          </rPr>
          <t xml:space="preserve">
Diligenciar el porcentaje si aplica</t>
        </r>
      </text>
    </comment>
    <comment ref="B99" authorId="1" shapeId="0" xr:uid="{00000000-0006-0000-0800-000011000000}">
      <text>
        <r>
          <rPr>
            <sz val="10"/>
            <rFont val="Arial"/>
            <family val="2"/>
          </rPr>
          <t xml:space="preserve">
Respecto al ítem</t>
        </r>
      </text>
    </comment>
    <comment ref="C99" authorId="1" shapeId="0" xr:uid="{00000000-0006-0000-0800-000017000000}">
      <text>
        <r>
          <rPr>
            <sz val="10"/>
            <rFont val="Arial"/>
            <family val="2"/>
          </rPr>
          <t xml:space="preserve">
(%) de dedicación respecto a la unidad de medida, justificar adecuamente en caso que sea inferior al 100% y no sea aporte en especie</t>
        </r>
      </text>
    </comment>
    <comment ref="E99" authorId="1" shapeId="0" xr:uid="{00000000-0006-0000-0800-00001D000000}">
      <text>
        <r>
          <rPr>
            <sz val="10"/>
            <rFont val="Arial"/>
            <family val="2"/>
          </rPr>
          <t xml:space="preserve">
Respecto a la unidad de medida</t>
        </r>
      </text>
    </comment>
    <comment ref="F113" authorId="0" shapeId="0" xr:uid="{00000000-0006-0000-0800-000029000000}">
      <text>
        <r>
          <rPr>
            <sz val="10"/>
            <rFont val="Arial"/>
            <family val="2"/>
          </rPr>
          <t xml:space="preserve">
Normalmente este valor se deriva del estudio de mercado</t>
        </r>
      </text>
    </comment>
    <comment ref="A132" authorId="0" shapeId="0" xr:uid="{00000000-0006-0000-0800-000007000000}">
      <text>
        <r>
          <rPr>
            <sz val="10"/>
            <rFont val="Arial"/>
            <family val="2"/>
          </rPr>
          <t xml:space="preserve">
Sobre los aportes en dinero de quien no ejecuta</t>
        </r>
      </text>
    </comment>
    <comment ref="F132" authorId="0" shapeId="0" xr:uid="{00000000-0006-0000-0800-00002A000000}">
      <text>
        <r>
          <rPr>
            <sz val="10"/>
            <rFont val="Arial"/>
            <family val="2"/>
          </rPr>
          <t xml:space="preserve">
Diligenciar el porcentaje si aplica</t>
        </r>
      </text>
    </comment>
    <comment ref="A133" authorId="0" shapeId="0" xr:uid="{00000000-0006-0000-0800-000008000000}">
      <text>
        <r>
          <rPr>
            <sz val="10"/>
            <rFont val="Arial"/>
            <family val="2"/>
          </rPr>
          <t xml:space="preserve">
Sobre los aportes en dinero de quien no ejecuta</t>
        </r>
      </text>
    </comment>
    <comment ref="F133" authorId="0" shapeId="0" xr:uid="{00000000-0006-0000-0800-00002B000000}">
      <text>
        <r>
          <rPr>
            <sz val="10"/>
            <rFont val="Arial"/>
            <family val="2"/>
          </rPr>
          <t xml:space="preserve">
Diligenciar el porcentaje si aplica</t>
        </r>
      </text>
    </comment>
    <comment ref="F134" authorId="0" shapeId="0" xr:uid="{00000000-0006-0000-0800-00002C000000}">
      <text>
        <r>
          <rPr>
            <sz val="10"/>
            <rFont val="Arial"/>
            <family val="2"/>
          </rPr>
          <t xml:space="preserve">
Diligenciar el porcentaje si aplica</t>
        </r>
      </text>
    </comment>
    <comment ref="B141" authorId="1" shapeId="0" xr:uid="{00000000-0006-0000-0800-000012000000}">
      <text>
        <r>
          <rPr>
            <sz val="10"/>
            <rFont val="Arial"/>
            <family val="2"/>
          </rPr>
          <t xml:space="preserve">
Respecto al ítem</t>
        </r>
      </text>
    </comment>
    <comment ref="C141" authorId="1" shapeId="0" xr:uid="{00000000-0006-0000-0800-000018000000}">
      <text>
        <r>
          <rPr>
            <sz val="10"/>
            <rFont val="Arial"/>
            <family val="2"/>
          </rPr>
          <t xml:space="preserve">
(%) de dedicación respecto a la unidad de medida, justificar adecuamente en caso que sea inferior al 100% y no sea aporte en especie</t>
        </r>
      </text>
    </comment>
    <comment ref="E141" authorId="1" shapeId="0" xr:uid="{00000000-0006-0000-0800-00001E000000}">
      <text>
        <r>
          <rPr>
            <sz val="10"/>
            <rFont val="Arial"/>
            <family val="2"/>
          </rPr>
          <t xml:space="preserve">
Respecto a la unidad de medida</t>
        </r>
      </text>
    </comment>
    <comment ref="F155" authorId="0" shapeId="0" xr:uid="{00000000-0006-0000-0800-00002D000000}">
      <text>
        <r>
          <rPr>
            <sz val="10"/>
            <rFont val="Arial"/>
            <family val="2"/>
          </rPr>
          <t xml:space="preserve">
Normalmente este valor se deriva del estudio de mercado</t>
        </r>
      </text>
    </comment>
    <comment ref="A174" authorId="0" shapeId="0" xr:uid="{00000000-0006-0000-0800-000009000000}">
      <text>
        <r>
          <rPr>
            <sz val="10"/>
            <rFont val="Arial"/>
            <family val="2"/>
          </rPr>
          <t xml:space="preserve">
Sobre los aportes en dinero de quien no ejecuta</t>
        </r>
      </text>
    </comment>
    <comment ref="F174" authorId="0" shapeId="0" xr:uid="{00000000-0006-0000-0800-00002E000000}">
      <text>
        <r>
          <rPr>
            <sz val="10"/>
            <rFont val="Arial"/>
            <family val="2"/>
          </rPr>
          <t xml:space="preserve">
Diligenciar el porcentaje si aplica</t>
        </r>
      </text>
    </comment>
    <comment ref="A175" authorId="0" shapeId="0" xr:uid="{00000000-0006-0000-0800-00000A000000}">
      <text>
        <r>
          <rPr>
            <sz val="10"/>
            <rFont val="Arial"/>
            <family val="2"/>
          </rPr>
          <t xml:space="preserve">
Sobre los aportes en dinero de quien no ejecuta</t>
        </r>
      </text>
    </comment>
    <comment ref="F175" authorId="0" shapeId="0" xr:uid="{00000000-0006-0000-0800-00002F000000}">
      <text>
        <r>
          <rPr>
            <sz val="10"/>
            <rFont val="Arial"/>
            <family val="2"/>
          </rPr>
          <t xml:space="preserve">
Diligenciar el porcentaje si aplica</t>
        </r>
      </text>
    </comment>
    <comment ref="F176" authorId="0" shapeId="0" xr:uid="{00000000-0006-0000-0800-000030000000}">
      <text>
        <r>
          <rPr>
            <sz val="10"/>
            <rFont val="Arial"/>
            <family val="2"/>
          </rPr>
          <t xml:space="preserve">
Diligenciar el porcentaje si aplica</t>
        </r>
      </text>
    </comment>
    <comment ref="B183" authorId="1" shapeId="0" xr:uid="{00000000-0006-0000-0800-000013000000}">
      <text>
        <r>
          <rPr>
            <sz val="10"/>
            <rFont val="Arial"/>
            <family val="2"/>
          </rPr>
          <t xml:space="preserve">
Respecto al ítem</t>
        </r>
      </text>
    </comment>
    <comment ref="C183" authorId="1" shapeId="0" xr:uid="{00000000-0006-0000-0800-000019000000}">
      <text>
        <r>
          <rPr>
            <sz val="10"/>
            <rFont val="Arial"/>
            <family val="2"/>
          </rPr>
          <t xml:space="preserve">
(%) de dedicación respecto a la unidad de medida, justificar adecuamente en caso que sea inferior al 100% y no sea aporte en especie</t>
        </r>
      </text>
    </comment>
    <comment ref="E183" authorId="1" shapeId="0" xr:uid="{00000000-0006-0000-0800-00001F000000}">
      <text>
        <r>
          <rPr>
            <sz val="10"/>
            <rFont val="Arial"/>
            <family val="2"/>
          </rPr>
          <t xml:space="preserve">
Respecto a la unidad de medida</t>
        </r>
      </text>
    </comment>
    <comment ref="F197" authorId="0" shapeId="0" xr:uid="{00000000-0006-0000-0800-000031000000}">
      <text>
        <r>
          <rPr>
            <sz val="10"/>
            <rFont val="Arial"/>
            <family val="2"/>
          </rPr>
          <t xml:space="preserve">
Normalmente este valor se deriva del estudio de mercado</t>
        </r>
      </text>
    </comment>
    <comment ref="A216" authorId="0" shapeId="0" xr:uid="{00000000-0006-0000-0800-00000B000000}">
      <text>
        <r>
          <rPr>
            <sz val="10"/>
            <rFont val="Arial"/>
            <family val="2"/>
          </rPr>
          <t xml:space="preserve">
Sobre los aportes en dinero de quien no ejecuta</t>
        </r>
      </text>
    </comment>
    <comment ref="F216" authorId="0" shapeId="0" xr:uid="{00000000-0006-0000-0800-000032000000}">
      <text>
        <r>
          <rPr>
            <sz val="10"/>
            <rFont val="Arial"/>
            <family val="2"/>
          </rPr>
          <t xml:space="preserve">
Diligenciar el porcentaje si aplica</t>
        </r>
      </text>
    </comment>
    <comment ref="A217" authorId="0" shapeId="0" xr:uid="{00000000-0006-0000-0800-00000C000000}">
      <text>
        <r>
          <rPr>
            <sz val="10"/>
            <rFont val="Arial"/>
            <family val="2"/>
          </rPr>
          <t xml:space="preserve">
Sobre los aportes en dinero de quien no ejecuta</t>
        </r>
      </text>
    </comment>
    <comment ref="F217" authorId="0" shapeId="0" xr:uid="{00000000-0006-0000-0800-000033000000}">
      <text>
        <r>
          <rPr>
            <sz val="10"/>
            <rFont val="Arial"/>
            <family val="2"/>
          </rPr>
          <t xml:space="preserve">
Diligenciar el porcentaje si aplica</t>
        </r>
      </text>
    </comment>
    <comment ref="F218" authorId="0" shapeId="0" xr:uid="{00000000-0006-0000-0800-000034000000}">
      <text>
        <r>
          <rPr>
            <sz val="10"/>
            <rFont val="Arial"/>
            <family val="2"/>
          </rPr>
          <t xml:space="preserve">
Diligenciar el porcentaje si aplica</t>
        </r>
      </text>
    </comment>
    <comment ref="B225" authorId="1" shapeId="0" xr:uid="{00000000-0006-0000-0800-000014000000}">
      <text>
        <r>
          <rPr>
            <sz val="10"/>
            <rFont val="Arial"/>
            <family val="2"/>
          </rPr>
          <t xml:space="preserve">
Respecto al ítem</t>
        </r>
      </text>
    </comment>
    <comment ref="C225" authorId="1" shapeId="0" xr:uid="{00000000-0006-0000-0800-00001A000000}">
      <text>
        <r>
          <rPr>
            <sz val="10"/>
            <rFont val="Arial"/>
            <family val="2"/>
          </rPr>
          <t xml:space="preserve">
(%) de dedicación respecto a la unidad de medida, justificar adecuamente en caso que sea inferior al 100% y no sea aporte en especie</t>
        </r>
      </text>
    </comment>
    <comment ref="E225" authorId="1" shapeId="0" xr:uid="{00000000-0006-0000-0800-000020000000}">
      <text>
        <r>
          <rPr>
            <sz val="10"/>
            <rFont val="Arial"/>
            <family val="2"/>
          </rPr>
          <t xml:space="preserve">
Respecto a la unidad de medida</t>
        </r>
      </text>
    </comment>
    <comment ref="F239" authorId="0" shapeId="0" xr:uid="{00000000-0006-0000-0800-000035000000}">
      <text>
        <r>
          <rPr>
            <sz val="10"/>
            <rFont val="Arial"/>
            <family val="2"/>
          </rPr>
          <t xml:space="preserve">
Normalmente este valor se deriva del estudio de mercado</t>
        </r>
      </text>
    </comment>
    <comment ref="A258" authorId="0" shapeId="0" xr:uid="{00000000-0006-0000-0800-00000D000000}">
      <text>
        <r>
          <rPr>
            <sz val="10"/>
            <rFont val="Arial"/>
            <family val="2"/>
          </rPr>
          <t xml:space="preserve">
Sobre los aportes en dinero de quien no ejecuta</t>
        </r>
      </text>
    </comment>
    <comment ref="F258" authorId="0" shapeId="0" xr:uid="{00000000-0006-0000-0800-000036000000}">
      <text>
        <r>
          <rPr>
            <sz val="10"/>
            <rFont val="Arial"/>
            <family val="2"/>
          </rPr>
          <t xml:space="preserve">
Diligenciar el porcentaje si aplica</t>
        </r>
      </text>
    </comment>
    <comment ref="A259" authorId="0" shapeId="0" xr:uid="{00000000-0006-0000-0800-00000E000000}">
      <text>
        <r>
          <rPr>
            <sz val="10"/>
            <rFont val="Arial"/>
            <family val="2"/>
          </rPr>
          <t xml:space="preserve">
Sobre los aportes en dinero de quien no ejecuta</t>
        </r>
      </text>
    </comment>
    <comment ref="F259" authorId="0" shapeId="0" xr:uid="{00000000-0006-0000-0800-000037000000}">
      <text>
        <r>
          <rPr>
            <sz val="10"/>
            <rFont val="Arial"/>
            <family val="2"/>
          </rPr>
          <t xml:space="preserve">
Diligenciar el porcentaje si aplica</t>
        </r>
      </text>
    </comment>
    <comment ref="F260" authorId="0" shapeId="0" xr:uid="{00000000-0006-0000-0800-000038000000}">
      <text>
        <r>
          <rPr>
            <sz val="10"/>
            <rFont val="Arial"/>
            <family val="2"/>
          </rPr>
          <t xml:space="preserve">
Diligenciar el porcentaje si aplica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900-000001000000}">
      <text>
        <r>
          <rPr>
            <sz val="10"/>
            <rFont val="Arial"/>
            <family val="2"/>
          </rPr>
          <t>La información se alimenta de la hoja 
"PLAN DE EJECUCIÓN FÍSICA Y DE INVERSIONES"</t>
        </r>
      </text>
    </comment>
    <comment ref="A6" authorId="0" shapeId="0" xr:uid="{00000000-0006-0000-0900-000002000000}">
      <text>
        <r>
          <rPr>
            <sz val="10"/>
            <rFont val="Arial"/>
            <family val="2"/>
          </rPr>
          <t>La información se alimenta de la hoja 
"PLAN DE EJECUCIÓN FÍSICA Y DE INVERSIONES"</t>
        </r>
      </text>
    </comment>
    <comment ref="U11" authorId="0" shapeId="0" xr:uid="{00000000-0006-0000-0900-000003000000}">
      <text>
        <r>
          <rPr>
            <sz val="10"/>
            <rFont val="Arial"/>
            <family val="2"/>
          </rPr>
          <t xml:space="preserve">
</t>
        </r>
        <r>
          <rPr>
            <sz val="9"/>
            <color rgb="FF000000"/>
            <rFont val="Tahoma"/>
            <family val="2"/>
            <charset val="1"/>
          </rPr>
          <t>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W11" authorId="0" shapeId="0" xr:uid="{00000000-0006-0000-0900-000004000000}">
      <text>
        <r>
          <rPr>
            <sz val="10"/>
            <rFont val="Arial"/>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10"/>
            <rFont val="Arial"/>
            <family val="2"/>
          </rPr>
          <t>La información se alimenta de la hoja 
"PLAN DE EJECUCIÓN FÍSICA Y DE INVERSIONES"</t>
        </r>
      </text>
    </comment>
    <comment ref="A6" authorId="0" shapeId="0" xr:uid="{00000000-0006-0000-0A00-000002000000}">
      <text>
        <r>
          <rPr>
            <sz val="10"/>
            <rFont val="Arial"/>
            <family val="2"/>
          </rPr>
          <t>La información se alimenta de la hoja 
"PLAN DE EJECUCIÓN FÍSICA Y DE INVERSIONES"</t>
        </r>
      </text>
    </comment>
    <comment ref="B8" authorId="1" shapeId="0" xr:uid="{00000000-0006-0000-0A00-000004000000}">
      <text>
        <r>
          <rPr>
            <sz val="10"/>
            <rFont val="Arial"/>
            <family val="2"/>
          </rPr>
          <t>Aplica para los aportes en dinero de la corporación. O para los aportes en dinero de la corporación y el conveniante si se va a subcontratar.</t>
        </r>
      </text>
    </comment>
    <comment ref="F11" authorId="0" shapeId="0" xr:uid="{00000000-0006-0000-0A00-00000A000000}">
      <text>
        <r>
          <rPr>
            <sz val="10"/>
            <rFont val="Arial"/>
            <family val="2"/>
          </rPr>
          <t xml:space="preserve">
(%) Porcentaje de participación respecto a los costos directos del proceso</t>
        </r>
      </text>
    </comment>
    <comment ref="A63" authorId="0" shapeId="0" xr:uid="{00000000-0006-0000-0A00-000003000000}">
      <text>
        <r>
          <rPr>
            <sz val="10"/>
            <rFont val="Arial"/>
            <family val="2"/>
          </rPr>
          <t xml:space="preserve">
De quien no ejecuta</t>
        </r>
      </text>
    </comment>
    <comment ref="D64" authorId="0" shapeId="0" xr:uid="{00000000-0006-0000-0A00-000005000000}">
      <text>
        <r>
          <rPr>
            <sz val="10"/>
            <rFont val="Arial"/>
            <family val="2"/>
          </rPr>
          <t xml:space="preserve">
Diligenciar el porcentaje si aplica
</t>
        </r>
      </text>
    </comment>
    <comment ref="E64" authorId="0" shapeId="0" xr:uid="{00000000-0006-0000-0A00-000008000000}">
      <text>
        <r>
          <rPr>
            <sz val="10"/>
            <rFont val="Arial"/>
            <family val="2"/>
          </rPr>
          <t xml:space="preserve">
Porcentaje sobre los aportes en dinero, de quien no ejecuta</t>
        </r>
      </text>
    </comment>
    <comment ref="D65" authorId="0" shapeId="0" xr:uid="{00000000-0006-0000-0A00-000006000000}">
      <text>
        <r>
          <rPr>
            <sz val="10"/>
            <rFont val="Arial"/>
            <family val="2"/>
          </rPr>
          <t xml:space="preserve">
Diligenciar el porcentaje si aplica
</t>
        </r>
      </text>
    </comment>
    <comment ref="D66" authorId="0" shapeId="0" xr:uid="{00000000-0006-0000-0A00-000007000000}">
      <text>
        <r>
          <rPr>
            <sz val="10"/>
            <rFont val="Arial"/>
            <family val="2"/>
          </rPr>
          <t xml:space="preserve">
Diligenciar el porcentaje si aplica
</t>
        </r>
      </text>
    </comment>
    <comment ref="E67" authorId="0" shapeId="0" xr:uid="{00000000-0006-0000-0A00-000009000000}">
      <text>
        <r>
          <rPr>
            <sz val="10"/>
            <rFont val="Arial"/>
            <family val="2"/>
          </rPr>
          <t xml:space="preserve">
Valor expresado en moneda legal colombiana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5" authorId="0" shapeId="0" xr:uid="{00000000-0006-0000-0B00-000001000000}">
      <text>
        <r>
          <rPr>
            <sz val="10"/>
            <rFont val="Arial"/>
            <family val="2"/>
          </rPr>
          <t>La información se alimenta de la hoja 
"PLAN DE EJECUCIÓN FÍSICA Y DE INVERSIONES"</t>
        </r>
      </text>
    </comment>
    <comment ref="C6" authorId="0" shapeId="0" xr:uid="{00000000-0006-0000-0B00-000002000000}">
      <text>
        <r>
          <rPr>
            <sz val="10"/>
            <rFont val="Arial"/>
            <family val="2"/>
          </rPr>
          <t>La información se alimenta de la hoja 
"PLAN DE EJECUCIÓN FÍSICA Y DE INVERSIONES"</t>
        </r>
      </text>
    </comment>
    <comment ref="O270" authorId="0" shapeId="0" xr:uid="{00000000-0006-0000-0B00-000004000000}">
      <text>
        <r>
          <rPr>
            <sz val="10"/>
            <rFont val="Arial"/>
            <family val="2"/>
          </rPr>
          <t xml:space="preserve">
Para escoger la muestra de los datos con los cuales sacar el promedio de porcentaje de participación</t>
        </r>
      </text>
    </comment>
    <comment ref="P270" authorId="0" shapeId="0" xr:uid="{00000000-0006-0000-0B00-000005000000}">
      <text>
        <r>
          <rPr>
            <sz val="10"/>
            <rFont val="Arial"/>
            <family val="2"/>
          </rPr>
          <t xml:space="preserve">
Los bienes relevantes serán aquellos cuyo Porcentaje de participación sea igual o superior al PROMEDIO (PORCENTAJE DE PARTICIPACIÓN) DE LOS BIENES QUE REPRESENTAN EL 80 % DE MAYOR PARTICIPACIÓN</t>
        </r>
      </text>
    </comment>
    <comment ref="H527" authorId="0" shapeId="0" xr:uid="{00000000-0006-0000-0B00-000003000000}">
      <text>
        <r>
          <rPr>
            <sz val="10"/>
            <rFont val="Arial"/>
            <family val="2"/>
          </rPr>
          <t>Consultar: http://pbn.vuce.gov.co/consultas/index.php
Para diligenciar la opción</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0C00-000001000000}">
      <text>
        <r>
          <rPr>
            <sz val="10"/>
            <rFont val="Arial"/>
            <family val="2"/>
          </rPr>
          <t>La información se alimenta de la hoja 
"PLAN DE EJECUCIÓN FÍSICA Y DE INVERSIONES"</t>
        </r>
      </text>
    </comment>
    <comment ref="A7" authorId="0" shapeId="0" xr:uid="{00000000-0006-0000-0C00-000002000000}">
      <text>
        <r>
          <rPr>
            <sz val="10"/>
            <rFont val="Arial"/>
            <family val="2"/>
          </rPr>
          <t>La información se alimenta de la hoja 
"PLAN DE EJECUCIÓN FÍSICA Y DE INVERSIONES"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6" authorId="0" shapeId="0" xr:uid="{00000000-0006-0000-0D00-000001000000}">
      <text>
        <r>
          <rPr>
            <sz val="10"/>
            <rFont val="Arial"/>
            <family val="2"/>
          </rPr>
          <t>La información se alimenta de la hoja 
"PLAN DE EJECUCIÓN FÍSICA Y DE INVERSIONES"</t>
        </r>
      </text>
    </comment>
    <comment ref="A7" authorId="0" shapeId="0" xr:uid="{00000000-0006-0000-0D00-000002000000}">
      <text>
        <r>
          <rPr>
            <sz val="10"/>
            <rFont val="Arial"/>
            <family val="2"/>
          </rPr>
          <t>La información se alimenta de la hoja 
"PLAN DE EJECUCIÓN FÍSICA Y DE INVERSIONES"</t>
        </r>
      </text>
    </comment>
    <comment ref="B10" authorId="1" shapeId="0" xr:uid="{00000000-0006-0000-0D00-000003000000}">
      <text>
        <r>
          <rPr>
            <sz val="10"/>
            <rFont val="Arial"/>
            <family val="2"/>
          </rPr>
          <t xml:space="preserve">
Respecto al ítem</t>
        </r>
      </text>
    </comment>
    <comment ref="C10" authorId="1" shapeId="0" xr:uid="{00000000-0006-0000-0D00-000004000000}">
      <text>
        <r>
          <rPr>
            <sz val="10"/>
            <rFont val="Arial"/>
            <family val="2"/>
          </rPr>
          <t xml:space="preserve">
(%) de dedicación respecto a la unidad de medida, justificar adecuamente en caso que sea inferior al 100% y no sea aporte en especie</t>
        </r>
      </text>
    </comment>
    <comment ref="E10" authorId="1" shapeId="0" xr:uid="{00000000-0006-0000-0D00-000005000000}">
      <text>
        <r>
          <rPr>
            <sz val="10"/>
            <rFont val="Arial"/>
            <family val="2"/>
          </rPr>
          <t xml:space="preserve">
Respecto a la unidad de medida</t>
        </r>
      </text>
    </comment>
    <comment ref="G10" authorId="0" shapeId="0" xr:uid="{00000000-0006-0000-0D00-000006000000}">
      <text>
        <r>
          <rPr>
            <sz val="10"/>
            <rFont val="Arial"/>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E00-000001000000}">
      <text>
        <r>
          <rPr>
            <sz val="10"/>
            <rFont val="Arial"/>
            <family val="2"/>
          </rPr>
          <t>La información se alimenta de la hoja 
"PLAN DE EJECUCIÓN FÍSICA Y DE INVERSIONES"</t>
        </r>
      </text>
    </comment>
    <comment ref="A6" authorId="0" shapeId="0" xr:uid="{00000000-0006-0000-0E00-000002000000}">
      <text>
        <r>
          <rPr>
            <sz val="10"/>
            <rFont val="Arial"/>
            <family val="2"/>
          </rPr>
          <t>La información se alimenta de la hoja 
"PLAN DE EJECUCIÓN FÍSICA Y DE INVERSIONES"</t>
        </r>
      </text>
    </comment>
    <comment ref="B10" authorId="1" shapeId="0" xr:uid="{00000000-0006-0000-0E00-000003000000}">
      <text>
        <r>
          <rPr>
            <sz val="10"/>
            <rFont val="Arial"/>
            <family val="2"/>
          </rPr>
          <t xml:space="preserve">
Respecto al ítem</t>
        </r>
      </text>
    </comment>
    <comment ref="C10" authorId="1" shapeId="0" xr:uid="{00000000-0006-0000-0E00-000006000000}">
      <text>
        <r>
          <rPr>
            <sz val="10"/>
            <rFont val="Arial"/>
            <family val="2"/>
          </rPr>
          <t xml:space="preserve">
(%) de dedicación respecto a la unidad de medida, justificar adecuamente en caso que sea inferior al 100% y no sea aporte en especie</t>
        </r>
      </text>
    </comment>
    <comment ref="E10" authorId="1" shapeId="0" xr:uid="{00000000-0006-0000-0E00-000009000000}">
      <text>
        <r>
          <rPr>
            <sz val="10"/>
            <rFont val="Arial"/>
            <family val="2"/>
          </rPr>
          <t xml:space="preserve">
Respecto a la unidad de medida</t>
        </r>
      </text>
    </comment>
    <comment ref="G10" authorId="0" shapeId="0" xr:uid="{00000000-0006-0000-0E00-00000C000000}">
      <text>
        <r>
          <rPr>
            <sz val="10"/>
            <rFont val="Arial"/>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30" authorId="1" shapeId="0" xr:uid="{00000000-0006-0000-0E00-000004000000}">
      <text>
        <r>
          <rPr>
            <sz val="10"/>
            <rFont val="Arial"/>
            <family val="2"/>
          </rPr>
          <t xml:space="preserve">
Respecto al ítem</t>
        </r>
      </text>
    </comment>
    <comment ref="C30" authorId="1" shapeId="0" xr:uid="{00000000-0006-0000-0E00-000007000000}">
      <text>
        <r>
          <rPr>
            <sz val="10"/>
            <rFont val="Arial"/>
            <family val="2"/>
          </rPr>
          <t xml:space="preserve">
(%) de dedicación respecto a la unidad de medida, justificar adecuamente en caso que sea inferior al 100% y no sea aporte en especie</t>
        </r>
      </text>
    </comment>
    <comment ref="E30" authorId="1" shapeId="0" xr:uid="{00000000-0006-0000-0E00-00000A000000}">
      <text>
        <r>
          <rPr>
            <sz val="10"/>
            <rFont val="Arial"/>
            <family val="2"/>
          </rPr>
          <t xml:space="preserve">
Respecto a la unidad de medida</t>
        </r>
      </text>
    </comment>
    <comment ref="G30" authorId="0" shapeId="0" xr:uid="{00000000-0006-0000-0E00-00000D000000}">
      <text>
        <r>
          <rPr>
            <sz val="10"/>
            <rFont val="Arial"/>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50" authorId="1" shapeId="0" xr:uid="{00000000-0006-0000-0E00-000005000000}">
      <text>
        <r>
          <rPr>
            <sz val="10"/>
            <rFont val="Arial"/>
            <family val="2"/>
          </rPr>
          <t xml:space="preserve">
Respecto al ítem</t>
        </r>
      </text>
    </comment>
    <comment ref="C50" authorId="1" shapeId="0" xr:uid="{00000000-0006-0000-0E00-000008000000}">
      <text>
        <r>
          <rPr>
            <sz val="10"/>
            <rFont val="Arial"/>
            <family val="2"/>
          </rPr>
          <t xml:space="preserve">
(%) de dedicación respecto a la unidad de medida, justificar adecuamente en caso que sea inferior al 100% y no sea aporte en especie</t>
        </r>
      </text>
    </comment>
    <comment ref="E50" authorId="1" shapeId="0" xr:uid="{00000000-0006-0000-0E00-00000B000000}">
      <text>
        <r>
          <rPr>
            <sz val="10"/>
            <rFont val="Arial"/>
            <family val="2"/>
          </rPr>
          <t xml:space="preserve">
Respecto a la unidad de medida</t>
        </r>
      </text>
    </comment>
    <comment ref="G50" authorId="0" shapeId="0" xr:uid="{00000000-0006-0000-0E00-00000E000000}">
      <text>
        <r>
          <rPr>
            <sz val="10"/>
            <rFont val="Arial"/>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9" authorId="0" shapeId="0" xr:uid="{00000000-0006-0000-0F00-000001000000}">
      <text>
        <r>
          <rPr>
            <sz val="10"/>
            <rFont val="Arial"/>
            <family val="2"/>
          </rPr>
          <t>La información se alimenta de la hoja 
"PLAN DE EJECUCIÓN FÍSICA Y DE INVERSIONES"</t>
        </r>
      </text>
    </comment>
    <comment ref="A10" authorId="0" shapeId="0" xr:uid="{00000000-0006-0000-0F00-000002000000}">
      <text>
        <r>
          <rPr>
            <sz val="10"/>
            <rFont val="Arial"/>
            <family val="2"/>
          </rPr>
          <t>La información se alimenta de la hoja 
"PLAN DE EJECUCIÓN FÍSICA Y DE INVERSIONES"</t>
        </r>
      </text>
    </comment>
    <comment ref="A12" authorId="0" shapeId="0" xr:uid="{00000000-0006-0000-0F00-000003000000}">
      <text>
        <r>
          <rPr>
            <sz val="10"/>
            <rFont val="Arial"/>
            <family val="2"/>
          </rPr>
          <t xml:space="preserve">
Para cada proceso elegir si se va a realizar la estimación, por el presupuesto total, por lotes, por unidad o por lote - unidad. Solo utilizar una de las cuatro opciones</t>
        </r>
      </text>
    </comment>
    <comment ref="A13" authorId="0" shapeId="0" xr:uid="{00000000-0006-0000-0F00-000004000000}">
      <text>
        <r>
          <rPr>
            <sz val="10"/>
            <rFont val="Arial"/>
            <family val="2"/>
          </rPr>
          <t xml:space="preserve">
La estimación del PAB siempre se hace con los valores antes de IVA</t>
        </r>
      </text>
    </comment>
    <comment ref="B13" authorId="0" shapeId="0" xr:uid="{00000000-0006-0000-0F00-000008000000}">
      <text>
        <r>
          <rPr>
            <sz val="10"/>
            <rFont val="Arial"/>
            <family val="2"/>
          </rPr>
          <t xml:space="preserve">
 Se le solicitará aclaración a los proponentes cuyas ofertas sean menores o iguales en un X% (porcentaje base) del costo total estimado por la Entidad Estatal.</t>
        </r>
      </text>
    </comment>
    <comment ref="D13" authorId="0" shapeId="0" xr:uid="{00000000-0006-0000-0F00-000011000000}">
      <text>
        <r>
          <rPr>
            <sz val="10"/>
            <rFont val="Arial"/>
            <family val="2"/>
          </rPr>
          <t xml:space="preserve">
Se le solicitará aclaración a los proponentes cuyas ofertas sean menores o iguales a $X.</t>
        </r>
      </text>
    </comment>
    <comment ref="A16" authorId="0" shapeId="0" xr:uid="{00000000-0006-0000-0F00-000005000000}">
      <text>
        <r>
          <rPr>
            <sz val="10"/>
            <rFont val="Arial"/>
            <family val="2"/>
          </rPr>
          <t xml:space="preserve">
Para cada proceso elegir si se va a realizar la estimación, por el presupuesto total, por lotes, por unidad o por lote - unidad. Solo utilizar una de las cuatro opciones</t>
        </r>
      </text>
    </comment>
    <comment ref="B17" authorId="0" shapeId="0" xr:uid="{00000000-0006-0000-0F00-000009000000}">
      <text>
        <r>
          <rPr>
            <sz val="10"/>
            <rFont val="Arial"/>
            <family val="2"/>
          </rPr>
          <t xml:space="preserve">
La estimación del PAB siempre se hace con los valores antes de IVA</t>
        </r>
      </text>
    </comment>
    <comment ref="C17" authorId="0" shapeId="0" xr:uid="{00000000-0006-0000-0F00-00000D000000}">
      <text>
        <r>
          <rPr>
            <sz val="10"/>
            <rFont val="Arial"/>
            <family val="2"/>
          </rPr>
          <t xml:space="preserve">
 Se le solicitará aclaración a los proponentes cuyos valor total por lote sea menor o igual en un X% (porcentaje base) del costo total estimado por la Entidad Estatal.</t>
        </r>
      </text>
    </comment>
    <comment ref="E17" authorId="0" shapeId="0" xr:uid="{00000000-0006-0000-0F00-000012000000}">
      <text>
        <r>
          <rPr>
            <sz val="10"/>
            <rFont val="Arial"/>
            <family val="2"/>
          </rPr>
          <t xml:space="preserve">
Se le solicitará aclaración a los proponentes cuyas ofertas por el lote respectivo sean menores o iguales a $X.</t>
        </r>
      </text>
    </comment>
    <comment ref="A24" authorId="0" shapeId="0" xr:uid="{00000000-0006-0000-0F00-000006000000}">
      <text>
        <r>
          <rPr>
            <sz val="10"/>
            <rFont val="Arial"/>
            <family val="2"/>
          </rPr>
          <t xml:space="preserve">
Para cada proceso elegir si se va a realizar la estimación, por el presupuesto total, por lotes, por unidad o por lote - unidad. Solo utilizar una de las cuatro opciones</t>
        </r>
      </text>
    </comment>
    <comment ref="B25" authorId="0" shapeId="0" xr:uid="{00000000-0006-0000-0F00-00000A000000}">
      <text>
        <r>
          <rPr>
            <sz val="10"/>
            <rFont val="Arial"/>
            <family val="2"/>
          </rPr>
          <t xml:space="preserve">
La estimación del PAB siempre se hace con los valores antes de IVA</t>
        </r>
      </text>
    </comment>
    <comment ref="C25" authorId="0" shapeId="0" xr:uid="{00000000-0006-0000-0F00-00000E000000}">
      <text>
        <r>
          <rPr>
            <sz val="10"/>
            <rFont val="Arial"/>
            <family val="2"/>
          </rPr>
          <t xml:space="preserve">
 Se le solicitará aclaración a los proponentes cuyos valores unitarios ofertados sean menores o iguales en un X% (porcentaje base) del costo total estimado por la Entidad Estatal.</t>
        </r>
      </text>
    </comment>
    <comment ref="E25" authorId="0" shapeId="0" xr:uid="{00000000-0006-0000-0F00-000013000000}">
      <text>
        <r>
          <rPr>
            <sz val="10"/>
            <rFont val="Arial"/>
            <family val="2"/>
          </rPr>
          <t xml:space="preserve">
Se le solicitará aclaración a los proponentes cuyas ofertas sean menores o iguales a $X.</t>
        </r>
      </text>
    </comment>
    <comment ref="A39" authorId="0" shapeId="0" xr:uid="{00000000-0006-0000-0F00-000007000000}">
      <text>
        <r>
          <rPr>
            <sz val="10"/>
            <rFont val="Arial"/>
            <family val="2"/>
          </rPr>
          <t xml:space="preserve">
Para cada proceso elegir si se va a realizar la estimación, por el presupuesto total, por lotes, por unidad o por lote - unidad. Solo utilizar una de las cuatro opciones</t>
        </r>
      </text>
    </comment>
    <comment ref="B41" authorId="0" shapeId="0" xr:uid="{00000000-0006-0000-0F00-00000B000000}">
      <text>
        <r>
          <rPr>
            <sz val="10"/>
            <rFont val="Arial"/>
            <family val="2"/>
          </rPr>
          <t xml:space="preserve">
La estimación del PAB siempre se hace con los valores antes de IVA</t>
        </r>
      </text>
    </comment>
    <comment ref="C41" authorId="0" shapeId="0" xr:uid="{00000000-0006-0000-0F00-00000F000000}">
      <text>
        <r>
          <rPr>
            <sz val="10"/>
            <rFont val="Arial"/>
            <family val="2"/>
          </rPr>
          <t xml:space="preserve">
 Se le solicitará aclaración a los proponentes cuyos valores unitarios ofertados sean menores o iguales en un X% (porcentaje base) del costo total estimado por la Entidad Estatal.</t>
        </r>
      </text>
    </comment>
    <comment ref="E41" authorId="0" shapeId="0" xr:uid="{00000000-0006-0000-0F00-000014000000}">
      <text>
        <r>
          <rPr>
            <sz val="10"/>
            <rFont val="Arial"/>
            <family val="2"/>
          </rPr>
          <t xml:space="preserve">
Se le solicitará aclaración a los proponentes cuyas ofertas sean menores o iguales a $X.</t>
        </r>
      </text>
    </comment>
    <comment ref="B54" authorId="0" shapeId="0" xr:uid="{00000000-0006-0000-0F00-00000C000000}">
      <text>
        <r>
          <rPr>
            <sz val="10"/>
            <rFont val="Arial"/>
            <family val="2"/>
          </rPr>
          <t xml:space="preserve">
La estimación del PAB siempre se hace con los valores antes de IVA</t>
        </r>
      </text>
    </comment>
    <comment ref="C54" authorId="0" shapeId="0" xr:uid="{00000000-0006-0000-0F00-000010000000}">
      <text>
        <r>
          <rPr>
            <sz val="10"/>
            <rFont val="Arial"/>
            <family val="2"/>
          </rPr>
          <t xml:space="preserve">
 Se le solicitará aclaración a los proponentes cuyos valores unitarios ofertados sean menores o iguales en un X% (porcentaje base) del costo total estimado por la Entidad Estatal.</t>
        </r>
      </text>
    </comment>
    <comment ref="E54" authorId="0" shapeId="0" xr:uid="{00000000-0006-0000-0F00-000015000000}">
      <text>
        <r>
          <rPr>
            <sz val="10"/>
            <rFont val="Arial"/>
            <family val="2"/>
          </rPr>
          <t xml:space="preserve">
Se le solicitará aclaración a los proponentes cuyas ofertas sean menores o iguales a $X.</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8" authorId="0" shapeId="0" xr:uid="{00000000-0006-0000-1000-000001000000}">
      <text>
        <r>
          <rPr>
            <sz val="10"/>
            <rFont val="Arial"/>
            <family val="2"/>
          </rPr>
          <t>La información se alimenta de la hoja 
"PLAN DE EJECUCIÓN FÍSICA Y DE INVERSIONES"</t>
        </r>
      </text>
    </comment>
    <comment ref="A9" authorId="0" shapeId="0" xr:uid="{00000000-0006-0000-1000-000002000000}">
      <text>
        <r>
          <rPr>
            <sz val="10"/>
            <rFont val="Arial"/>
            <family val="2"/>
          </rPr>
          <t>La información se alimenta de la hoja 
"PLAN DE EJECUCIÓN FÍSICA Y DE INVERSIONES"</t>
        </r>
      </text>
    </comment>
    <comment ref="A11" authorId="0" shapeId="0" xr:uid="{00000000-0006-0000-1000-000003000000}">
      <text>
        <r>
          <rPr>
            <sz val="10"/>
            <rFont val="Arial"/>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24" authorId="0" shapeId="0" xr:uid="{00000000-0006-0000-1000-000007000000}">
      <text>
        <r>
          <rPr>
            <sz val="10"/>
            <rFont val="Arial"/>
            <family val="2"/>
          </rPr>
          <t xml:space="preserve">
Bajo la aplicación de la metodología comparación relativa, la Corporación estima que será artificialmente baja toda oferta cuyo valor total antes de IVA sea menor o igual al valor mínimo aceptable</t>
        </r>
      </text>
    </comment>
    <comment ref="A26" authorId="0" shapeId="0" xr:uid="{00000000-0006-0000-1000-000004000000}">
      <text>
        <r>
          <rPr>
            <sz val="10"/>
            <rFont val="Arial"/>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40" authorId="0" shapeId="0" xr:uid="{00000000-0006-0000-1000-000008000000}">
      <text>
        <r>
          <rPr>
            <sz val="10"/>
            <rFont val="Arial"/>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F40" authorId="0" shapeId="0" xr:uid="{00000000-0006-0000-1000-000009000000}">
      <text>
        <r>
          <rPr>
            <sz val="10"/>
            <rFont val="Arial"/>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A42" authorId="0" shapeId="0" xr:uid="{00000000-0006-0000-1000-000005000000}">
      <text>
        <r>
          <rPr>
            <sz val="10"/>
            <rFont val="Arial"/>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43" authorId="0" shapeId="0" xr:uid="{00000000-0006-0000-1000-00000A000000}">
      <text>
        <r>
          <rPr>
            <sz val="10"/>
            <rFont val="Arial"/>
            <family val="2"/>
          </rPr>
          <t xml:space="preserve">
Bajo la aplicación de la metodología de comparación relativa, la Corporación estima que será artificialmente baja toda oferta cuyo valor unitario antes de IVA de cada ítem, sea menor o igual al valor mínimo aceptable de dicho ítem</t>
        </r>
      </text>
    </comment>
    <comment ref="A55" authorId="0" shapeId="0" xr:uid="{00000000-0006-0000-1000-000006000000}">
      <text>
        <r>
          <rPr>
            <sz val="10"/>
            <rFont val="Arial"/>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57" authorId="0" shapeId="0" xr:uid="{00000000-0006-0000-1000-00000B000000}">
      <text>
        <r>
          <rPr>
            <sz val="10"/>
            <rFont val="Arial"/>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 ref="N70" authorId="0" shapeId="0" xr:uid="{00000000-0006-0000-1000-00000C000000}">
      <text>
        <r>
          <rPr>
            <sz val="10"/>
            <rFont val="Arial"/>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1100-000001000000}">
      <text>
        <r>
          <rPr>
            <sz val="10"/>
            <rFont val="Arial"/>
            <family val="2"/>
          </rPr>
          <t>La información se alimenta de la hoja 
"PLAN DE EJECUCIÓN FÍSICA Y DE INVERSIONES"</t>
        </r>
      </text>
    </comment>
    <comment ref="A6" authorId="0" shapeId="0" xr:uid="{00000000-0006-0000-1100-000002000000}">
      <text>
        <r>
          <rPr>
            <sz val="10"/>
            <rFont val="Arial"/>
            <family val="2"/>
          </rPr>
          <t>La información se alimenta de la hoja 
"PLAN DE EJECUCIÓN FÍSICA Y DE INVERSIONES"</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B15" authorId="0" shapeId="0" xr:uid="{00000000-0006-0000-1200-000001000000}">
      <text>
        <r>
          <rPr>
            <sz val="10"/>
            <rFont val="Arial"/>
            <family val="2"/>
          </rPr>
          <t xml:space="preserve">
Seleccionar
</t>
        </r>
      </text>
    </comment>
    <comment ref="D15" authorId="0" shapeId="0" xr:uid="{00000000-0006-0000-1200-000016000000}">
      <text>
        <r>
          <rPr>
            <sz val="10"/>
            <rFont val="Arial"/>
            <family val="2"/>
          </rPr>
          <t xml:space="preserve">
Seleccionar
</t>
        </r>
      </text>
    </comment>
    <comment ref="F15" authorId="0" shapeId="0" xr:uid="{00000000-0006-0000-1200-00002B000000}">
      <text>
        <r>
          <rPr>
            <sz val="10"/>
            <rFont val="Arial"/>
            <family val="2"/>
          </rPr>
          <t xml:space="preserve">
Seleccionar
</t>
        </r>
      </text>
    </comment>
    <comment ref="B16" authorId="0" shapeId="0" xr:uid="{00000000-0006-0000-1200-000002000000}">
      <text>
        <r>
          <rPr>
            <sz val="10"/>
            <rFont val="Arial"/>
            <family val="2"/>
          </rPr>
          <t xml:space="preserve">
Seleccionar
</t>
        </r>
      </text>
    </comment>
    <comment ref="D16" authorId="0" shapeId="0" xr:uid="{00000000-0006-0000-1200-000017000000}">
      <text>
        <r>
          <rPr>
            <sz val="10"/>
            <rFont val="Arial"/>
            <family val="2"/>
          </rPr>
          <t xml:space="preserve">Marcela Buitrago Monsalve:
</t>
        </r>
        <r>
          <rPr>
            <sz val="9"/>
            <color rgb="FF000000"/>
            <rFont val="Tahoma"/>
            <family val="2"/>
            <charset val="1"/>
          </rPr>
          <t xml:space="preserve">Seleccionar
</t>
        </r>
      </text>
    </comment>
    <comment ref="F16" authorId="0" shapeId="0" xr:uid="{00000000-0006-0000-1200-00002C000000}">
      <text>
        <r>
          <rPr>
            <sz val="10"/>
            <rFont val="Arial"/>
            <family val="2"/>
          </rPr>
          <t xml:space="preserve">Marcela Buitrago Monsalve:
</t>
        </r>
        <r>
          <rPr>
            <sz val="9"/>
            <color rgb="FF000000"/>
            <rFont val="Tahoma"/>
            <family val="2"/>
            <charset val="1"/>
          </rPr>
          <t xml:space="preserve">Seleccionar
</t>
        </r>
      </text>
    </comment>
    <comment ref="B17" authorId="0" shapeId="0" xr:uid="{00000000-0006-0000-1200-000003000000}">
      <text>
        <r>
          <rPr>
            <sz val="10"/>
            <rFont val="Arial"/>
            <family val="2"/>
          </rPr>
          <t xml:space="preserve">
Seleccionar
</t>
        </r>
      </text>
    </comment>
    <comment ref="D17" authorId="0" shapeId="0" xr:uid="{00000000-0006-0000-1200-000018000000}">
      <text>
        <r>
          <rPr>
            <sz val="10"/>
            <rFont val="Arial"/>
            <family val="2"/>
          </rPr>
          <t xml:space="preserve">Marcela Buitrago Monsalve:
</t>
        </r>
        <r>
          <rPr>
            <sz val="9"/>
            <color rgb="FF000000"/>
            <rFont val="Tahoma"/>
            <family val="2"/>
            <charset val="1"/>
          </rPr>
          <t xml:space="preserve">Seleccionar
</t>
        </r>
      </text>
    </comment>
    <comment ref="F17" authorId="0" shapeId="0" xr:uid="{00000000-0006-0000-1200-00002D000000}">
      <text>
        <r>
          <rPr>
            <sz val="10"/>
            <rFont val="Arial"/>
            <family val="2"/>
          </rPr>
          <t xml:space="preserve">Marcela Buitrago Monsalve:
</t>
        </r>
        <r>
          <rPr>
            <sz val="9"/>
            <color rgb="FF000000"/>
            <rFont val="Tahoma"/>
            <family val="2"/>
            <charset val="1"/>
          </rPr>
          <t xml:space="preserve">Seleccionar
</t>
        </r>
      </text>
    </comment>
    <comment ref="B18" authorId="0" shapeId="0" xr:uid="{00000000-0006-0000-1200-000004000000}">
      <text>
        <r>
          <rPr>
            <sz val="10"/>
            <rFont val="Arial"/>
            <family val="2"/>
          </rPr>
          <t xml:space="preserve">
Seleccionar
</t>
        </r>
      </text>
    </comment>
    <comment ref="D18" authorId="0" shapeId="0" xr:uid="{00000000-0006-0000-1200-000019000000}">
      <text>
        <r>
          <rPr>
            <sz val="10"/>
            <rFont val="Arial"/>
            <family val="2"/>
          </rPr>
          <t xml:space="preserve">Marcela Buitrago Monsalve:
</t>
        </r>
        <r>
          <rPr>
            <sz val="9"/>
            <color rgb="FF000000"/>
            <rFont val="Tahoma"/>
            <family val="2"/>
            <charset val="1"/>
          </rPr>
          <t xml:space="preserve">Seleccionar
</t>
        </r>
      </text>
    </comment>
    <comment ref="F18" authorId="0" shapeId="0" xr:uid="{00000000-0006-0000-1200-00002E000000}">
      <text>
        <r>
          <rPr>
            <sz val="10"/>
            <rFont val="Arial"/>
            <family val="2"/>
          </rPr>
          <t xml:space="preserve">Marcela Buitrago Monsalve:
</t>
        </r>
        <r>
          <rPr>
            <sz val="9"/>
            <color rgb="FF000000"/>
            <rFont val="Tahoma"/>
            <family val="2"/>
            <charset val="1"/>
          </rPr>
          <t xml:space="preserve">Seleccionar
</t>
        </r>
      </text>
    </comment>
    <comment ref="B19" authorId="0" shapeId="0" xr:uid="{00000000-0006-0000-1200-000005000000}">
      <text>
        <r>
          <rPr>
            <sz val="10"/>
            <rFont val="Arial"/>
            <family val="2"/>
          </rPr>
          <t xml:space="preserve">
Seleccionar
</t>
        </r>
      </text>
    </comment>
    <comment ref="D19" authorId="0" shapeId="0" xr:uid="{00000000-0006-0000-1200-00001A000000}">
      <text>
        <r>
          <rPr>
            <sz val="10"/>
            <rFont val="Arial"/>
            <family val="2"/>
          </rPr>
          <t xml:space="preserve">Marcela Buitrago Monsalve:
</t>
        </r>
        <r>
          <rPr>
            <sz val="9"/>
            <color rgb="FF000000"/>
            <rFont val="Tahoma"/>
            <family val="2"/>
            <charset val="1"/>
          </rPr>
          <t xml:space="preserve">Seleccionar
</t>
        </r>
      </text>
    </comment>
    <comment ref="F19" authorId="0" shapeId="0" xr:uid="{00000000-0006-0000-1200-00002F000000}">
      <text>
        <r>
          <rPr>
            <sz val="10"/>
            <rFont val="Arial"/>
            <family val="2"/>
          </rPr>
          <t xml:space="preserve">Marcela Buitrago Monsalve:
</t>
        </r>
        <r>
          <rPr>
            <sz val="9"/>
            <color rgb="FF000000"/>
            <rFont val="Tahoma"/>
            <family val="2"/>
            <charset val="1"/>
          </rPr>
          <t xml:space="preserve">Seleccionar
</t>
        </r>
      </text>
    </comment>
    <comment ref="B20" authorId="0" shapeId="0" xr:uid="{00000000-0006-0000-1200-000006000000}">
      <text>
        <r>
          <rPr>
            <sz val="10"/>
            <rFont val="Arial"/>
            <family val="2"/>
          </rPr>
          <t xml:space="preserve">
Seleccionar
</t>
        </r>
      </text>
    </comment>
    <comment ref="D20" authorId="0" shapeId="0" xr:uid="{00000000-0006-0000-1200-00001B000000}">
      <text>
        <r>
          <rPr>
            <sz val="10"/>
            <rFont val="Arial"/>
            <family val="2"/>
          </rPr>
          <t xml:space="preserve">Marcela Buitrago Monsalve:
</t>
        </r>
        <r>
          <rPr>
            <sz val="9"/>
            <color rgb="FF000000"/>
            <rFont val="Tahoma"/>
            <family val="2"/>
            <charset val="1"/>
          </rPr>
          <t xml:space="preserve">Seleccionar
</t>
        </r>
      </text>
    </comment>
    <comment ref="F20" authorId="0" shapeId="0" xr:uid="{00000000-0006-0000-1200-000030000000}">
      <text>
        <r>
          <rPr>
            <sz val="10"/>
            <rFont val="Arial"/>
            <family val="2"/>
          </rPr>
          <t xml:space="preserve">Marcela Buitrago Monsalve:
</t>
        </r>
        <r>
          <rPr>
            <sz val="9"/>
            <color rgb="FF000000"/>
            <rFont val="Tahoma"/>
            <family val="2"/>
            <charset val="1"/>
          </rPr>
          <t xml:space="preserve">Seleccionar
</t>
        </r>
      </text>
    </comment>
    <comment ref="B21" authorId="0" shapeId="0" xr:uid="{00000000-0006-0000-1200-000007000000}">
      <text>
        <r>
          <rPr>
            <sz val="10"/>
            <rFont val="Arial"/>
            <family val="2"/>
          </rPr>
          <t xml:space="preserve">
Seleccionar
</t>
        </r>
      </text>
    </comment>
    <comment ref="D21" authorId="0" shapeId="0" xr:uid="{00000000-0006-0000-1200-00001C000000}">
      <text>
        <r>
          <rPr>
            <sz val="10"/>
            <rFont val="Arial"/>
            <family val="2"/>
          </rPr>
          <t xml:space="preserve">Marcela Buitrago Monsalve:
</t>
        </r>
        <r>
          <rPr>
            <sz val="9"/>
            <color rgb="FF000000"/>
            <rFont val="Tahoma"/>
            <family val="2"/>
            <charset val="1"/>
          </rPr>
          <t xml:space="preserve">Seleccionar
</t>
        </r>
      </text>
    </comment>
    <comment ref="F21" authorId="0" shapeId="0" xr:uid="{00000000-0006-0000-1200-000031000000}">
      <text>
        <r>
          <rPr>
            <sz val="10"/>
            <rFont val="Arial"/>
            <family val="2"/>
          </rPr>
          <t xml:space="preserve">Marcela Buitrago Monsalve:
</t>
        </r>
        <r>
          <rPr>
            <sz val="9"/>
            <color rgb="FF000000"/>
            <rFont val="Tahoma"/>
            <family val="2"/>
            <charset val="1"/>
          </rPr>
          <t xml:space="preserve">Seleccionar
</t>
        </r>
      </text>
    </comment>
    <comment ref="B26" authorId="0" shapeId="0" xr:uid="{00000000-0006-0000-1200-000008000000}">
      <text>
        <r>
          <rPr>
            <sz val="10"/>
            <rFont val="Arial"/>
            <family val="2"/>
          </rPr>
          <t xml:space="preserve">
Seleccionar
</t>
        </r>
      </text>
    </comment>
    <comment ref="D26" authorId="0" shapeId="0" xr:uid="{00000000-0006-0000-1200-00001D000000}">
      <text>
        <r>
          <rPr>
            <sz val="10"/>
            <rFont val="Arial"/>
            <family val="2"/>
          </rPr>
          <t xml:space="preserve">
Seleccionar
</t>
        </r>
      </text>
    </comment>
    <comment ref="F26" authorId="0" shapeId="0" xr:uid="{00000000-0006-0000-1200-000032000000}">
      <text>
        <r>
          <rPr>
            <sz val="10"/>
            <rFont val="Arial"/>
            <family val="2"/>
          </rPr>
          <t xml:space="preserve">
Seleccionar
</t>
        </r>
      </text>
    </comment>
    <comment ref="B27" authorId="0" shapeId="0" xr:uid="{00000000-0006-0000-1200-000009000000}">
      <text>
        <r>
          <rPr>
            <sz val="10"/>
            <rFont val="Arial"/>
            <family val="2"/>
          </rPr>
          <t xml:space="preserve">
Seleccionar
</t>
        </r>
      </text>
    </comment>
    <comment ref="D27" authorId="0" shapeId="0" xr:uid="{00000000-0006-0000-1200-00001E000000}">
      <text>
        <r>
          <rPr>
            <sz val="10"/>
            <rFont val="Arial"/>
            <family val="2"/>
          </rPr>
          <t xml:space="preserve">
Seleccionar
</t>
        </r>
      </text>
    </comment>
    <comment ref="F27" authorId="0" shapeId="0" xr:uid="{00000000-0006-0000-1200-000033000000}">
      <text>
        <r>
          <rPr>
            <sz val="10"/>
            <rFont val="Arial"/>
            <family val="2"/>
          </rPr>
          <t xml:space="preserve">
Seleccionar
</t>
        </r>
      </text>
    </comment>
    <comment ref="B28" authorId="0" shapeId="0" xr:uid="{00000000-0006-0000-1200-00000A000000}">
      <text>
        <r>
          <rPr>
            <sz val="10"/>
            <rFont val="Arial"/>
            <family val="2"/>
          </rPr>
          <t xml:space="preserve">
Seleccionar
</t>
        </r>
      </text>
    </comment>
    <comment ref="D28" authorId="0" shapeId="0" xr:uid="{00000000-0006-0000-1200-00001F000000}">
      <text>
        <r>
          <rPr>
            <sz val="10"/>
            <rFont val="Arial"/>
            <family val="2"/>
          </rPr>
          <t xml:space="preserve">
Seleccionar
</t>
        </r>
      </text>
    </comment>
    <comment ref="F28" authorId="0" shapeId="0" xr:uid="{00000000-0006-0000-1200-000034000000}">
      <text>
        <r>
          <rPr>
            <sz val="10"/>
            <rFont val="Arial"/>
            <family val="2"/>
          </rPr>
          <t xml:space="preserve">
Seleccionar
</t>
        </r>
      </text>
    </comment>
    <comment ref="B29" authorId="0" shapeId="0" xr:uid="{00000000-0006-0000-1200-00000B000000}">
      <text>
        <r>
          <rPr>
            <sz val="10"/>
            <rFont val="Arial"/>
            <family val="2"/>
          </rPr>
          <t xml:space="preserve">
Seleccionar
</t>
        </r>
      </text>
    </comment>
    <comment ref="D29" authorId="0" shapeId="0" xr:uid="{00000000-0006-0000-1200-000020000000}">
      <text>
        <r>
          <rPr>
            <sz val="10"/>
            <rFont val="Arial"/>
            <family val="2"/>
          </rPr>
          <t xml:space="preserve">
Seleccionar
</t>
        </r>
      </text>
    </comment>
    <comment ref="F29" authorId="0" shapeId="0" xr:uid="{00000000-0006-0000-1200-000035000000}">
      <text>
        <r>
          <rPr>
            <sz val="10"/>
            <rFont val="Arial"/>
            <family val="2"/>
          </rPr>
          <t xml:space="preserve">
Seleccionar
</t>
        </r>
      </text>
    </comment>
    <comment ref="B30" authorId="0" shapeId="0" xr:uid="{00000000-0006-0000-1200-00000C000000}">
      <text>
        <r>
          <rPr>
            <sz val="10"/>
            <rFont val="Arial"/>
            <family val="2"/>
          </rPr>
          <t xml:space="preserve">
Seleccionar
</t>
        </r>
      </text>
    </comment>
    <comment ref="D30" authorId="0" shapeId="0" xr:uid="{00000000-0006-0000-1200-000021000000}">
      <text>
        <r>
          <rPr>
            <sz val="10"/>
            <rFont val="Arial"/>
            <family val="2"/>
          </rPr>
          <t xml:space="preserve">
Seleccionar
</t>
        </r>
      </text>
    </comment>
    <comment ref="F30" authorId="0" shapeId="0" xr:uid="{00000000-0006-0000-1200-000036000000}">
      <text>
        <r>
          <rPr>
            <sz val="10"/>
            <rFont val="Arial"/>
            <family val="2"/>
          </rPr>
          <t xml:space="preserve">
Seleccionar
</t>
        </r>
      </text>
    </comment>
    <comment ref="B31" authorId="0" shapeId="0" xr:uid="{00000000-0006-0000-1200-00000D000000}">
      <text>
        <r>
          <rPr>
            <sz val="10"/>
            <rFont val="Arial"/>
            <family val="2"/>
          </rPr>
          <t xml:space="preserve">
Seleccionar
</t>
        </r>
      </text>
    </comment>
    <comment ref="D31" authorId="0" shapeId="0" xr:uid="{00000000-0006-0000-1200-000022000000}">
      <text>
        <r>
          <rPr>
            <sz val="10"/>
            <rFont val="Arial"/>
            <family val="2"/>
          </rPr>
          <t xml:space="preserve">
Seleccionar
</t>
        </r>
      </text>
    </comment>
    <comment ref="F31" authorId="0" shapeId="0" xr:uid="{00000000-0006-0000-1200-000037000000}">
      <text>
        <r>
          <rPr>
            <sz val="10"/>
            <rFont val="Arial"/>
            <family val="2"/>
          </rPr>
          <t xml:space="preserve">
Seleccionar
</t>
        </r>
      </text>
    </comment>
    <comment ref="B32" authorId="0" shapeId="0" xr:uid="{00000000-0006-0000-1200-00000E000000}">
      <text>
        <r>
          <rPr>
            <sz val="10"/>
            <rFont val="Arial"/>
            <family val="2"/>
          </rPr>
          <t xml:space="preserve">
Seleccionar
</t>
        </r>
      </text>
    </comment>
    <comment ref="D32" authorId="0" shapeId="0" xr:uid="{00000000-0006-0000-1200-000023000000}">
      <text>
        <r>
          <rPr>
            <sz val="10"/>
            <rFont val="Arial"/>
            <family val="2"/>
          </rPr>
          <t xml:space="preserve">
Seleccionar
</t>
        </r>
      </text>
    </comment>
    <comment ref="F32" authorId="0" shapeId="0" xr:uid="{00000000-0006-0000-1200-000038000000}">
      <text>
        <r>
          <rPr>
            <sz val="10"/>
            <rFont val="Arial"/>
            <family val="2"/>
          </rPr>
          <t xml:space="preserve">
Seleccionar
</t>
        </r>
      </text>
    </comment>
    <comment ref="B37" authorId="0" shapeId="0" xr:uid="{00000000-0006-0000-1200-00000F000000}">
      <text>
        <r>
          <rPr>
            <sz val="10"/>
            <rFont val="Arial"/>
            <family val="2"/>
          </rPr>
          <t xml:space="preserve">
Seleccionar
</t>
        </r>
      </text>
    </comment>
    <comment ref="D37" authorId="0" shapeId="0" xr:uid="{00000000-0006-0000-1200-000024000000}">
      <text>
        <r>
          <rPr>
            <sz val="10"/>
            <rFont val="Arial"/>
            <family val="2"/>
          </rPr>
          <t xml:space="preserve">
Seleccionar
</t>
        </r>
      </text>
    </comment>
    <comment ref="F37" authorId="0" shapeId="0" xr:uid="{00000000-0006-0000-1200-000039000000}">
      <text>
        <r>
          <rPr>
            <sz val="10"/>
            <rFont val="Arial"/>
            <family val="2"/>
          </rPr>
          <t xml:space="preserve">
Seleccionar
</t>
        </r>
      </text>
    </comment>
    <comment ref="B38" authorId="0" shapeId="0" xr:uid="{00000000-0006-0000-1200-000010000000}">
      <text>
        <r>
          <rPr>
            <sz val="10"/>
            <rFont val="Arial"/>
            <family val="2"/>
          </rPr>
          <t xml:space="preserve">
Seleccionar
</t>
        </r>
      </text>
    </comment>
    <comment ref="D38" authorId="0" shapeId="0" xr:uid="{00000000-0006-0000-1200-000025000000}">
      <text>
        <r>
          <rPr>
            <sz val="10"/>
            <rFont val="Arial"/>
            <family val="2"/>
          </rPr>
          <t xml:space="preserve">
Seleccionar
</t>
        </r>
      </text>
    </comment>
    <comment ref="F38" authorId="0" shapeId="0" xr:uid="{00000000-0006-0000-1200-00003A000000}">
      <text>
        <r>
          <rPr>
            <sz val="10"/>
            <rFont val="Arial"/>
            <family val="2"/>
          </rPr>
          <t xml:space="preserve">
Seleccionar
</t>
        </r>
      </text>
    </comment>
    <comment ref="B39" authorId="0" shapeId="0" xr:uid="{00000000-0006-0000-1200-000011000000}">
      <text>
        <r>
          <rPr>
            <sz val="10"/>
            <rFont val="Arial"/>
            <family val="2"/>
          </rPr>
          <t xml:space="preserve">
Seleccionar
</t>
        </r>
      </text>
    </comment>
    <comment ref="D39" authorId="0" shapeId="0" xr:uid="{00000000-0006-0000-1200-000026000000}">
      <text>
        <r>
          <rPr>
            <sz val="10"/>
            <rFont val="Arial"/>
            <family val="2"/>
          </rPr>
          <t xml:space="preserve">
Seleccionar
</t>
        </r>
      </text>
    </comment>
    <comment ref="F39" authorId="0" shapeId="0" xr:uid="{00000000-0006-0000-1200-00003B000000}">
      <text>
        <r>
          <rPr>
            <sz val="10"/>
            <rFont val="Arial"/>
            <family val="2"/>
          </rPr>
          <t xml:space="preserve">
Seleccionar
</t>
        </r>
      </text>
    </comment>
    <comment ref="B40" authorId="0" shapeId="0" xr:uid="{00000000-0006-0000-1200-000012000000}">
      <text>
        <r>
          <rPr>
            <sz val="10"/>
            <rFont val="Arial"/>
            <family val="2"/>
          </rPr>
          <t xml:space="preserve">
Seleccionar
</t>
        </r>
      </text>
    </comment>
    <comment ref="D40" authorId="0" shapeId="0" xr:uid="{00000000-0006-0000-1200-000027000000}">
      <text>
        <r>
          <rPr>
            <sz val="10"/>
            <rFont val="Arial"/>
            <family val="2"/>
          </rPr>
          <t xml:space="preserve">
Seleccionar
</t>
        </r>
      </text>
    </comment>
    <comment ref="F40" authorId="0" shapeId="0" xr:uid="{00000000-0006-0000-1200-00003C000000}">
      <text>
        <r>
          <rPr>
            <sz val="10"/>
            <rFont val="Arial"/>
            <family val="2"/>
          </rPr>
          <t xml:space="preserve">
Seleccionar
</t>
        </r>
      </text>
    </comment>
    <comment ref="B41" authorId="0" shapeId="0" xr:uid="{00000000-0006-0000-1200-000013000000}">
      <text>
        <r>
          <rPr>
            <sz val="10"/>
            <rFont val="Arial"/>
            <family val="2"/>
          </rPr>
          <t xml:space="preserve">
Seleccionar
</t>
        </r>
      </text>
    </comment>
    <comment ref="D41" authorId="0" shapeId="0" xr:uid="{00000000-0006-0000-1200-000028000000}">
      <text>
        <r>
          <rPr>
            <sz val="10"/>
            <rFont val="Arial"/>
            <family val="2"/>
          </rPr>
          <t xml:space="preserve">
Seleccionar
</t>
        </r>
      </text>
    </comment>
    <comment ref="F41" authorId="0" shapeId="0" xr:uid="{00000000-0006-0000-1200-00003D000000}">
      <text>
        <r>
          <rPr>
            <sz val="10"/>
            <rFont val="Arial"/>
            <family val="2"/>
          </rPr>
          <t xml:space="preserve">
Seleccionar
</t>
        </r>
      </text>
    </comment>
    <comment ref="B42" authorId="0" shapeId="0" xr:uid="{00000000-0006-0000-1200-000014000000}">
      <text>
        <r>
          <rPr>
            <sz val="10"/>
            <rFont val="Arial"/>
            <family val="2"/>
          </rPr>
          <t xml:space="preserve">
Seleccionar
</t>
        </r>
      </text>
    </comment>
    <comment ref="D42" authorId="0" shapeId="0" xr:uid="{00000000-0006-0000-1200-000029000000}">
      <text>
        <r>
          <rPr>
            <sz val="10"/>
            <rFont val="Arial"/>
            <family val="2"/>
          </rPr>
          <t xml:space="preserve">
Seleccionar
</t>
        </r>
      </text>
    </comment>
    <comment ref="F42" authorId="0" shapeId="0" xr:uid="{00000000-0006-0000-1200-00003E000000}">
      <text>
        <r>
          <rPr>
            <sz val="10"/>
            <rFont val="Arial"/>
            <family val="2"/>
          </rPr>
          <t xml:space="preserve">
Seleccionar
</t>
        </r>
      </text>
    </comment>
    <comment ref="B43" authorId="0" shapeId="0" xr:uid="{00000000-0006-0000-1200-000015000000}">
      <text>
        <r>
          <rPr>
            <sz val="10"/>
            <rFont val="Arial"/>
            <family val="2"/>
          </rPr>
          <t xml:space="preserve">
Seleccionar
</t>
        </r>
      </text>
    </comment>
    <comment ref="D43" authorId="0" shapeId="0" xr:uid="{00000000-0006-0000-1200-00002A000000}">
      <text>
        <r>
          <rPr>
            <sz val="10"/>
            <rFont val="Arial"/>
            <family val="2"/>
          </rPr>
          <t xml:space="preserve">
Seleccionar
</t>
        </r>
      </text>
    </comment>
    <comment ref="F43" authorId="0" shapeId="0" xr:uid="{00000000-0006-0000-1200-00003F000000}">
      <text>
        <r>
          <rPr>
            <sz val="10"/>
            <rFont val="Arial"/>
            <family val="2"/>
          </rPr>
          <t xml:space="preserve">
Seleccionar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RGRACIANO</author>
  </authors>
  <commentList>
    <comment ref="C9" authorId="0" shapeId="0" xr:uid="{00000000-0006-0000-1300-000001000000}">
      <text>
        <r>
          <rPr>
            <sz val="10"/>
            <rFont val="Arial"/>
            <family val="2"/>
          </rPr>
          <t xml:space="preserve">
Indicar el numeral dentro del Pliego de Condiciones, donde se encuentra el margen mínimo de mejora de la oferta</t>
        </r>
      </text>
    </comment>
    <comment ref="D12" authorId="1" shapeId="0" xr:uid="{00000000-0006-0000-1300-000002000000}">
      <text>
        <r>
          <rPr>
            <sz val="10"/>
            <rFont val="Arial"/>
            <family val="2"/>
          </rPr>
          <t>El precio de arranque inicia con la propuesta económica con el precio más bajo.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00000000-0006-0000-1600-000001000000}">
      <text>
        <r>
          <rPr>
            <sz val="10"/>
            <rFont val="Arial"/>
            <family val="2"/>
          </rPr>
          <t>2022</t>
        </r>
      </text>
    </comment>
    <comment ref="B6" authorId="0" shapeId="0" xr:uid="{00000000-0006-0000-1600-000002000000}">
      <text>
        <r>
          <rPr>
            <sz val="10"/>
            <rFont val="Arial"/>
            <family val="2"/>
          </rPr>
          <t>2025-05-16</t>
        </r>
        <r>
          <rPr>
            <sz val="9"/>
            <color rgb="FF000000"/>
            <rFont val="Tahoma"/>
            <family val="2"/>
            <charset val="1"/>
          </rPr>
          <t xml:space="preserve">.
Anterior:
</t>
        </r>
        <r>
          <rPr>
            <b/>
            <sz val="9"/>
            <color rgb="FF000000"/>
            <rFont val="Tahoma"/>
            <family val="2"/>
            <charset val="1"/>
          </rPr>
          <t xml:space="preserve">2024. </t>
        </r>
        <r>
          <rPr>
            <sz val="9"/>
            <color rgb="FF000000"/>
            <rFont val="Tahoma"/>
            <family val="2"/>
            <charset val="1"/>
          </rPr>
          <t xml:space="preserve">190-MEM2401-169
Antiguo.
</t>
        </r>
        <r>
          <rPr>
            <b/>
            <sz val="9"/>
            <color rgb="FF000000"/>
            <rFont val="Tahoma"/>
            <family val="2"/>
            <charset val="1"/>
          </rPr>
          <t xml:space="preserve">190-MEM2201-77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4" authorId="0" shapeId="0" xr:uid="{00000000-0006-0000-1700-000005000000}">
      <text>
        <r>
          <rPr>
            <sz val="10"/>
            <rFont val="Arial"/>
            <family val="2"/>
          </rPr>
          <t xml:space="preserve">2024
</t>
        </r>
      </text>
    </comment>
    <comment ref="B5" authorId="0" shapeId="0" xr:uid="{00000000-0006-0000-1700-000006000000}">
      <text>
        <r>
          <rPr>
            <sz val="10"/>
            <rFont val="Arial"/>
            <family val="2"/>
          </rPr>
          <t>2025-12-15.</t>
        </r>
        <r>
          <rPr>
            <sz val="9"/>
            <color rgb="FF000000"/>
            <rFont val="Tahoma"/>
            <family val="2"/>
            <charset val="1"/>
          </rPr>
          <t xml:space="preserve"> 190-MEM2512-8910
</t>
        </r>
        <r>
          <rPr>
            <b/>
            <sz val="9"/>
            <color rgb="FF000000"/>
            <rFont val="Tahoma"/>
            <family val="2"/>
            <charset val="1"/>
          </rPr>
          <t>2025-01-14.</t>
        </r>
        <r>
          <rPr>
            <sz val="9"/>
            <color rgb="FF000000"/>
            <rFont val="Tahoma"/>
            <family val="2"/>
            <charset val="1"/>
          </rPr>
          <t xml:space="preserve"> 190-MEM2501-139
</t>
        </r>
        <r>
          <rPr>
            <b/>
            <sz val="9"/>
            <color rgb="FF000000"/>
            <rFont val="Tahoma"/>
            <family val="2"/>
            <charset val="1"/>
          </rPr>
          <t xml:space="preserve">2025-01-03. </t>
        </r>
        <r>
          <rPr>
            <sz val="9"/>
            <color rgb="FF000000"/>
            <rFont val="Tahoma"/>
            <family val="2"/>
            <charset val="1"/>
          </rPr>
          <t xml:space="preserve">190-MEM2501-14
</t>
        </r>
        <r>
          <rPr>
            <b/>
            <sz val="9"/>
            <color rgb="FF000000"/>
            <rFont val="Tahoma"/>
            <family val="2"/>
            <charset val="1"/>
          </rPr>
          <t xml:space="preserve">2024-01-12. </t>
        </r>
        <r>
          <rPr>
            <sz val="9"/>
            <color rgb="FF000000"/>
            <rFont val="Tahoma"/>
            <family val="2"/>
            <charset val="1"/>
          </rPr>
          <t>190-MEM2401-182</t>
        </r>
      </text>
    </comment>
    <comment ref="A8" authorId="0" shapeId="0" xr:uid="{00000000-0006-0000-1700-000001000000}">
      <text>
        <r>
          <rPr>
            <sz val="10"/>
            <rFont val="Arial"/>
            <family val="2"/>
          </rPr>
          <t>Bachiller</t>
        </r>
      </text>
    </comment>
    <comment ref="B8" authorId="0" shapeId="0" xr:uid="{00000000-0006-0000-1700-000007000000}">
      <text>
        <r>
          <rPr>
            <sz val="10"/>
            <rFont val="Arial"/>
            <family val="2"/>
          </rPr>
          <t>2448000
2400000</t>
        </r>
      </text>
    </comment>
    <comment ref="B9" authorId="0" shapeId="0" xr:uid="{00000000-0006-0000-1700-000008000000}">
      <text>
        <r>
          <rPr>
            <sz val="10"/>
            <rFont val="Arial"/>
            <family val="2"/>
          </rPr>
          <t>3500000
3989000</t>
        </r>
      </text>
    </comment>
    <comment ref="B10" authorId="0" shapeId="0" xr:uid="{00000000-0006-0000-1700-000009000000}">
      <text>
        <r>
          <rPr>
            <sz val="10"/>
            <rFont val="Arial"/>
            <family val="2"/>
          </rPr>
          <t xml:space="preserve">4041000
</t>
        </r>
      </text>
    </comment>
    <comment ref="A11" authorId="0" shapeId="0" xr:uid="{00000000-0006-0000-1700-000002000000}">
      <text>
        <r>
          <rPr>
            <sz val="10"/>
            <rFont val="Arial"/>
            <family val="2"/>
          </rPr>
          <t xml:space="preserve">Tecnólogo con experiencia </t>
        </r>
      </text>
    </comment>
    <comment ref="B11" authorId="0" shapeId="0" xr:uid="{00000000-0006-0000-1700-00000A000000}">
      <text>
        <r>
          <rPr>
            <sz val="10"/>
            <rFont val="Arial"/>
            <family val="2"/>
          </rPr>
          <t xml:space="preserve">4500000
4687000
</t>
        </r>
      </text>
    </comment>
    <comment ref="B12" authorId="0" shapeId="0" xr:uid="{00000000-0006-0000-1700-00000B000000}">
      <text>
        <r>
          <rPr>
            <sz val="10"/>
            <rFont val="Arial"/>
            <family val="2"/>
          </rPr>
          <t>5095920
4996000</t>
        </r>
      </text>
    </comment>
    <comment ref="A13" authorId="0" shapeId="0" xr:uid="{00000000-0006-0000-1700-000003000000}">
      <text>
        <r>
          <rPr>
            <sz val="10"/>
            <rFont val="Arial"/>
            <family val="2"/>
          </rPr>
          <t>Profesional con experiencia (mínimo 6 meses)</t>
        </r>
      </text>
    </comment>
    <comment ref="B13" authorId="0" shapeId="0" xr:uid="{00000000-0006-0000-1700-00000C000000}">
      <text>
        <r>
          <rPr>
            <sz val="10"/>
            <rFont val="Arial"/>
            <family val="2"/>
          </rPr>
          <t>7493940
7347000</t>
        </r>
      </text>
    </comment>
    <comment ref="A14" authorId="0" shapeId="0" xr:uid="{00000000-0006-0000-1700-000004000000}">
      <text>
        <r>
          <rPr>
            <sz val="10"/>
            <rFont val="Arial"/>
            <family val="2"/>
          </rPr>
          <t>Coordinador de proyecto</t>
        </r>
      </text>
    </comment>
    <comment ref="B14" authorId="0" shapeId="0" xr:uid="{00000000-0006-0000-1700-00000D000000}">
      <text>
        <r>
          <rPr>
            <sz val="10"/>
            <rFont val="Arial"/>
            <family val="2"/>
          </rPr>
          <t>8990280
8814000</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00000000-0006-0000-1800-000002000000}">
      <text>
        <r>
          <rPr>
            <sz val="10"/>
            <rFont val="Arial"/>
            <family val="2"/>
          </rPr>
          <t xml:space="preserve">2023: </t>
        </r>
        <r>
          <rPr>
            <sz val="9"/>
            <color rgb="FF000000"/>
            <rFont val="Tahoma"/>
            <family val="2"/>
            <charset val="1"/>
          </rPr>
          <t xml:space="preserve">190-MEM2212-9652, 190-MEM2212-9506
</t>
        </r>
        <r>
          <rPr>
            <b/>
            <sz val="9"/>
            <color rgb="FF000000"/>
            <rFont val="Tahoma"/>
            <family val="2"/>
            <charset val="1"/>
          </rPr>
          <t xml:space="preserve">2022: </t>
        </r>
        <r>
          <rPr>
            <sz val="9"/>
            <color rgb="FF000000"/>
            <rFont val="Tahoma"/>
            <family val="2"/>
            <charset val="1"/>
          </rPr>
          <t xml:space="preserve">190-MEM2112-8667
</t>
        </r>
        <r>
          <rPr>
            <b/>
            <sz val="9"/>
            <color rgb="FF000000"/>
            <rFont val="Tahoma"/>
            <family val="2"/>
            <charset val="1"/>
          </rPr>
          <t xml:space="preserve">2024: </t>
        </r>
        <r>
          <rPr>
            <sz val="9"/>
            <color rgb="FF000000"/>
            <rFont val="Tahoma"/>
            <family val="2"/>
            <charset val="1"/>
          </rPr>
          <t xml:space="preserve">190-MEM2401-171
</t>
        </r>
        <r>
          <rPr>
            <b/>
            <sz val="9"/>
            <color rgb="FF000000"/>
            <rFont val="Tahoma"/>
            <family val="2"/>
            <charset val="1"/>
          </rPr>
          <t>2025:</t>
        </r>
        <r>
          <rPr>
            <sz val="9"/>
            <color rgb="FF000000"/>
            <rFont val="Tahoma"/>
            <family val="2"/>
            <charset val="1"/>
          </rPr>
          <t xml:space="preserve"> 190-MEM2503-2165</t>
        </r>
      </text>
    </comment>
    <comment ref="D7" authorId="0" shapeId="0" xr:uid="{00000000-0006-0000-1800-000003000000}">
      <text>
        <r>
          <rPr>
            <sz val="10"/>
            <rFont val="Arial"/>
            <family val="2"/>
          </rPr>
          <t xml:space="preserve">2023: </t>
        </r>
        <r>
          <rPr>
            <sz val="9"/>
            <color rgb="FF000000"/>
            <rFont val="Tahoma"/>
            <family val="2"/>
            <charset val="1"/>
          </rPr>
          <t xml:space="preserve">$1.160.000
</t>
        </r>
        <r>
          <rPr>
            <b/>
            <sz val="9"/>
            <color rgb="FF000000"/>
            <rFont val="Tahoma"/>
            <family val="2"/>
            <charset val="1"/>
          </rPr>
          <t>2022: $</t>
        </r>
        <r>
          <rPr>
            <sz val="9"/>
            <color rgb="FF000000"/>
            <rFont val="Tahoma"/>
            <family val="2"/>
            <charset val="1"/>
          </rPr>
          <t xml:space="preserve">1.000.000
</t>
        </r>
        <r>
          <rPr>
            <b/>
            <sz val="9"/>
            <color rgb="FF000000"/>
            <rFont val="Tahoma"/>
            <family val="2"/>
            <charset val="1"/>
          </rPr>
          <t xml:space="preserve">2024: </t>
        </r>
        <r>
          <rPr>
            <sz val="9"/>
            <color rgb="FF000000"/>
            <rFont val="Tahoma"/>
            <family val="2"/>
            <charset val="1"/>
          </rPr>
          <t xml:space="preserve">$1.300.000
</t>
        </r>
        <r>
          <rPr>
            <b/>
            <sz val="9"/>
            <color rgb="FF000000"/>
            <rFont val="Tahoma"/>
            <family val="2"/>
            <charset val="1"/>
          </rPr>
          <t>2025:</t>
        </r>
        <r>
          <rPr>
            <sz val="9"/>
            <color rgb="FF000000"/>
            <rFont val="Tahoma"/>
            <family val="2"/>
            <charset val="1"/>
          </rPr>
          <t xml:space="preserve"> $1.423.500</t>
        </r>
      </text>
    </comment>
    <comment ref="D8" authorId="0" shapeId="0" xr:uid="{00000000-0006-0000-1800-000004000000}">
      <text>
        <r>
          <rPr>
            <sz val="10"/>
            <rFont val="Arial"/>
            <family val="2"/>
          </rPr>
          <t xml:space="preserve">2023: </t>
        </r>
        <r>
          <rPr>
            <sz val="9"/>
            <color rgb="FF000000"/>
            <rFont val="Tahoma"/>
            <family val="2"/>
            <charset val="1"/>
          </rPr>
          <t xml:space="preserve">$140.606
</t>
        </r>
        <r>
          <rPr>
            <b/>
            <sz val="9"/>
            <color rgb="FF000000"/>
            <rFont val="Tahoma"/>
            <family val="2"/>
            <charset val="1"/>
          </rPr>
          <t>2022:</t>
        </r>
        <r>
          <rPr>
            <sz val="9"/>
            <color rgb="FF000000"/>
            <rFont val="Tahoma"/>
            <family val="2"/>
            <charset val="1"/>
          </rPr>
          <t xml:space="preserve"> $117.172
</t>
        </r>
        <r>
          <rPr>
            <b/>
            <sz val="9"/>
            <color rgb="FF000000"/>
            <rFont val="Tahoma"/>
            <family val="2"/>
            <charset val="1"/>
          </rPr>
          <t>2024:</t>
        </r>
        <r>
          <rPr>
            <sz val="9"/>
            <color rgb="FF000000"/>
            <rFont val="Tahoma"/>
            <family val="2"/>
            <charset val="1"/>
          </rPr>
          <t xml:space="preserve"> $162.000
</t>
        </r>
        <r>
          <rPr>
            <b/>
            <sz val="9"/>
            <color rgb="FF000000"/>
            <rFont val="Tahoma"/>
            <family val="2"/>
            <charset val="1"/>
          </rPr>
          <t>2025:</t>
        </r>
        <r>
          <rPr>
            <sz val="9"/>
            <color rgb="FF000000"/>
            <rFont val="Tahoma"/>
            <family val="2"/>
            <charset val="1"/>
          </rPr>
          <t xml:space="preserve"> $200.000</t>
        </r>
      </text>
    </comment>
    <comment ref="G11" authorId="1" shapeId="0" xr:uid="{00000000-0006-0000-1800-000005000000}">
      <text>
        <r>
          <rPr>
            <sz val="10"/>
            <rFont val="Arial"/>
            <family val="2"/>
          </rPr>
          <t xml:space="preserve">
Al auxilio de transporte tiene derecho todo trabajador que tenga un sueldo de hasta dos salarios mínimos mensuales (Ley 15 de 1959).</t>
        </r>
      </text>
    </comment>
    <comment ref="B25" authorId="1" shapeId="0" xr:uid="{00000000-0006-0000-1800-000001000000}">
      <text>
        <r>
          <rPr>
            <sz val="10"/>
            <rFont val="Arial"/>
            <family val="2"/>
          </rPr>
          <t xml:space="preserve">Marcela Buitrago Monsalve:
</t>
        </r>
        <r>
          <rPr>
            <sz val="9"/>
            <color rgb="FF000000"/>
            <rFont val="Tahoma"/>
            <family val="2"/>
            <charset val="1"/>
          </rPr>
          <t xml:space="preserve"> Sobre cesantías</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Sistema de Gestión Integral</author>
    <author>Marcela Buitrago Monsalve</author>
  </authors>
  <commentList>
    <comment ref="B5" authorId="0" shapeId="0" xr:uid="{00000000-0006-0000-1900-000002000000}">
      <text>
        <r>
          <rPr>
            <sz val="10"/>
            <rFont val="Arial"/>
            <family val="2"/>
          </rPr>
          <t xml:space="preserve">Anterior: </t>
        </r>
        <r>
          <rPr>
            <sz val="9"/>
            <color rgb="FF000000"/>
            <rFont val="Tahoma"/>
            <family val="2"/>
            <charset val="1"/>
          </rPr>
          <t>2024</t>
        </r>
      </text>
    </comment>
    <comment ref="A6" authorId="1" shapeId="0" xr:uid="{00000000-0006-0000-1900-000001000000}">
      <text>
        <r>
          <rPr>
            <sz val="10"/>
            <rFont val="Arial"/>
            <family val="2"/>
          </rPr>
          <t xml:space="preserve">Marcela Buitrago Monsalve:
</t>
        </r>
        <r>
          <rPr>
            <sz val="9"/>
            <color rgb="FF000000"/>
            <rFont val="Tahoma"/>
            <family val="2"/>
            <charset val="1"/>
          </rPr>
          <t>Departamento administrativo de la función pública</t>
        </r>
      </text>
    </comment>
    <comment ref="B6" authorId="0" shapeId="0" xr:uid="{00000000-0006-0000-1900-000003000000}">
      <text>
        <r>
          <rPr>
            <sz val="10"/>
            <rFont val="Arial"/>
            <family val="2"/>
          </rPr>
          <t>Anterior:</t>
        </r>
        <r>
          <rPr>
            <sz val="9"/>
            <color rgb="FF000000"/>
            <rFont val="Tahoma"/>
            <family val="2"/>
            <charset val="1"/>
          </rPr>
          <t xml:space="preserve"> 903 del 2023-08-02</t>
        </r>
      </text>
    </comment>
    <comment ref="C11" authorId="1" shapeId="0" xr:uid="{00000000-0006-0000-1900-000004000000}">
      <text>
        <r>
          <rPr>
            <sz val="10"/>
            <rFont val="Arial"/>
            <family val="2"/>
          </rPr>
          <t xml:space="preserve">
Salario 2023 con aumento del 9,28% 
(acuerdo colectivo inflación + 1,6 puntos
 = 9,28% + 1,6% = 10,88%)  </t>
        </r>
      </text>
    </comment>
    <comment ref="D11" authorId="1" shapeId="0" xr:uid="{00000000-0006-0000-1900-000005000000}">
      <text>
        <r>
          <rPr>
            <sz val="10"/>
            <rFont val="Arial"/>
            <family val="2"/>
          </rPr>
          <t xml:space="preserve">
Factor prestacional del 67%</t>
        </r>
      </text>
    </comment>
    <comment ref="E11" authorId="1" shapeId="0" xr:uid="{00000000-0006-0000-1900-000006000000}">
      <text>
        <r>
          <rPr>
            <sz val="10"/>
            <rFont val="Arial"/>
            <family val="2"/>
          </rPr>
          <t xml:space="preserve">
Promedio 21 día laborables al mes</t>
        </r>
      </text>
    </comment>
    <comment ref="F11" authorId="1" shapeId="0" xr:uid="{00000000-0006-0000-1900-000007000000}">
      <text>
        <r>
          <rPr>
            <sz val="10"/>
            <rFont val="Arial"/>
            <family val="2"/>
          </rPr>
          <t xml:space="preserve">
Promedio 8,8 horas laborables al día</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Sistema de Gestión Integral</author>
    <author>Marcela Buitrago Monsalve</author>
  </authors>
  <commentList>
    <comment ref="B10" authorId="0" shapeId="0" xr:uid="{00000000-0006-0000-1A00-000002000000}">
      <text>
        <r>
          <rPr>
            <sz val="10"/>
            <rFont val="Arial"/>
            <family val="2"/>
          </rPr>
          <t>Anterior: 2020</t>
        </r>
      </text>
    </comment>
    <comment ref="A11" authorId="1" shapeId="0" xr:uid="{00000000-0006-0000-1A00-000001000000}">
      <text>
        <r>
          <rPr>
            <sz val="10"/>
            <rFont val="Arial"/>
            <family val="2"/>
          </rPr>
          <t xml:space="preserve">
Subdirección Participación y Cultura</t>
        </r>
      </text>
    </comment>
    <comment ref="B11" authorId="0" shapeId="0" xr:uid="{00000000-0006-0000-1A00-000003000000}">
      <text>
        <r>
          <rPr>
            <sz val="10"/>
            <rFont val="Arial"/>
            <family val="2"/>
          </rPr>
          <t xml:space="preserve">Anterior: </t>
        </r>
        <r>
          <rPr>
            <sz val="9"/>
            <color rgb="FF000000"/>
            <rFont val="Tahoma"/>
            <family val="2"/>
            <charset val="1"/>
          </rPr>
          <t>140-MEM2010-6732</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Sistema de Gestión Integral</author>
  </authors>
  <commentList>
    <comment ref="B5" authorId="0" shapeId="0" xr:uid="{00000000-0006-0000-1B00-000001000000}">
      <text>
        <r>
          <rPr>
            <sz val="10"/>
            <rFont val="Arial"/>
            <family val="2"/>
          </rPr>
          <t>2025-10-28.
Anterior:</t>
        </r>
        <r>
          <rPr>
            <sz val="9"/>
            <color rgb="FF000000"/>
            <rFont val="Tahoma"/>
            <family val="2"/>
            <charset val="1"/>
          </rPr>
          <t xml:space="preserve"> 2022</t>
        </r>
      </text>
    </comment>
    <comment ref="B6" authorId="0" shapeId="0" xr:uid="{00000000-0006-0000-1B00-000002000000}">
      <text>
        <r>
          <rPr>
            <sz val="10"/>
            <rFont val="Arial"/>
            <family val="2"/>
          </rPr>
          <t>2025-10-28.
Anterior:</t>
        </r>
        <r>
          <rPr>
            <sz val="9"/>
            <color rgb="FF000000"/>
            <rFont val="Tahoma"/>
            <family val="2"/>
            <charset val="1"/>
          </rPr>
          <t xml:space="preserve"> 040OC-MEM2204-3298</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6" authorId="0" shapeId="0" xr:uid="{00000000-0006-0000-1C00-000001000000}">
      <text>
        <r>
          <rPr>
            <sz val="10"/>
            <rFont val="Arial"/>
            <family val="2"/>
          </rPr>
          <t>Dirección general</t>
        </r>
      </text>
    </comment>
    <comment ref="B6" authorId="1" shapeId="0" xr:uid="{00000000-0006-0000-1C00-000002000000}">
      <text>
        <r>
          <rPr>
            <sz val="10"/>
            <rFont val="Arial"/>
            <family val="2"/>
          </rPr>
          <t xml:space="preserve">040-CIR2205-12
</t>
        </r>
        <r>
          <rPr>
            <sz val="9"/>
            <color rgb="FF000000"/>
            <rFont val="Tahoma"/>
            <family val="2"/>
            <charset val="1"/>
          </rPr>
          <t xml:space="preserve">040-CIR2401-1 </t>
        </r>
      </text>
    </comment>
    <comment ref="B8" authorId="1" shapeId="0" xr:uid="{00000000-0006-0000-1C00-000003000000}">
      <text>
        <r>
          <rPr>
            <sz val="10"/>
            <rFont val="Arial"/>
            <family val="2"/>
          </rPr>
          <t>2022:</t>
        </r>
        <r>
          <rPr>
            <sz val="9"/>
            <color rgb="FF000000"/>
            <rFont val="Tahoma"/>
            <family val="2"/>
            <charset val="1"/>
          </rPr>
          <t xml:space="preserve"> $1.000.000
2023; $ 1.160.000</t>
        </r>
      </text>
    </comment>
    <comment ref="B9" authorId="1" shapeId="0" xr:uid="{00000000-0006-0000-1C00-000004000000}">
      <text>
        <r>
          <rPr>
            <sz val="10"/>
            <rFont val="Arial"/>
            <family val="2"/>
          </rPr>
          <t>2022:</t>
        </r>
        <r>
          <rPr>
            <sz val="9"/>
            <color rgb="FF000000"/>
            <rFont val="Tahoma"/>
            <family val="2"/>
            <charset val="1"/>
          </rPr>
          <t xml:space="preserve"> $192.367.938.015
</t>
        </r>
        <r>
          <rPr>
            <b/>
            <sz val="9"/>
            <color rgb="FF000000"/>
            <rFont val="Tahoma"/>
            <family val="2"/>
            <charset val="1"/>
          </rPr>
          <t>2023</t>
        </r>
        <r>
          <rPr>
            <sz val="9"/>
            <color rgb="FF000000"/>
            <rFont val="Tahoma"/>
            <family val="2"/>
            <charset val="1"/>
          </rPr>
          <t>;$ 164.026.583.397</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10"/>
            <rFont val="Arial"/>
            <family val="2"/>
          </rPr>
          <t xml:space="preserve">
32% - 2020
31% - 2021
30% - 2020</t>
        </r>
      </text>
    </comment>
    <comment ref="C14" authorId="0" shapeId="0" xr:uid="{00000000-0006-0000-1F00-000002000000}">
      <text>
        <r>
          <rPr>
            <sz val="10"/>
            <rFont val="Arial"/>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10"/>
            <rFont val="Arial"/>
            <family val="2"/>
          </rPr>
          <t xml:space="preserve">
32% - 2020
31% - 2021
30% - 2020</t>
        </r>
      </text>
    </comment>
    <comment ref="C21" authorId="0" shapeId="0" xr:uid="{00000000-0006-0000-1F00-000004000000}">
      <text>
        <r>
          <rPr>
            <sz val="10"/>
            <rFont val="Arial"/>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10"/>
            <rFont val="Arial"/>
            <family val="2"/>
          </rPr>
          <t xml:space="preserve">
32% - 2020
31% - 2021
30% - 2020</t>
        </r>
      </text>
    </comment>
    <comment ref="C34" authorId="0" shapeId="0" xr:uid="{00000000-0006-0000-1F00-000006000000}">
      <text>
        <r>
          <rPr>
            <sz val="10"/>
            <rFont val="Arial"/>
            <family val="2"/>
          </rPr>
          <t xml:space="preserve">
Aún no se ha adoptado a nivel departamental</t>
        </r>
      </text>
    </comment>
    <comment ref="C37" authorId="0" shapeId="0" xr:uid="{00000000-0006-0000-1F00-000007000000}">
      <text>
        <r>
          <rPr>
            <sz val="10"/>
            <rFont val="Arial"/>
            <family val="2"/>
          </rPr>
          <t xml:space="preserve">
32% - 2020
31% - 2021
30% - 2020</t>
        </r>
      </text>
    </comment>
    <comment ref="C41" authorId="0" shapeId="0" xr:uid="{00000000-0006-0000-1F00-000008000000}">
      <text>
        <r>
          <rPr>
            <sz val="10"/>
            <rFont val="Arial"/>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10"/>
            <rFont val="Arial"/>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10"/>
            <rFont val="Arial"/>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10"/>
            <rFont val="Arial"/>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10"/>
            <rFont val="Arial"/>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<sst xmlns="http://schemas.openxmlformats.org/spreadsheetml/2006/main" count="2333" uniqueCount="1347">
  <si>
    <r>
      <rPr>
        <b/>
        <sz val="9"/>
        <color theme="4" tint="-0.249977111117893"/>
        <rFont val="Arial"/>
        <family val="2"/>
        <charset val="1"/>
      </rPr>
      <t xml:space="preserve">Sistema de Gestión Integral (SGI)
</t>
    </r>
    <r>
      <rPr>
        <b/>
        <sz val="9"/>
        <rFont val="Arial"/>
        <family val="2"/>
        <charset val="1"/>
      </rPr>
      <t>Instructivo - Componente Financiero EP
Código:</t>
    </r>
    <r>
      <rPr>
        <sz val="9"/>
        <rFont val="Arial"/>
        <family val="2"/>
        <charset val="1"/>
      </rPr>
      <t xml:space="preserve"> F-PGC-21. </t>
    </r>
    <r>
      <rPr>
        <b/>
        <sz val="9"/>
        <rFont val="Arial"/>
        <family val="2"/>
        <charset val="1"/>
      </rPr>
      <t>Versión:</t>
    </r>
    <r>
      <rPr>
        <sz val="9"/>
        <rFont val="Arial"/>
        <family val="2"/>
        <charset val="1"/>
      </rPr>
      <t xml:space="preserve"> 05</t>
    </r>
  </si>
  <si>
    <t>Hoja "Instructivo"</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</si>
  <si>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</si>
  <si>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</si>
  <si>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</si>
  <si>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</si>
  <si>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</si>
  <si>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</si>
  <si>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</si>
  <si>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</si>
  <si>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</si>
  <si>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</si>
  <si>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</si>
  <si>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</si>
  <si>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</si>
  <si>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</si>
  <si>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</si>
  <si>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</si>
  <si>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</si>
  <si>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</si>
  <si>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</si>
  <si>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</si>
  <si>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</si>
  <si>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</si>
  <si>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</si>
  <si>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</si>
  <si>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</si>
  <si>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</si>
  <si>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</si>
  <si>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</si>
  <si>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</si>
  <si>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</si>
  <si>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</si>
  <si>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</si>
  <si>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</si>
  <si>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</si>
  <si>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</si>
  <si>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</si>
  <si>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</si>
  <si>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rPr>
        <sz val="10"/>
        <rFont val="Arial"/>
        <family val="2"/>
        <charset val="1"/>
      </rP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charset val="1"/>
      </rPr>
      <t>NOTA:</t>
    </r>
    <r>
      <rPr>
        <sz val="10"/>
        <rFont val="Arial"/>
        <family val="2"/>
        <charset val="1"/>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</si>
  <si>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</si>
  <si>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</si>
  <si>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</si>
  <si>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</si>
  <si>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</si>
  <si>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</si>
  <si>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</si>
  <si>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</si>
  <si>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</si>
  <si>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</si>
  <si>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</si>
  <si>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</si>
  <si>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rPr>
        <sz val="10"/>
        <rFont val="Arial"/>
        <family val="2"/>
        <charset val="1"/>
      </rP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charset val="1"/>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</si>
  <si>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</si>
  <si>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</si>
  <si>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rPr>
        <sz val="10"/>
        <rFont val="Arial"/>
        <family val="2"/>
        <charset val="1"/>
      </rP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charset val="1"/>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</si>
  <si>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</si>
  <si>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rPr>
        <sz val="10"/>
        <rFont val="Arial"/>
        <family val="2"/>
        <charset val="1"/>
      </rP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charset val="1"/>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</si>
  <si>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</si>
  <si>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</si>
  <si>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</si>
  <si>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</si>
  <si>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</si>
  <si>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</si>
  <si>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</si>
  <si>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</si>
  <si>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</si>
  <si>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</si>
  <si>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</si>
  <si>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</si>
  <si>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</si>
  <si>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</si>
  <si>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</si>
  <si>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</si>
  <si>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</si>
  <si>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</si>
  <si>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</si>
  <si>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</si>
  <si>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</si>
  <si>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</si>
  <si>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</si>
  <si>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</si>
  <si>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</si>
  <si>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</si>
  <si>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</si>
  <si>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</si>
  <si>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</si>
  <si>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</si>
  <si>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</si>
  <si>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</si>
  <si>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</si>
  <si>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</si>
  <si>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</si>
  <si>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</si>
  <si>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</si>
  <si>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</si>
  <si>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</si>
  <si>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</si>
  <si>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</si>
  <si>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charset val="1"/>
      </rPr>
      <t>Nota 1</t>
    </r>
    <r>
      <rPr>
        <sz val="10"/>
        <rFont val="Arial"/>
        <family val="2"/>
        <charset val="1"/>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</si>
  <si>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charset val="1"/>
      </rPr>
      <t>Nota 2</t>
    </r>
    <r>
      <rPr>
        <sz val="10"/>
        <rFont val="Arial"/>
        <family val="2"/>
        <charset val="1"/>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charset val="1"/>
      </rPr>
      <t>En todo caso, para la publicación de la información, se debe considerar lo dispuesto en el Decreto 1510 de 2013 artículos 19 y 20.</t>
    </r>
  </si>
  <si>
    <r>
      <rPr>
        <b/>
        <u/>
        <sz val="10"/>
        <rFont val="Arial"/>
        <family val="2"/>
        <charset val="1"/>
      </rPr>
      <t>Nota 3</t>
    </r>
    <r>
      <rPr>
        <sz val="10"/>
        <rFont val="Arial"/>
        <family val="2"/>
        <charset val="1"/>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</si>
  <si>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</si>
  <si>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Hoja "Plan Ejecución física y de inversiones"</t>
  </si>
  <si>
    <t>MODALIDAD DE CONTRATACIÓN:</t>
  </si>
  <si>
    <t>OBJETO A CONTRATAR:</t>
  </si>
  <si>
    <t>CONTRATISTA/CONVENIANTE:</t>
  </si>
  <si>
    <t>NOMBRE DEL TÉCNICO (A):</t>
  </si>
  <si>
    <t xml:space="preserve">DURACIÓN Y/O PLAZO DEL CONTRATO (MESES):  </t>
  </si>
  <si>
    <t xml:space="preserve">PERIODO DE PROGRAMACIÓN Y SEGUIMIENTO:  </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</si>
  <si>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</si>
  <si>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</si>
  <si>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</si>
  <si>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</si>
  <si>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</si>
  <si>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</si>
  <si>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</si>
  <si>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</si>
  <si>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</si>
  <si>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</si>
  <si>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</si>
  <si>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</si>
  <si>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</si>
  <si>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</si>
  <si>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</si>
  <si>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</si>
  <si>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</si>
  <si>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</si>
  <si>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</si>
  <si>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</si>
  <si>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</si>
  <si>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</si>
  <si>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</si>
  <si>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</si>
  <si>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</si>
  <si>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</si>
  <si>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</si>
  <si>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</si>
  <si>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</si>
  <si>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</si>
  <si>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META/
PRODUCTO A OBTENER:</t>
  </si>
  <si>
    <t>Alcance 1</t>
  </si>
  <si>
    <t>Actividad 1.1</t>
  </si>
  <si>
    <t>Subactividad 1.1.1</t>
  </si>
  <si>
    <t>Subactividad 1.1.2</t>
  </si>
  <si>
    <t>Subactividad 1.1.3</t>
  </si>
  <si>
    <t>Subactividad 1.1.4</t>
  </si>
  <si>
    <t>Subactividad 1.1.5</t>
  </si>
  <si>
    <t>Subactividad 1.1.6</t>
  </si>
  <si>
    <t>Subactividad 1.1.7</t>
  </si>
  <si>
    <t>Actividad 1.2</t>
  </si>
  <si>
    <t>Subactividad 1.2.1</t>
  </si>
  <si>
    <t>Subactividad 1.2.2</t>
  </si>
  <si>
    <t>Subactividad 1.2.3</t>
  </si>
  <si>
    <t>Subactividad 1.2.4</t>
  </si>
  <si>
    <t>Subactividad 1.2.5</t>
  </si>
  <si>
    <t>Subactividad 1.2.6</t>
  </si>
  <si>
    <t>Actividad 1.3</t>
  </si>
  <si>
    <t>Subactividad 1.3.1</t>
  </si>
  <si>
    <t>Subactividad 1.3.2</t>
  </si>
  <si>
    <t>Subactividad 1.3.3</t>
  </si>
  <si>
    <t>Subactividad 1.3.4</t>
  </si>
  <si>
    <t>Subactividad 1.3.5</t>
  </si>
  <si>
    <t>Actividad 1.4</t>
  </si>
  <si>
    <t>Subactividad 1.4.1</t>
  </si>
  <si>
    <t>Subactividad 1.4.2</t>
  </si>
  <si>
    <t>Subactividad 1.4.3</t>
  </si>
  <si>
    <t>Subactividad 1.4.4</t>
  </si>
  <si>
    <t>Subactividad 1.4.5</t>
  </si>
  <si>
    <t>Actividad 1.5</t>
  </si>
  <si>
    <t>Subactividad 1.5.1</t>
  </si>
  <si>
    <t>Subactividad 1.5.2</t>
  </si>
  <si>
    <t>Subactividad 1.5.3</t>
  </si>
  <si>
    <t>Subactividad 1.5.4</t>
  </si>
  <si>
    <t>Subactividad 1.5.5</t>
  </si>
  <si>
    <t>Actividad 1.6</t>
  </si>
  <si>
    <t>Subactividad 1.6.1</t>
  </si>
  <si>
    <t>Subactividad 1.6.2</t>
  </si>
  <si>
    <t>Subactividad 1.6.3</t>
  </si>
  <si>
    <t>Subactividad 1.6.4</t>
  </si>
  <si>
    <t>Subactividad 1.6.5</t>
  </si>
  <si>
    <t>Alcance 2</t>
  </si>
  <si>
    <t>Actividad 2.1</t>
  </si>
  <si>
    <t>Subactividad 2.1.1</t>
  </si>
  <si>
    <t>Subactividad 2.1.2</t>
  </si>
  <si>
    <t>Subactividad 2.1.3</t>
  </si>
  <si>
    <t>Subactividad 2.1.4</t>
  </si>
  <si>
    <t>Subactividad 2.1.5</t>
  </si>
  <si>
    <t>Actividad 2.2</t>
  </si>
  <si>
    <t>Subactividad 2.2.1</t>
  </si>
  <si>
    <t>Subactividad 2.2.2</t>
  </si>
  <si>
    <t>Subactividad 2.2.3</t>
  </si>
  <si>
    <t>Subactividad 2.2.4</t>
  </si>
  <si>
    <t>Subactividad 2.2.5</t>
  </si>
  <si>
    <t>Actividad 2.3</t>
  </si>
  <si>
    <t>Subactividad 2.3.1</t>
  </si>
  <si>
    <t>Subactividad 2.3.2</t>
  </si>
  <si>
    <t>Subactividad 2.3.3</t>
  </si>
  <si>
    <t>Subactividad 2.3.4</t>
  </si>
  <si>
    <t>Subactividad 2.3.5</t>
  </si>
  <si>
    <t>Actividad 2.4</t>
  </si>
  <si>
    <t>Subactividad 2.4.1</t>
  </si>
  <si>
    <t>Subactividad 2.4.2</t>
  </si>
  <si>
    <t>Subactividad 2.4.3</t>
  </si>
  <si>
    <t>Subactividad 2.4.4</t>
  </si>
  <si>
    <t>Subactividad 2.4.5</t>
  </si>
  <si>
    <t>Actividad 2.5</t>
  </si>
  <si>
    <t>Subactividad 2.5.1</t>
  </si>
  <si>
    <t>Subactividad 2.5.2</t>
  </si>
  <si>
    <t>Subactividad 2.5.3</t>
  </si>
  <si>
    <t>Subactividad 2.5.4</t>
  </si>
  <si>
    <t>Subactividad 2.5.5</t>
  </si>
  <si>
    <t>Alcance 3</t>
  </si>
  <si>
    <t>Actividad 3.1</t>
  </si>
  <si>
    <t>Subactividad 3.1.1</t>
  </si>
  <si>
    <t>Subactividad 3.1.2</t>
  </si>
  <si>
    <t>Subactividad 3.1.3</t>
  </si>
  <si>
    <t>Subactividad 3.1.4</t>
  </si>
  <si>
    <t>Subactividad 3.1.5</t>
  </si>
  <si>
    <t>Actividad 3.2</t>
  </si>
  <si>
    <t>Subactividad 3.2.1</t>
  </si>
  <si>
    <t>Subactividad 3.2.2</t>
  </si>
  <si>
    <t>Subactividad 3.2.3</t>
  </si>
  <si>
    <t>Subactividad 3.2.4</t>
  </si>
  <si>
    <t>Subactividad 3.2.5</t>
  </si>
  <si>
    <t>Actividad 3.3</t>
  </si>
  <si>
    <t>Subactividad 3.3.1</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</si>
  <si>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</si>
  <si>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</si>
  <si>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</si>
  <si>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</si>
  <si>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</si>
  <si>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</si>
  <si>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</si>
  <si>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</si>
  <si>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</si>
  <si>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</si>
  <si>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</si>
  <si>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</si>
  <si>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</si>
  <si>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</si>
  <si>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</si>
  <si>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</si>
  <si>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Alcance 4</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</si>
  <si>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</si>
  <si>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</si>
  <si>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</si>
  <si>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</si>
  <si>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</si>
  <si>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</si>
  <si>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</si>
  <si>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</si>
  <si>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</si>
  <si>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</si>
  <si>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</si>
  <si>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</si>
  <si>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</si>
  <si>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</si>
  <si>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</si>
  <si>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</si>
  <si>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</si>
  <si>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</si>
  <si>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</si>
  <si>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</si>
  <si>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</si>
  <si>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</si>
  <si>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</si>
  <si>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</si>
  <si>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</si>
  <si>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</si>
  <si>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</si>
  <si>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</si>
  <si>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</si>
  <si>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</si>
  <si>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Alcance 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</si>
  <si>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</si>
  <si>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</si>
  <si>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</si>
  <si>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</si>
  <si>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</si>
  <si>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</si>
  <si>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</si>
  <si>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</si>
  <si>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</si>
  <si>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</si>
  <si>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</si>
  <si>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</si>
  <si>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</si>
  <si>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</si>
  <si>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</si>
  <si>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</si>
  <si>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</si>
  <si>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</si>
  <si>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</si>
  <si>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</si>
  <si>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</si>
  <si>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</si>
  <si>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</si>
  <si>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</si>
  <si>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</si>
  <si>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</si>
  <si>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</si>
  <si>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</si>
  <si>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</si>
  <si>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</si>
  <si>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</si>
  <si>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</si>
  <si>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</si>
  <si>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</si>
  <si>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</si>
  <si>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</si>
  <si>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</si>
  <si>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</si>
  <si>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</si>
  <si>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</si>
  <si>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</si>
  <si>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</si>
  <si>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</si>
  <si>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</si>
  <si>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</si>
  <si>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</si>
  <si>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</si>
  <si>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</si>
  <si>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</si>
  <si>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</si>
  <si>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</si>
  <si>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</si>
  <si>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</si>
  <si>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</si>
  <si>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</si>
  <si>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</si>
  <si>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</si>
  <si>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</si>
  <si>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</si>
  <si>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</si>
  <si>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</si>
  <si>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</si>
  <si>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</si>
  <si>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</si>
  <si>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Información anticipos</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</si>
  <si>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</si>
  <si>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</si>
  <si>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</si>
  <si>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</si>
  <si>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</si>
  <si>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</si>
  <si>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</si>
  <si>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</si>
  <si>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</si>
  <si>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</si>
  <si>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</si>
  <si>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</si>
  <si>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</si>
  <si>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</si>
  <si>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</si>
  <si>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</si>
  <si>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</si>
  <si>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GERENTE PROGRAMA</t>
  </si>
  <si>
    <t>COORDINADOR GIT</t>
  </si>
  <si>
    <t>Hoja "Prestación de servicios personales"</t>
  </si>
  <si>
    <t>Presupuesto - modalidad contrato - prestación de servicios personales</t>
  </si>
  <si>
    <t>Directa</t>
  </si>
  <si>
    <t>Prestar los servicios profesionales para apoyar las actividades técnicas y administrativas, requeridas en el desarrollo del grupo Gestión Integral del Recurso Hídrico en la Subdirección de Gestión Ambiental</t>
  </si>
  <si>
    <t>CONTRATISTA:</t>
  </si>
  <si>
    <t>Daniel Alveiro Rodríguez Vanegas</t>
  </si>
  <si>
    <t>NOMBRE SUPERVISOR O INTERVENTOR:</t>
  </si>
  <si>
    <t>Juan Fernando Gaviria Suárez</t>
  </si>
  <si>
    <t>4 meses y 15 días</t>
  </si>
  <si>
    <t>Mensual</t>
  </si>
  <si>
    <t>Meses</t>
  </si>
  <si>
    <t>Agosto</t>
  </si>
  <si>
    <t>Septiembre</t>
  </si>
  <si>
    <t>Octubre</t>
  </si>
  <si>
    <t>Diciembre</t>
  </si>
  <si>
    <t xml:space="preserve">Valor del contrato </t>
  </si>
  <si>
    <t xml:space="preserve">Valor de la adición </t>
  </si>
  <si>
    <t>Valor total del contrato (incluida la adición)</t>
  </si>
  <si>
    <t>Hoja "Modalidad y presupuesto del contrato"</t>
  </si>
  <si>
    <t>COSTOS DE PERSONAL</t>
  </si>
  <si>
    <t>Recursos por alcance, actividad o subactividad</t>
  </si>
  <si>
    <t>Ítem</t>
  </si>
  <si>
    <t>Cantidad personal</t>
  </si>
  <si>
    <t>(%) Dedicación</t>
  </si>
  <si>
    <t>Cantidad</t>
  </si>
  <si>
    <t>Valor unitario base</t>
  </si>
  <si>
    <t>Valor total</t>
  </si>
  <si>
    <t>(%) PP</t>
  </si>
  <si>
    <t>Mano de Obra Calificada</t>
  </si>
  <si>
    <t>Subtotal Mano de Obra calificada</t>
  </si>
  <si>
    <t>Mano de Obra No Calificada</t>
  </si>
  <si>
    <t>Subtotal Mano de Obra no Calificada</t>
  </si>
  <si>
    <t>SUBTOTAL PERSONAL (Mano de Obra Calificada + Mano de Obra no Calificada)</t>
  </si>
  <si>
    <t>COSTOS (Diferentes a los costos del personal)</t>
  </si>
  <si>
    <t>Valor unitario</t>
  </si>
  <si>
    <t>SUBTOTAL COSTOS (Diferentes a los costos del personal)</t>
  </si>
  <si>
    <t>SUBTOTAL (antes de AU e IVA)</t>
  </si>
  <si>
    <t>Administración</t>
  </si>
  <si>
    <t>Gastos de administración</t>
  </si>
  <si>
    <t>Utilidad</t>
  </si>
  <si>
    <t>IVA</t>
  </si>
  <si>
    <t>Info IVA</t>
  </si>
  <si>
    <t>TOTAL (incluido AU e IVA)</t>
  </si>
  <si>
    <t>RESUMEN POR CONCEPTO</t>
  </si>
  <si>
    <t>(%) PP (SUBTOTAL)</t>
  </si>
  <si>
    <t>(%) PP (TOTAL)</t>
  </si>
  <si>
    <t>NA</t>
  </si>
  <si>
    <t>RESUMEN POR ALCANCES, ACTIVIDADES O SUBACTIVIDADES</t>
  </si>
  <si>
    <t>Alcance, actividad o subactividad</t>
  </si>
  <si>
    <t>Subtotal (Costos de personal y diferentes de personal)</t>
  </si>
  <si>
    <t>Costos de administración Y/O utilidad si aplican</t>
  </si>
  <si>
    <t>IVA (Si aplica)</t>
  </si>
  <si>
    <t>TOTAL</t>
  </si>
  <si>
    <t>¿Es alcance de obra? (Si, No)</t>
  </si>
  <si>
    <t>Hoja "Presupuesto - modalidad contrato - prestación de servicios personales"</t>
  </si>
  <si>
    <t>Plan de ejecución física y de inversiones - prestación de servicios personales</t>
  </si>
  <si>
    <t>Factor prestacional</t>
  </si>
  <si>
    <t xml:space="preserve">Profesional especializado con experiencia </t>
  </si>
  <si>
    <t>Mes</t>
  </si>
  <si>
    <t>Tabla de honorarios</t>
  </si>
  <si>
    <t>SUBTOTAL</t>
  </si>
  <si>
    <t>Solo aplica en caso que la persona natural sea responsable de IVA</t>
  </si>
  <si>
    <t>Hoja "Presupuesto - Modalidad convenio"</t>
  </si>
  <si>
    <t>FUENTES DE COFINANCIACIÓN</t>
  </si>
  <si>
    <t>Recursos en dinero de CORANTIOQUIA por alcance, actividad o subactividad</t>
  </si>
  <si>
    <t>CORANTIOQUIA</t>
  </si>
  <si>
    <t xml:space="preserve">Entidad 1: </t>
  </si>
  <si>
    <t>DINERO</t>
  </si>
  <si>
    <t>ESPECIE</t>
  </si>
  <si>
    <t>Entidad 1:</t>
  </si>
  <si>
    <t>SUBTOTAL (antes de administración)</t>
  </si>
  <si>
    <t>TOTAL APORTES EN DINERO (antes de administración)</t>
  </si>
  <si>
    <t>Gastos de administración u operativos</t>
  </si>
  <si>
    <t>TOTAL (incluido administración)</t>
  </si>
  <si>
    <t>Total</t>
  </si>
  <si>
    <t>%</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</si>
  <si>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</si>
  <si>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</si>
  <si>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RESUMEN POR ALCANCES, ACTIVIDADES O SUBACTIVIDADES - RECURSOS EN DINERO CORANTIOQUIA</t>
  </si>
  <si>
    <t>Subtotal en dinero (Costos de personal y diferentes de personal)</t>
  </si>
  <si>
    <t>Costos de administración u operativos, si aplica</t>
  </si>
  <si>
    <t>Hoja "Memoria de cálculo - opción 1"</t>
  </si>
  <si>
    <t>PROCESO/ ALCANCE / ACTIVIDAD:</t>
  </si>
  <si>
    <t>UNIDAD DE MEDIDA PARA EL PRECIO UNITARIO:</t>
  </si>
  <si>
    <t>ESPECIFICACIÓN TÉCNICA PARA EL PRECIO UNITARIO:</t>
  </si>
  <si>
    <t xml:space="preserve">Valor unitario </t>
  </si>
  <si>
    <t xml:space="preserve">Valor total </t>
  </si>
  <si>
    <t>SUBTOTAL (antes de IVA)</t>
  </si>
  <si>
    <t>TOTAL (incluido IVA)</t>
  </si>
  <si>
    <t>Hoja "Memoria de cálculo - opción 2"</t>
  </si>
  <si>
    <t>DISCRIMINACIÓN DE COSTOS</t>
  </si>
  <si>
    <t>SUBTOTAL COSTOS DE PERSONAL</t>
  </si>
  <si>
    <t xml:space="preserve">Valor total oferente </t>
  </si>
  <si>
    <t>COSTOS DE MATERIALES Y SUMINISTROS</t>
  </si>
  <si>
    <t>SUBTOTAL COSTOS DE MATERIALES Y SUMINISTROS</t>
  </si>
  <si>
    <t>COSTOS DE MAQUINARIA Y EQUIPO</t>
  </si>
  <si>
    <t>SUBTOTAL COSTOS DE MAQUINARIA Y EQUIPO</t>
  </si>
  <si>
    <t>OTROS COSTOS</t>
  </si>
  <si>
    <t>SUBTOTAL OTROS COSTOS</t>
  </si>
  <si>
    <t>¿ES UN CONTRATO O REQUIERE CONTRATO DERIVADO?</t>
  </si>
  <si>
    <t>No</t>
  </si>
  <si>
    <t>Unidades</t>
  </si>
  <si>
    <t>Observaciones:</t>
  </si>
  <si>
    <t>Hoja "Memoria de cálculo - opción 3"</t>
  </si>
  <si>
    <t>ACTIVIDAD 1</t>
  </si>
  <si>
    <t>OTROS COSTOS (Diferentes a los costos de personal)</t>
  </si>
  <si>
    <t>SUBTOTAL ACTIVIDAD</t>
  </si>
  <si>
    <t>Si</t>
  </si>
  <si>
    <t>Costo unitario (antes de administración, utilidad e IVA si aplican)</t>
  </si>
  <si>
    <r>
      <rPr>
        <b/>
        <sz val="10"/>
        <rFont val="Arial"/>
        <family val="2"/>
        <charset val="1"/>
      </rPr>
      <t>Descripción</t>
    </r>
    <r>
      <rPr>
        <sz val="10"/>
        <rFont val="Arial"/>
        <family val="2"/>
        <charset val="1"/>
      </rPr>
      <t>:</t>
    </r>
  </si>
  <si>
    <t>Costo unitario sin MO (antes de administración, utilidad e IVA si aplican)</t>
  </si>
  <si>
    <t>ACTIVIDAD 2</t>
  </si>
  <si>
    <t>ACTIVIDAD 3</t>
  </si>
  <si>
    <t>Costo unitario sin MO  (antes de administración, utilidad e IVA si aplican)</t>
  </si>
  <si>
    <t>ACTIVIDAD 4</t>
  </si>
  <si>
    <t>ACTIVIDAD 5</t>
  </si>
  <si>
    <t>ACTIVIDAD 6</t>
  </si>
  <si>
    <t>Hoja "Estudio de mercado"</t>
  </si>
  <si>
    <t>NÚMERO DE RADICADO:</t>
  </si>
  <si>
    <t>PROVEEDOR:</t>
  </si>
  <si>
    <t>Valor unitario antes de IVA</t>
  </si>
  <si>
    <t>PROMEDIO
Valor unitario antes de IVA</t>
  </si>
  <si>
    <t>MEDIANA 
Valor unitario antes de IVA</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</si>
  <si>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</si>
  <si>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Hoja "Determinación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</si>
  <si>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</si>
  <si>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</si>
  <si>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</si>
  <si>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</si>
  <si>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</si>
  <si>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</si>
  <si>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TOTAL Porcentaje de gastos de administración a reconocer por análisis de contrato derivado (Sobre los costos directos en dinero del no ejecutor)</t>
  </si>
  <si>
    <t>Hoja "Identificación de bienes nacionales relevantes"</t>
  </si>
  <si>
    <r>
      <rPr>
        <sz val="10"/>
        <color theme="1"/>
        <rFont val="Arial"/>
        <family val="2"/>
        <charset val="1"/>
      </rPr>
      <t xml:space="preserve">El artículo 2 del Decreto 680 de 2021 adicionó el artículo 2.2.1.2.4.2.9 al Decreto 1082 de 2015, en cuanto a que, en la contratación de servicios, la entidad deberá otorgar el puntaje establecido en el artículo 2 de la Ley 816 de 2003 al proponente que oferte servicios nacionales o servicios extranjeros con trato nacional de acuerdo a la regla de origen aplicable y menciona que: 
“En los contratos que deban cumplirse en Colombia, la Entidad Estatal definirá de manera razonable y proporcionada los bienes colombianos relevantes teniendo en cuenta:
1. El análisis del sector económico y de los oferentes, y, toda aquella información adicional con la que cuente la Entidad Estatal en la etapa de planeación del Proceso de Contratación;
2. El porcentaje de participación de los bienes en el presupuesto del Proceso de Contratación; y
3. La existencia de los bienes en el Registro de Productores de Bienes Nacionales, en los términos del Decreto 2680 de 2009 o las normas que lo modifiquen, aclaren, adicionen o sustituyan.
</t>
    </r>
    <r>
      <rPr>
        <b/>
        <sz val="10"/>
        <color theme="1"/>
        <rFont val="Arial"/>
        <family val="2"/>
        <charset val="1"/>
      </rPr>
      <t xml:space="preserve">En aquellos casos en que, de acuerdo con el objeto contractual, no existan bienes colombianos relevantes o no exista oferta nacional de los mismos en el Registro de Productores de Bienes Nacionales, la Entidad Estatal otorgará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0"/>
        <color theme="1"/>
        <rFont val="Arial"/>
        <family val="2"/>
        <charset val="1"/>
      </rPr>
      <t xml:space="preserve"> 
La Entidad Estatal documentará este análisis y dejará constancia en los Documentos del Proceso”</t>
    </r>
  </si>
  <si>
    <t xml:space="preserve">Teniendo en cuenta lo anterior, la Corporación determina la siguiente metodología, considerando la información y herramientas dispuestas para ello por Colombia Compra Eficiente (https://bienesrelevantes.colombiacompra.gov.co/), para identificar los “Bienes Colombianos Relevantes” para cada proceso de selección, que le aplique, aclarando que hay 2 opciones para otorgar puntaje por Estímulo A La Industria Nacional Colombiana, los cuales son, por Bienes Nacionales Relevantes, o por porcentaje de personal colombiano vinculado, y esto dependerá del resultado del siguiente análisis. </t>
  </si>
  <si>
    <r>
      <rPr>
        <b/>
        <sz val="10"/>
        <color theme="1"/>
        <rFont val="Arial"/>
        <family val="2"/>
        <charset val="1"/>
      </rPr>
      <t xml:space="preserve">1. El análisis del sector económico y de los oferentes, y, toda aquella información adicional con la que cuente la Entidad Estatal en la etapa de planeación del Proceso de Contratación.
</t>
    </r>
    <r>
      <rPr>
        <sz val="10"/>
        <color theme="1"/>
        <rFont val="Arial"/>
        <family val="2"/>
        <charset val="1"/>
      </rPr>
      <t xml:space="preserve">Se parte de la identificación de los bienes dentro del presupuesto oficial (o sus memorias de cálculos), para ello el técnico debe diligenciar, el cuadro 1. Lista de bienes. Entendiendo por bien cualquier elemento tangible o material que para el presente proceso se compre o adquiera de manera definitiva, considerar que en todo caso el valor unitario debe de ser antes de IVA, si hay un ítem igual en varias actividades consolidar las cantidades requeridas del mismo para todo el proceso.
</t>
    </r>
  </si>
  <si>
    <t>CUADRO 1. LISTA DE BIENES</t>
  </si>
  <si>
    <t>PP</t>
  </si>
  <si>
    <t>N.</t>
  </si>
  <si>
    <t>VALOR TOTAL DE LOS BIENES</t>
  </si>
  <si>
    <r>
      <rPr>
        <b/>
        <sz val="10"/>
        <color theme="1"/>
        <rFont val="Arial"/>
        <family val="2"/>
        <charset val="1"/>
      </rPr>
      <t xml:space="preserve">2. El porcentaje de participación de los bienes en el presupuesto del Proceso de Contratación
</t>
    </r>
    <r>
      <rPr>
        <sz val="10"/>
        <color theme="1"/>
        <rFont val="Arial"/>
        <family val="2"/>
        <charset val="1"/>
      </rPr>
      <t xml:space="preserve">En un segundo momento, se determina el porcentaje de participación de los bienes en el presupuesto según la metología dispuesta por Colombia Compra Eficiente (https://bienesrelevantes.colombiacompra.gov.co/), para elllo el cuadro 2. Porcentaje de participación de los bienes, se rellena automáticamente de acuerdo con la información diligenciada en el cuadro 1. Lista de bienes. De acuerdo al porcentaje de participación se identifica si es una un bien relevante.
</t>
    </r>
  </si>
  <si>
    <t>CUADRO 2. PORCENTAJE DE PARTICIPACIÓN DE LOS BIENES</t>
  </si>
  <si>
    <t>Bien relevante</t>
  </si>
  <si>
    <t>Ubicación</t>
  </si>
  <si>
    <t>Porcentaje de participación</t>
  </si>
  <si>
    <t>Porcentaje de participación acumulado</t>
  </si>
  <si>
    <t>¿Está dentro del 80% del porcentaje acumulado?</t>
  </si>
  <si>
    <t>¿Es un bien relevante?</t>
  </si>
  <si>
    <t>PROMEDIO (PORCENTAJE DE PARTICIPACIÓN) DE LOS BIENES QUE REPRESENTAN EL 80 % DE MAYOR PARTICIPACIÓN</t>
  </si>
  <si>
    <r>
      <rPr>
        <b/>
        <sz val="10"/>
        <color theme="1"/>
        <rFont val="Arial"/>
        <family val="2"/>
        <charset val="1"/>
      </rPr>
      <t xml:space="preserve">3. La existencia de los bienes en el Registro de Productores de Bienes Nacionales, en los términos del Decreto 2680 de 2009 o las normas que lo modifiquen, aclaren, adicionen o sustituyan.
</t>
    </r>
    <r>
      <rPr>
        <sz val="10"/>
        <color theme="1"/>
        <rFont val="Arial"/>
        <family val="2"/>
        <charset val="1"/>
      </rPr>
      <t xml:space="preserve">Por último, para los bienes que en el cuadro 2. Porcentaje de participación de los bienes, hayan sido identificados como bienes relevantes, se debe consultar (http://pbn.vuce.gov.co/consultas/index.php) si están incluidos en el Registro de Productores de Bienes Nacionales (RPBN) – Decreto 2680 de 2009, y consignar la información en el cuadro 3. Bienes relevantes en el RPBN
</t>
    </r>
    <r>
      <rPr>
        <b/>
        <sz val="10"/>
        <color theme="1"/>
        <rFont val="Arial"/>
        <family val="2"/>
        <charset val="1"/>
      </rPr>
      <t xml:space="preserve">
Si los bienes están incluidos en el RPBN, se aplica la metodología explicada en la Resolución 304 de 202</t>
    </r>
    <r>
      <rPr>
        <sz val="10"/>
        <color theme="1"/>
        <rFont val="Arial"/>
        <family val="2"/>
        <charset val="1"/>
      </rPr>
      <t xml:space="preserve">1.
</t>
    </r>
    <r>
      <rPr>
        <b/>
        <sz val="10"/>
        <color theme="1"/>
        <rFont val="Arial"/>
        <family val="2"/>
        <charset val="1"/>
      </rPr>
      <t xml:space="preserve">
Si los bienes no están incluidos en el RPBN, la Entidad otorgará el puntaje a los proponentes que se comprometan a vincular al desarrollo del objeto contractual un porcentaje de empleados o contratistas por prestación de servicios colombianos de al menos el cuarenta por ciento (40 %) del personal requerido para el cumplimiento del contrato.</t>
    </r>
  </si>
  <si>
    <t>CUADRO 3. BIENES RELEVANTES EN EL RPBN</t>
  </si>
  <si>
    <t xml:space="preserve">Para buscar en el RPBN: </t>
  </si>
  <si>
    <t>http://pbn.vuce.gov.co/consultas/index.php</t>
  </si>
  <si>
    <t>¿Está en el RPBN?</t>
  </si>
  <si>
    <t>Observaciones</t>
  </si>
  <si>
    <t>Hoja "Propuesta económica - Opción 1"</t>
  </si>
  <si>
    <t>NÚMERO DE PROCESO:</t>
  </si>
  <si>
    <t>PROPUESTA ECONÓMICA</t>
  </si>
  <si>
    <t>Valor unitario referencia corporación antes de IVA</t>
  </si>
  <si>
    <t>Valor unitario oferente antes de IVA</t>
  </si>
  <si>
    <t xml:space="preserve">VALOR TOTAL OFERENTE ANTES DE IVA </t>
  </si>
  <si>
    <t>IVA (19%)</t>
  </si>
  <si>
    <t xml:space="preserve">VALOR TOTAL OFERENTE DESPUÉS DE IVA </t>
  </si>
  <si>
    <t>_____________________________
Firma del oferente: 
Nombre del representante legal:
Número de documento:</t>
  </si>
  <si>
    <t>NOTAS</t>
  </si>
  <si>
    <t>Hoja "Propuesta económica - Opción 2"</t>
  </si>
  <si>
    <t xml:space="preserve">Valor unitario referencia corporación antes de IVA
</t>
  </si>
  <si>
    <t>Hoja "Propuesta económica - Opción 3"</t>
  </si>
  <si>
    <t>SUBTOTAL ACTIVIDAD 1</t>
  </si>
  <si>
    <t>SUBTOTAL ACTIVIDAD 2</t>
  </si>
  <si>
    <t>SUBTOTAL ACTIVIDAD 3</t>
  </si>
  <si>
    <t>Hoja "Estimación PAB Comparación Absoluta"</t>
  </si>
  <si>
    <t>En la comparación absoluta la Entidad Estatal contrasta el valor de cada oferta con el costo estimado de la provisión del bien o servicio de acuerdo con en el Estudio del Sector elaborado por la Entidad Estatal. Cuando la Entidad Estatal recibe menos de 5 ofertas debe solicitar aclaración a los proponentes cuyas ofertas sean menores en un 20%, o un mayor porcentaje, al costo total estimado por la Entidad Estatal. (Guía Colombia Compra Eficiente Ofertas Artificialmente Bajas, pág.5). 
Como la Guía de Colombia Compra Eficiente tiene un vacío para el uso de metodologías en el caso de presentarse 5 ofertas, Corantioquia en dicho caso utilizará la comparación absoluta, y solo utilizará la comparación relativa si se presentan más de 5 ofertas.</t>
  </si>
  <si>
    <t>En los contratos por pluralidad de oferentes al momento de subir el presente libro a la plataforma secop, el asesor jurídico y el asesor técnico, deberán ocultar la presente hoja, solo colocando a disposición de los oferentes el acta de PAB debidamente radicada, en el momento adecuado para ello.</t>
  </si>
  <si>
    <t>ESTIMACIÓN PAB COMPARACIÓN ABSOLUTA POR EL PRESUPUESTO TOTAL</t>
  </si>
  <si>
    <t>Valor presupuesto total antes de IVA</t>
  </si>
  <si>
    <t>Porcentaje base</t>
  </si>
  <si>
    <t>Valor base para determinar PAB</t>
  </si>
  <si>
    <t>PAB Comparación absoluta</t>
  </si>
  <si>
    <t>ESTIMACIÓN PAB COMPARACIÓN ABSOLUTA POR LOTE</t>
  </si>
  <si>
    <t>Lote</t>
  </si>
  <si>
    <t>Valor total lote antes de IVA</t>
  </si>
  <si>
    <t xml:space="preserve">Valor total lote base para determinar PAB </t>
  </si>
  <si>
    <t>PAB unitario Comparación absoluta</t>
  </si>
  <si>
    <t>ESTIMACIÓN PAB COMPARACIÓN ABSOLUTA POR UNIDAD</t>
  </si>
  <si>
    <t>Valor unitario presupuesto antes de IVA</t>
  </si>
  <si>
    <t xml:space="preserve">Valor unitario base para determinar PAB </t>
  </si>
  <si>
    <t>ESTIMACIÓN PAB COMPARACIÓN ABSOLUTA POR LOTE - UNIDAD</t>
  </si>
  <si>
    <t>Lote 1:</t>
  </si>
  <si>
    <t>Adquisición de equipos informáticos</t>
  </si>
  <si>
    <t>Lote 2 :</t>
  </si>
  <si>
    <t>Adquisición de insumos informáticos</t>
  </si>
  <si>
    <t>Hoja "Estimación PAB Comparación Relativa"</t>
  </si>
  <si>
    <r>
      <rPr>
        <sz val="10"/>
        <rFont val="Arial"/>
        <family val="2"/>
        <charset val="1"/>
      </rPr>
      <t xml:space="preserve">Colombia Compra Eficiente presenta la siguiente metodología (comparación relativa) como sugerencia para que las Entidades Estatales identifiquen la posibilidad de precios artificialmente bajos cuando </t>
    </r>
    <r>
      <rPr>
        <b/>
        <sz val="10"/>
        <rFont val="Arial"/>
        <family val="2"/>
        <charset val="1"/>
      </rPr>
      <t>hay más de 5 ofertas</t>
    </r>
    <r>
      <rPr>
        <sz val="10"/>
        <rFont val="Arial"/>
        <family val="2"/>
        <charset val="1"/>
      </rPr>
      <t xml:space="preserve"> en un Proceso de Contratación (Guía Colombia Compra Eficiente Ofertas Artificialmente Bajas, pág.5). </t>
    </r>
  </si>
  <si>
    <t>ESTIMACIÓN PAB COMPARACIÓN RELATIVA POR EL PRESUPUESTO TOTAL</t>
  </si>
  <si>
    <t>Oferente</t>
  </si>
  <si>
    <t>NIT</t>
  </si>
  <si>
    <t>Valor total antes de IVA</t>
  </si>
  <si>
    <t>MEDIANA</t>
  </si>
  <si>
    <t>DESVIACIÓN ESTÁNDAR</t>
  </si>
  <si>
    <t>VALOR MÍNIMO ACEPTABLE</t>
  </si>
  <si>
    <t>ESTIMACIÓN PAB COMPARACIÓN RELATIVA POR LOTE</t>
  </si>
  <si>
    <t>LOTE 1. XXXXXX</t>
  </si>
  <si>
    <t>LOTE 2. XXXXXX</t>
  </si>
  <si>
    <t>Valor total antes de IVA lote</t>
  </si>
  <si>
    <t>ESTIMACIÓN PAB COMPARACIÓN RELATIVA POR UNIDAD</t>
  </si>
  <si>
    <t>ÍTEM / Oferente (Valor unitario antes de IVA)</t>
  </si>
  <si>
    <t>ESTIMACIÓN PAB COMPARACIÓN RELATIVA POR LOTE - UNIDAD</t>
  </si>
  <si>
    <t>Lote 2:</t>
  </si>
  <si>
    <t>Hoja "Verificación de requisitos habilitantes de los proponentes sobre capacidad financiera y organizacional"</t>
  </si>
  <si>
    <t xml:space="preserve">VERIFICACIÓN DE REQUISITOS HABILITANTES DE LOS PROPONENTES SOBRE CAPACIDAD FINANCIERA Y ORGANIZACIONAL - GENERALES- </t>
  </si>
  <si>
    <t xml:space="preserve">CALIFICACIÓN </t>
  </si>
  <si>
    <t>INDICADOR FINANCIERO</t>
  </si>
  <si>
    <t>REGISTRO ÚNICO DE PROPONENTES</t>
  </si>
  <si>
    <t>FECHA DE CORTE DE LA INFORMACIÓN FINANCIERA</t>
  </si>
  <si>
    <t>LIQUIDEZ</t>
  </si>
  <si>
    <t>NIVEL DE ENDEUDAMIENTO</t>
  </si>
  <si>
    <t>RAZÓN DE COBERTURA DE INTERESES</t>
  </si>
  <si>
    <t>RENTABILIDAD DEL PATRIMONIO</t>
  </si>
  <si>
    <t>RENTABILIDAD DEL ACTIVO</t>
  </si>
  <si>
    <t>CUMPLE</t>
  </si>
  <si>
    <t>NO CUMPLE</t>
  </si>
  <si>
    <t xml:space="preserve">CRITERIOS
PROPONENTES
                                                                                                                                                                                           </t>
  </si>
  <si>
    <t>RUP EN FIRME</t>
  </si>
  <si>
    <t>MAYOR A UNO (1)</t>
  </si>
  <si>
    <t>MENOR O IGUAL AL  SETENTA POR CIENTO (70%).</t>
  </si>
  <si>
    <t>POSITIVA MAYOR O IGUAL A DOS (2) / Indeterminada</t>
  </si>
  <si>
    <t>MAYOR  AL UNO POR CIENTO (1%).</t>
  </si>
  <si>
    <t>VERIFICACIÓN DE REQUISITOS HABILITANTES DE LOS PROPONENTES SOBRE CAPACIDAD FINANCIERA Y ORGANIZACIONAL - DIFERENCIALES-</t>
  </si>
  <si>
    <t>MENOR O IGUAL AL OCHENTA POR CIENTO (80%).</t>
  </si>
  <si>
    <t>POSITIVA MAYOR O IGUAL A UNO PUNTO CINCO (1,5) / Indeterminada</t>
  </si>
  <si>
    <t>MAYOR O IGUAL AL CERO PUNTO CINCO POR CIENTO (0,5%).</t>
  </si>
  <si>
    <t>CALIFICACIÓN DE INDICADORES:</t>
  </si>
  <si>
    <r>
      <rPr>
        <b/>
        <sz val="10"/>
        <color rgb="FF000000"/>
        <rFont val="Arial"/>
        <family val="2"/>
        <charset val="1"/>
      </rPr>
      <t xml:space="preserve">CUMPLE: </t>
    </r>
    <r>
      <rPr>
        <sz val="10"/>
        <color rgb="FF000000"/>
        <rFont val="Arial"/>
        <family val="2"/>
        <charset val="1"/>
      </rPr>
      <t>Si la totalidad de los indicadores presentados por el proponente en el RUP guardan correspondencia con los mínimos exigidos por la CORPORACION.</t>
    </r>
  </si>
  <si>
    <r>
      <rPr>
        <b/>
        <sz val="10"/>
        <color rgb="FF000000"/>
        <rFont val="Arial"/>
        <family val="2"/>
        <charset val="1"/>
      </rPr>
      <t>NO CUMPLE:</t>
    </r>
    <r>
      <rPr>
        <sz val="10"/>
        <color rgb="FF000000"/>
        <rFont val="Arial"/>
        <family val="2"/>
        <charset val="1"/>
      </rPr>
      <t xml:space="preserve"> Cuando al menos uno de los indicadores presentados por el proponente en el RUP no guarda correspondencia con los mínimos exigidos por la CORPORACION .</t>
    </r>
  </si>
  <si>
    <t>_____________________________________________________</t>
  </si>
  <si>
    <t xml:space="preserve">Asesor(a) Financier(a) - Comité Asesor y Evaluador </t>
  </si>
  <si>
    <t>Subdirección Administrativa y Financiera</t>
  </si>
  <si>
    <t>Hoja "Subasta inversa - Análisis de habilitados"</t>
  </si>
  <si>
    <t>Subrayar:</t>
  </si>
  <si>
    <r>
      <rPr>
        <b/>
        <sz val="10"/>
        <color theme="1"/>
        <rFont val="Arial"/>
        <family val="2"/>
        <charset val="1"/>
      </rPr>
      <t>Amarillo:</t>
    </r>
    <r>
      <rPr>
        <sz val="10"/>
        <color rgb="FF000000"/>
        <rFont val="Arial"/>
        <family val="2"/>
        <charset val="1"/>
      </rPr>
      <t xml:space="preserve"> Están pendientes de Póliza la cual será validada en la subasta.</t>
    </r>
  </si>
  <si>
    <r>
      <rPr>
        <b/>
        <sz val="10"/>
        <color theme="1"/>
        <rFont val="Arial"/>
        <family val="2"/>
        <charset val="1"/>
      </rPr>
      <t>Rojo:</t>
    </r>
    <r>
      <rPr>
        <sz val="10"/>
        <color rgb="FF000000"/>
        <rFont val="Arial"/>
        <family val="2"/>
        <charset val="1"/>
      </rPr>
      <t xml:space="preserve"> No cumplen.</t>
    </r>
  </si>
  <si>
    <t>LOTE 1</t>
  </si>
  <si>
    <t xml:space="preserve">OFERENTE </t>
  </si>
  <si>
    <t>ORDEN TÉCNICO</t>
  </si>
  <si>
    <t>ORDEN JURÍDICO</t>
  </si>
  <si>
    <t>ORDEN FINANCIERO</t>
  </si>
  <si>
    <t>HABILITADO/ NO HABILITADO</t>
  </si>
  <si>
    <t xml:space="preserve">CUMPLE / NO CUMPLE </t>
  </si>
  <si>
    <t>LOTE 2</t>
  </si>
  <si>
    <t>LOTE 3</t>
  </si>
  <si>
    <t>Hoja "Subasta inversa presencial - Análisis de lances"</t>
  </si>
  <si>
    <t>SUBASTA INVERSA PRESENCIAL:</t>
  </si>
  <si>
    <t xml:space="preserve">Número:                              Año: </t>
  </si>
  <si>
    <t>NÚMERO DE LOTE:</t>
  </si>
  <si>
    <t>MARGEN MÍNIMO DE MEJORA DE OFERTA:</t>
  </si>
  <si>
    <t>Numeral P.C.</t>
  </si>
  <si>
    <t>EL VALOR DEL LANCE DEBERA CORRESPONDER AL VALOR ANTES DE IVA</t>
  </si>
  <si>
    <t>PRECIO DE ARRANQUE</t>
  </si>
  <si>
    <t>MARGEN MÍNIMO DE MEJORA DE OFERTA</t>
  </si>
  <si>
    <t>PRECIO MÁXIMO PARA EL LANCE No. 1</t>
  </si>
  <si>
    <t>PRECIO OFERTADO EN EL LANCE No.1</t>
  </si>
  <si>
    <t>PRECIO MÁXIMO PARA EL LANCE No. 2</t>
  </si>
  <si>
    <t>PRECIO OFERTADO EN EL LANCE No.2</t>
  </si>
  <si>
    <t>PRECIO MÁXIMO PARA EL LANCE No. 3</t>
  </si>
  <si>
    <t>PRECIO OFERTADO EN EL LANCE No.3</t>
  </si>
  <si>
    <t>PRECIO MÁXIMO PARA EL LANCE No. 4</t>
  </si>
  <si>
    <t>PRECIO OFERTADO EN EL LANCE No.4</t>
  </si>
  <si>
    <t>PRECIO MÁXIMO PARA EL LANCE No. 5</t>
  </si>
  <si>
    <t>PRECIO OFERTADO EN EL LANCE No.5</t>
  </si>
  <si>
    <t>PRECIO MÁXIMO PARA EL LANCE No. 6</t>
  </si>
  <si>
    <t>PRECIO OFERTADO EN EL LANCE No.6</t>
  </si>
  <si>
    <t>PRECIO MÁXIMO PARA EL LANCE No. 7</t>
  </si>
  <si>
    <t>PRECIO OFERTADO EN EL LANCE No.7</t>
  </si>
  <si>
    <t>PRECIO MÁXIMO PARA EL LANCE No. 8</t>
  </si>
  <si>
    <t>PRECIO OFERTADO EN EL LANCE No.8</t>
  </si>
  <si>
    <t>PRECIO MÁXIMO PARA EL LANCE No. 9</t>
  </si>
  <si>
    <t>PRECIO OFERTADO EN EL LANCE No.9</t>
  </si>
  <si>
    <t>PRECIO MÁXIMO PARA EL LANCE No. 10</t>
  </si>
  <si>
    <t>PRECIO OFERTADO EN EL LANCE No.10</t>
  </si>
  <si>
    <t>PRECIO MÁXIMO PARA EL LANCE No. 11</t>
  </si>
  <si>
    <t>PRECIO OFERTADO EN EL LANCE No.11</t>
  </si>
  <si>
    <t>PRECIO MÁXIMO PARA EL LANCE No. 12</t>
  </si>
  <si>
    <t>PRECIO OFERTADO EN EL LANCE No.12</t>
  </si>
  <si>
    <t>PRECIO MÁXIMO PARA EL LANCE No. 13</t>
  </si>
  <si>
    <t>PRECIO OFERTADO EN EL LANCE No.13</t>
  </si>
  <si>
    <t>PRECIO MÁXIMO PARA EL LANCE No. 14</t>
  </si>
  <si>
    <t>PRECIO OFERTADO EN EL LANCE No.14</t>
  </si>
  <si>
    <t>PRECIO MÁXIMO PARA EL LANCE No. 15</t>
  </si>
  <si>
    <t>PRECIO OFERTADO EN EL LANCE No.15</t>
  </si>
  <si>
    <t>PRECIO MÁXIMO PARA EL LANCE No. 16</t>
  </si>
  <si>
    <t>PRECIO OFERTADO EN EL LANCE No.16</t>
  </si>
  <si>
    <t>PRECIO MÁXIMO PARA EL LANCE No. 17</t>
  </si>
  <si>
    <t>PRECIO OFERTADO EN EL LANCE No.17</t>
  </si>
  <si>
    <t>PRECIO MÁXIMO PARA EL LANCE No. 18</t>
  </si>
  <si>
    <t>PRECIO OFERTADO EN EL LANCE No.18</t>
  </si>
  <si>
    <t>PRECIO MÁXIMO PARA EL LANCE No. 19</t>
  </si>
  <si>
    <t>PRECIO OFERTADO EN EL LANCE No.19</t>
  </si>
  <si>
    <t>PRECIO MÁXIMO PARA EL LANCE No. 20</t>
  </si>
  <si>
    <t>PRECIO OFERTADO EN EL LANCE No. 20</t>
  </si>
  <si>
    <t>PRECIO MÁXIMO PARA EL LANCE No. 21</t>
  </si>
  <si>
    <t>Hoja "Subasta inversa presencial - Lances de precios"</t>
  </si>
  <si>
    <t>FORMULARIO NRO. 1 
PARA LANCES DE PRECIOS</t>
  </si>
  <si>
    <t>PROCESO:</t>
  </si>
  <si>
    <t>Selección Abreviada Subasta Inversa N° ______  de _________</t>
  </si>
  <si>
    <t>LOTE:</t>
  </si>
  <si>
    <t>OBJETO:</t>
  </si>
  <si>
    <t>CLAVE DEL OFERENTE:</t>
  </si>
  <si>
    <t>NRO DE LANCE:</t>
  </si>
  <si>
    <t>VALOR DEL LANCE:</t>
  </si>
  <si>
    <t>$</t>
  </si>
  <si>
    <t>NOMBRE:</t>
  </si>
  <si>
    <t>FIRMA:</t>
  </si>
  <si>
    <t>Hoja "Subasta inversa presencial - Declinación de lances"</t>
  </si>
  <si>
    <t>FORMULARIO NRO. 2 
MANIFESTACIÓN EN FORMA CLARA Y EXPRESA DE QUE NO SE PRESENTARÁ NI EFECTUARÁ MÁS LANCES</t>
  </si>
  <si>
    <t>DESISTE DEL LANCE:</t>
  </si>
  <si>
    <t>Hoja "Valores de gastos de desplazamiento y manutención"</t>
  </si>
  <si>
    <t>AÑO VIGENTE:</t>
  </si>
  <si>
    <t>MEMORANDO:</t>
  </si>
  <si>
    <t>190-MEM2505-3559</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</si>
  <si>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</si>
  <si>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</si>
  <si>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</si>
  <si>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</si>
  <si>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</si>
  <si>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Amaga</t>
  </si>
  <si>
    <t>Amalfi</t>
  </si>
  <si>
    <t>Andes</t>
  </si>
  <si>
    <t>Angelópolis</t>
  </si>
  <si>
    <t>Angostura</t>
  </si>
  <si>
    <t>Anorí</t>
  </si>
  <si>
    <t>Anzá</t>
  </si>
  <si>
    <t>Armenia mantequilla</t>
  </si>
  <si>
    <t>Barbosa</t>
  </si>
  <si>
    <t>N/A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</si>
  <si>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</si>
  <si>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</si>
  <si>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</si>
  <si>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</si>
  <si>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</si>
  <si>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</si>
  <si>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</si>
  <si>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</si>
  <si>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</si>
  <si>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</si>
  <si>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</si>
  <si>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</si>
  <si>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</si>
  <si>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</si>
  <si>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</si>
  <si>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</si>
  <si>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</si>
  <si>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</si>
  <si>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</si>
  <si>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</si>
  <si>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</si>
  <si>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</si>
  <si>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</si>
  <si>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</si>
  <si>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</si>
  <si>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</si>
  <si>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</si>
  <si>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</si>
  <si>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</si>
  <si>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</si>
  <si>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</si>
  <si>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</si>
  <si>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</si>
  <si>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</si>
  <si>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</si>
  <si>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</si>
  <si>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</si>
  <si>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</si>
  <si>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</si>
  <si>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</si>
  <si>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</si>
  <si>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</si>
  <si>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</si>
  <si>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</si>
  <si>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</si>
  <si>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</si>
  <si>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</si>
  <si>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</si>
  <si>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</si>
  <si>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</si>
  <si>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</si>
  <si>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</si>
  <si>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</si>
  <si>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</si>
  <si>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</si>
  <si>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</si>
  <si>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</si>
  <si>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</si>
  <si>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</si>
  <si>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</si>
  <si>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</si>
  <si>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</si>
  <si>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</si>
  <si>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</si>
  <si>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</si>
  <si>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</si>
  <si>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</si>
  <si>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</si>
  <si>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</si>
  <si>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</si>
  <si>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</si>
  <si>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$133.000.</t>
  </si>
  <si>
    <t>** El valor para reconocer por más de 4 horas sin pernocta corresponde a $67.000 y por cada pernocta $133.000. En los casos de los municipios del Área Metropolitana del Valle de Aburrá, se reconocerán $33.000 por manutención más los gastos de desplazamiento, de acuerdo con la tabla N°1; se aclara que en estos municipios está prohibido la pernocta.</t>
  </si>
  <si>
    <t xml:space="preserve">Tabla N.2 Gastos de desplazamiento y manutención por Territorial </t>
  </si>
  <si>
    <t>Territorial</t>
  </si>
  <si>
    <t xml:space="preserve">Promedio Valor total desplazamiento </t>
  </si>
  <si>
    <t>Valor total desplazamiento y manutención con (1) pernocta*</t>
  </si>
  <si>
    <t>Aburrá  Norte</t>
  </si>
  <si>
    <t>Aburrá Sur</t>
  </si>
  <si>
    <t>Cartama</t>
  </si>
  <si>
    <t>Citará</t>
  </si>
  <si>
    <t>Hevéxicos</t>
  </si>
  <si>
    <t>Panzenú</t>
  </si>
  <si>
    <t>Tahamíes</t>
  </si>
  <si>
    <t>Zenufaná</t>
  </si>
  <si>
    <t>** El valor para reconocer por más de 4 horas sin pernocta corresponde a $67.000 y por cada pernocta $133.000. En los casos de los municipios del Área Metropolitana del Valle de Aburrá, se reconocerán $33.000 por manutención más los gastos de desplazamiento; se aclara que en estos municipios está prohibido la pernocta.</t>
  </si>
  <si>
    <r>
      <rPr>
        <sz val="8"/>
        <color theme="1"/>
        <rFont val="Arial"/>
        <family val="2"/>
        <charset val="1"/>
      </rPr>
      <t xml:space="preserve">*** Para la Oficina Territorial Aburra Sur, el valor promedio total desplazamiento y manutención con (1) pernocta, </t>
    </r>
    <r>
      <rPr>
        <b/>
        <u/>
        <sz val="8"/>
        <color theme="1"/>
        <rFont val="Arial"/>
        <family val="2"/>
        <charset val="1"/>
      </rPr>
      <t>solo</t>
    </r>
    <r>
      <rPr>
        <sz val="8"/>
        <color theme="1"/>
        <rFont val="Arial"/>
        <family val="2"/>
        <charset val="1"/>
      </rPr>
      <t xml:space="preserve"> aplica para los municipios que siendo de esa jurisdicción no pertenecen al Área Metropolitana del Valle de Aburrá. </t>
    </r>
  </si>
  <si>
    <t>*** En los municipios que se encuentren ubicados en el Área Metropolitana del Valle de Aburrá, no se autoriza a pernoctar.</t>
  </si>
  <si>
    <t>Cuatro N.3 Gastos de desplazamiento y manutención general</t>
  </si>
  <si>
    <t>* Por cada día de pernocta adicional se reconocerán $120.000.</t>
  </si>
  <si>
    <t>** En caso de reconocer solo gastos de manutención, se contemplará $60.000 por más de 4 horas sin pernocta y $120.000 por cada pernocta. En los casos de los municipios de Medellín, Bello, Itagüí, Sabaneta y Envigado, se reconocerá el 50% del valor de la manutención correspondiente a $30.000.</t>
  </si>
  <si>
    <t>Se sugiere un valor de $30.000 para el trasporte entre municipios basado en el promedio valor de un solo tramo de Medellín al promedio de los municipios.</t>
  </si>
  <si>
    <t>Hoja "Valores de honorarios (Prestadores de servicios)</t>
  </si>
  <si>
    <t>190-MEM2512-8910</t>
  </si>
  <si>
    <t xml:space="preserve">Nivel Académico Requerido </t>
  </si>
  <si>
    <t xml:space="preserve">Valor mes Honorarios </t>
  </si>
  <si>
    <t>Asistencial</t>
  </si>
  <si>
    <t xml:space="preserve">Técnico </t>
  </si>
  <si>
    <t xml:space="preserve">Tecnólogo sin experiencia </t>
  </si>
  <si>
    <t xml:space="preserve">Tecnólogo </t>
  </si>
  <si>
    <t>Profesional</t>
  </si>
  <si>
    <t>Asesor o coordinador</t>
  </si>
  <si>
    <t>Nota</t>
  </si>
  <si>
    <t>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</si>
  <si>
    <t>Hoja "Valores de jornales"</t>
  </si>
  <si>
    <t>190-MEM2503-2165</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</si>
  <si>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</si>
  <si>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</si>
  <si>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</si>
  <si>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</si>
  <si>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</si>
  <si>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</si>
  <si>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</si>
  <si>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</si>
  <si>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</si>
  <si>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</si>
  <si>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</si>
  <si>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</si>
  <si>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</si>
  <si>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</si>
  <si>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</si>
  <si>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</si>
  <si>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</si>
  <si>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</si>
  <si>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</si>
  <si>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</si>
  <si>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</si>
  <si>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</si>
  <si>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</si>
  <si>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</si>
  <si>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</si>
  <si>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</si>
  <si>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</si>
  <si>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</si>
  <si>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</si>
  <si>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</si>
  <si>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</si>
  <si>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</si>
  <si>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</si>
  <si>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</si>
  <si>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</si>
  <si>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Hoja "Valores de salarios"</t>
  </si>
  <si>
    <t>DECRETO NACIONAL:</t>
  </si>
  <si>
    <t>611 de 2025-06-03</t>
  </si>
  <si>
    <t>Salarios percibidos por el personal con vinculación laboral en la corporación, estos valores se utilizan únicamente para cuantificar el aporte en especie corporativo de su personal, en los casos que aplique.</t>
  </si>
  <si>
    <t>Salarios personal vinculado laboralmente a la corporación</t>
  </si>
  <si>
    <t xml:space="preserve">Cargo </t>
  </si>
  <si>
    <t>Salario mensual 2025</t>
  </si>
  <si>
    <t>Proyección Salario mensual 2026</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</si>
  <si>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</si>
  <si>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</si>
  <si>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</si>
  <si>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</si>
  <si>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</si>
  <si>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</si>
  <si>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</si>
  <si>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</si>
  <si>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</si>
  <si>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</si>
  <si>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</si>
  <si>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</si>
  <si>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</si>
  <si>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</si>
  <si>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</si>
  <si>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</si>
  <si>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</si>
  <si>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</si>
  <si>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</si>
  <si>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</si>
  <si>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</si>
  <si>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</si>
  <si>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</si>
  <si>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</si>
  <si>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</si>
  <si>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</si>
  <si>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</si>
  <si>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</si>
  <si>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</si>
  <si>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</si>
  <si>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</si>
  <si>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</si>
  <si>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</si>
  <si>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</si>
  <si>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</si>
  <si>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</si>
  <si>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</si>
  <si>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</si>
  <si>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</si>
  <si>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</si>
  <si>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</si>
  <si>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</si>
  <si>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</si>
  <si>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</si>
  <si>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</si>
  <si>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</si>
  <si>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</si>
  <si>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</si>
  <si>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</si>
  <si>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</si>
  <si>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</si>
  <si>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</si>
  <si>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</si>
  <si>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</si>
  <si>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</si>
  <si>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</si>
  <si>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</si>
  <si>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</si>
  <si>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</si>
  <si>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</si>
  <si>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</si>
  <si>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</si>
  <si>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</si>
  <si>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</si>
  <si>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</si>
  <si>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</si>
  <si>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</si>
  <si>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</si>
  <si>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</si>
  <si>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</si>
  <si>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</si>
  <si>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</si>
  <si>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</si>
  <si>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</si>
  <si>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</si>
  <si>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</si>
  <si>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</si>
  <si>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</si>
  <si>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</si>
  <si>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</si>
  <si>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</si>
  <si>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</si>
  <si>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</si>
  <si>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</si>
  <si>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</si>
  <si>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</si>
  <si>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</si>
  <si>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</si>
  <si>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</si>
  <si>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</si>
  <si>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</si>
  <si>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</si>
  <si>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</si>
  <si>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</si>
  <si>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</si>
  <si>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</si>
  <si>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</si>
  <si>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</si>
  <si>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</si>
  <si>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</si>
  <si>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</si>
  <si>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</si>
  <si>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</si>
  <si>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</si>
  <si>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</si>
  <si>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</si>
  <si>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</si>
  <si>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</si>
  <si>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</si>
  <si>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</si>
  <si>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</si>
  <si>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</si>
  <si>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Hoja "Valores de alimentación"</t>
  </si>
  <si>
    <t>Año vigente:</t>
  </si>
  <si>
    <t>Memorando:</t>
  </si>
  <si>
    <t>190-MEM2510-7726</t>
  </si>
  <si>
    <t>Relación de costos a considerar en actividades comunitarias de convenios, contratos o actividades propias, de acuerdo con el Lineamientos Suministro Alimentacion Logistica Eventos (G-PGC-01)</t>
  </si>
  <si>
    <t>Según el memorando 040OC-MEM2510-7598, el presupuesto oficial se calcula con base en los gastos históricos para este tipo de adquisiciones. En aras de preservar los principios de transparencia, eficiencia y responsabilidad en el gasto público, el contratista o conveniante, previo al inicio de su proceso interno de contratación con los proveedores, debe presentar un estudio de mercado que contemple como mínimo tres cotizaciones y con un análisis de precios unitarios de cada bien o servicio a ejecutar. Dicho estudio es objeto de revisión y aprobación por parte de la supervisión del contrato o convenio, quien verifica la razonabilidad de los valores propuestos, asegurando que la selección del proveedor responda a criterios de precio, calidad y experiencia.</t>
  </si>
  <si>
    <t>De conformidad con el memorando 190-MEM2510-7726 y la Guia de Elaboración de Estudios de Sector los estudios de mercado o del sector se pueden realizar tres (3) metodologías: 
I) Sondeos de mercado
II) Revisión de bases de datos especializadas
III) Revisión de precios históricos.</t>
  </si>
  <si>
    <t>Hoja "Valores de distintivos corporativos"</t>
  </si>
  <si>
    <t>040OC-MEM2510-7598
190-MEM2510-7726</t>
  </si>
  <si>
    <t>Según el memorando 040OC-MEM2510-7598, el presupuesto oficial se calcula con base en los gastos históricos para este tipo de adquisiciones. En aras de preservar los principios de transparencia, eficiencia y responsabilidad en el gasto público, el contratista o conveniante, previo al inicio de su proceso interno de contratación con los proveedores, debe presentar un estudio de mercado que contemple como mínimo tres cotizaciones y con un análisis de precios unitarios de cada bien o servicio a ejecutar. Dicho estudio es objeto de revisión y aprobación por parte de la supervisión del contrato o convenio, quien verifica la razonabilidad de los valores propuestos, asegurando que la selección del proveedor responda a criterios de precio, calidad y experiencia.
Con lo anterior, se busca garantizar que los procesos contractuales asociados a los distintivos corporativos se desarrollen conforme a las condiciones reales del mercado y bajo los principios de economía y transparencia que orientan la gestión pública.</t>
  </si>
  <si>
    <t>Hoja "Cuantías para contratar"</t>
  </si>
  <si>
    <t>CIRCULAR:</t>
  </si>
  <si>
    <t>190-ACT2312-7519</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</si>
  <si>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</si>
  <si>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</si>
  <si>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</si>
  <si>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CUANTÍAS PARA CONTRATAR</t>
  </si>
  <si>
    <t>Modalidad</t>
  </si>
  <si>
    <t>Límite inferior</t>
  </si>
  <si>
    <t>Mínima cuantía</t>
  </si>
  <si>
    <t>Menor cuantía</t>
  </si>
  <si>
    <t>Licitación pública</t>
  </si>
  <si>
    <t>En adelante</t>
  </si>
  <si>
    <t>Hoja "Documentos de apoyo"</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</si>
  <si>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</si>
  <si>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</si>
  <si>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</si>
  <si>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</si>
  <si>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</si>
  <si>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</si>
  <si>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</si>
  <si>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</si>
  <si>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</si>
  <si>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</si>
  <si>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</si>
  <si>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</si>
  <si>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</si>
  <si>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</si>
  <si>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</si>
  <si>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</si>
  <si>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</si>
  <si>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</si>
  <si>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</si>
  <si>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</si>
  <si>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</si>
  <si>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</si>
  <si>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</si>
  <si>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</si>
  <si>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</si>
  <si>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</si>
  <si>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</si>
  <si>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</si>
  <si>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</si>
  <si>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</si>
  <si>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</si>
  <si>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</si>
  <si>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</si>
  <si>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</si>
  <si>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</si>
  <si>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</si>
  <si>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</si>
  <si>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</si>
  <si>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</si>
  <si>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</si>
  <si>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</si>
  <si>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</si>
  <si>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</si>
  <si>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</si>
  <si>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</si>
  <si>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</si>
  <si>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</si>
  <si>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https://www.colombiacompra.gov.co/manuales-guias-y-pliegos-tipo/manuales-y-guias/guia-para-la-elaboracion-de-estudios-de-sector</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</si>
  <si>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</si>
  <si>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</si>
  <si>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</si>
  <si>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</si>
  <si>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</si>
  <si>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</si>
  <si>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</si>
  <si>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</si>
  <si>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</si>
  <si>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</si>
  <si>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</si>
  <si>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</si>
  <si>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</si>
  <si>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</si>
  <si>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</si>
  <si>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</si>
  <si>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</si>
  <si>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</si>
  <si>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</si>
  <si>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</si>
  <si>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</si>
  <si>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</si>
  <si>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</si>
  <si>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</si>
  <si>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</si>
  <si>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</si>
  <si>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</si>
  <si>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</si>
  <si>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</si>
  <si>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</si>
  <si>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</si>
  <si>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Hoja "Información procesos de obra pública y capacidad residual (K)</t>
  </si>
  <si>
    <t>¿Qué son los contratos de obra?</t>
  </si>
  <si>
    <r>
      <rPr>
        <sz val="10"/>
        <color theme="1"/>
        <rFont val="Arial"/>
        <family val="2"/>
        <charset val="1"/>
      </rP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charset val="1"/>
      </rPr>
      <t>1°. Contrato de Obra</t>
    </r>
    <r>
      <rPr>
        <sz val="10"/>
        <color theme="1"/>
        <rFont val="Arial"/>
        <family val="2"/>
        <charset val="1"/>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</si>
  <si>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</si>
  <si>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</si>
  <si>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</si>
  <si>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charset val="1"/>
      </rPr>
      <t>Inmuebles por naturaleza</t>
    </r>
    <r>
      <rPr>
        <sz val="10"/>
        <color theme="1"/>
        <rFont val="Arial"/>
        <family val="2"/>
        <charset val="1"/>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</si>
  <si>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charset val="1"/>
      </rPr>
      <t>Inmuebles por adhesión</t>
    </r>
    <r>
      <rPr>
        <sz val="10"/>
        <color theme="1"/>
        <rFont val="Arial"/>
        <family val="2"/>
        <charset val="1"/>
      </rPr>
      <t xml:space="preserve">. Las plantas son inmuebles, mientras adhieren al suelo por sus raíces, a menos que estén en macetas o cajones que puedan transportarse de un lugar a otro. (Art. 657 Código civil)
</t>
    </r>
  </si>
  <si>
    <r>
      <rPr>
        <b/>
        <sz val="10"/>
        <color theme="1"/>
        <rFont val="Arial"/>
        <family val="2"/>
        <charset val="1"/>
      </rPr>
      <t>Inmuebles por destinación</t>
    </r>
    <r>
      <rPr>
        <sz val="10"/>
        <color theme="1"/>
        <rFont val="Arial"/>
        <family val="2"/>
        <charset val="1"/>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</si>
  <si>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</si>
  <si>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</si>
  <si>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</si>
  <si>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</si>
  <si>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</si>
  <si>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</si>
  <si>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</si>
  <si>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</si>
  <si>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</si>
  <si>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rPr>
        <sz val="10"/>
        <color theme="1"/>
        <rFont val="Arial"/>
        <family val="2"/>
        <charset val="1"/>
      </rPr>
      <t xml:space="preserve">La Ley 1697 de 2013 postula,
</t>
    </r>
    <r>
      <rPr>
        <b/>
        <sz val="10"/>
        <color theme="1"/>
        <rFont val="Arial"/>
        <family val="2"/>
        <charset val="1"/>
      </rPr>
      <t>Artículo  5°. Hecho generador</t>
    </r>
    <r>
      <rPr>
        <sz val="10"/>
        <color theme="1"/>
        <rFont val="Arial"/>
        <family val="2"/>
        <charset val="1"/>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</si>
  <si>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charset val="1"/>
      </rPr>
      <t>Artículo 6°. Sujeto pasivo</t>
    </r>
    <r>
      <rPr>
        <sz val="10"/>
        <color theme="1"/>
        <rFont val="Arial"/>
        <family val="2"/>
        <charset val="1"/>
      </rPr>
      <t>. El tributo estará a cargo de la persona natural, jurídica, consorcio o unión temporal que funja como contratista en los negocios jurídicos a que se refiere el artículo anterior.</t>
    </r>
  </si>
  <si>
    <r>
      <rPr>
        <b/>
        <sz val="10"/>
        <color theme="1"/>
        <rFont val="Arial"/>
        <family val="2"/>
        <charset val="1"/>
      </rPr>
      <t>Artículo 8°. Base gravable y tarifa.</t>
    </r>
    <r>
      <rPr>
        <sz val="10"/>
        <color theme="1"/>
        <rFont val="Arial"/>
        <family val="2"/>
        <charset val="1"/>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charset val="1"/>
      </rPr>
      <t>Artículo 9°. Causación</t>
    </r>
    <r>
      <rPr>
        <sz val="10"/>
        <color theme="1"/>
        <rFont val="Arial"/>
        <family val="2"/>
        <charset val="1"/>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</si>
  <si>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</si>
  <si>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</si>
  <si>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</si>
  <si>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</si>
  <si>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</si>
  <si>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</si>
  <si>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Hoja "Impuestos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</si>
  <si>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</si>
  <si>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</si>
  <si>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</si>
  <si>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</si>
  <si>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</si>
  <si>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</si>
  <si>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</si>
  <si>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</si>
  <si>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</si>
  <si>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</si>
  <si>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</si>
  <si>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</si>
  <si>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</si>
  <si>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</si>
  <si>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</si>
  <si>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</si>
  <si>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</si>
  <si>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</si>
  <si>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</si>
  <si>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</si>
  <si>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</si>
  <si>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</si>
  <si>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</si>
  <si>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</si>
  <si>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</si>
  <si>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</si>
  <si>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</si>
  <si>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</si>
  <si>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</si>
  <si>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</si>
  <si>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</si>
  <si>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</si>
  <si>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</si>
  <si>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</si>
  <si>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</si>
  <si>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</si>
  <si>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</si>
  <si>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</si>
  <si>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</si>
  <si>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</si>
  <si>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</si>
  <si>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</si>
  <si>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</si>
  <si>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</si>
  <si>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</si>
  <si>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</si>
  <si>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</si>
  <si>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</si>
  <si>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</si>
  <si>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</si>
  <si>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</si>
  <si>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</si>
  <si>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</si>
  <si>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Hoja "Información anticipos y pagos anticipados"</t>
  </si>
  <si>
    <r>
      <rPr>
        <b/>
        <sz val="10"/>
        <color theme="1"/>
        <rFont val="Arial"/>
        <family val="2"/>
        <charset val="1"/>
      </rPr>
      <t>Consideración incial</t>
    </r>
    <r>
      <rPr>
        <sz val="10"/>
        <color theme="1"/>
        <rFont val="Arial"/>
        <family val="2"/>
        <charset val="1"/>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</si>
  <si>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</si>
  <si>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</si>
  <si>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</si>
  <si>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</si>
  <si>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</si>
  <si>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</si>
  <si>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</si>
  <si>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</si>
  <si>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</si>
  <si>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</si>
  <si>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</si>
  <si>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</si>
  <si>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</si>
  <si>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</si>
  <si>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</si>
  <si>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</si>
  <si>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Hoja "Información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</si>
  <si>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</si>
  <si>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</si>
  <si>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</si>
  <si>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</si>
  <si>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</si>
  <si>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</si>
  <si>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</si>
  <si>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</si>
  <si>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</si>
  <si>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</si>
  <si>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</si>
  <si>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</si>
  <si>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</si>
  <si>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</si>
  <si>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</si>
  <si>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</si>
  <si>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</si>
  <si>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</si>
  <si>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</si>
  <si>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</si>
  <si>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</si>
  <si>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</si>
  <si>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charset val="1"/>
      </rPr>
      <t>Base gravable en los contratos de construcción de bien inmueble</t>
    </r>
    <r>
      <rPr>
        <sz val="10"/>
        <color theme="1"/>
        <rFont val="Arial"/>
        <family val="2"/>
        <charset val="1"/>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</si>
  <si>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charset val="1"/>
      </rPr>
      <t>Base gravable en las importaciones</t>
    </r>
    <r>
      <rPr>
        <sz val="10"/>
        <color theme="1"/>
        <rFont val="Arial"/>
        <family val="2"/>
        <charset val="1"/>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</si>
  <si>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charset val="1"/>
      </rPr>
      <t>Base gravable en servicios de clubes</t>
    </r>
    <r>
      <rPr>
        <sz val="10"/>
        <color theme="1"/>
        <rFont val="Arial"/>
        <family val="2"/>
        <charset val="1"/>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</si>
  <si>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charset val="1"/>
      </rPr>
      <t>Base gravable en servicio de transporte internacional de pasajeros</t>
    </r>
    <r>
      <rPr>
        <sz val="10"/>
        <color theme="1"/>
        <rFont val="Arial"/>
        <family val="2"/>
        <charset val="1"/>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</si>
  <si>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</si>
  <si>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</si>
  <si>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</si>
  <si>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</si>
  <si>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</si>
  <si>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</si>
  <si>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</si>
  <si>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</si>
  <si>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rPr>
        <sz val="10"/>
        <color theme="1"/>
        <rFont val="Arial"/>
        <family val="2"/>
        <charset val="1"/>
      </rPr>
      <t>Nota 1. </t>
    </r>
    <r>
      <rPr>
        <sz val="10"/>
        <color rgb="FF000000"/>
        <rFont val="Arial"/>
        <family val="2"/>
        <charset val="1"/>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</si>
  <si>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</si>
  <si>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</si>
  <si>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</si>
  <si>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</si>
  <si>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</si>
  <si>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</si>
  <si>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</si>
  <si>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</si>
  <si>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</si>
  <si>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</si>
  <si>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</si>
  <si>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</si>
  <si>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</si>
  <si>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</si>
  <si>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</si>
  <si>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</si>
  <si>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</si>
  <si>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</si>
  <si>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</si>
  <si>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</si>
  <si>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</si>
  <si>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</si>
  <si>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</si>
  <si>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</si>
  <si>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</si>
  <si>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</si>
  <si>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</si>
  <si>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</si>
  <si>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</si>
  <si>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</si>
  <si>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</si>
  <si>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</si>
  <si>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</si>
  <si>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</si>
  <si>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</si>
  <si>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</si>
  <si>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</si>
  <si>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</si>
  <si>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</si>
  <si>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</si>
  <si>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</si>
  <si>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</si>
  <si>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</si>
  <si>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</si>
  <si>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</si>
  <si>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</si>
  <si>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</si>
  <si>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</si>
  <si>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</si>
  <si>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</si>
  <si>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</si>
  <si>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</si>
  <si>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</si>
  <si>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</si>
  <si>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</si>
  <si>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rPr>
        <sz val="10"/>
        <color theme="1"/>
        <rFont val="Arial"/>
        <family val="2"/>
        <charset val="1"/>
      </rPr>
      <t>PARÁGRAFO.</t>
    </r>
    <r>
      <rPr>
        <sz val="10"/>
        <color rgb="FF000000"/>
        <rFont val="Arial"/>
        <family val="2"/>
        <charset val="1"/>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</si>
  <si>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</si>
  <si>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</si>
  <si>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Hoja "Notas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</si>
  <si>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</si>
  <si>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</si>
  <si>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</si>
  <si>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</si>
  <si>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</si>
  <si>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</si>
  <si>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</si>
  <si>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</si>
  <si>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</si>
  <si>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</si>
  <si>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</si>
  <si>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</si>
  <si>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</si>
  <si>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</si>
  <si>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</si>
  <si>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</si>
  <si>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</si>
  <si>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</si>
  <si>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</si>
  <si>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</si>
  <si>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</si>
  <si>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</si>
  <si>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</si>
  <si>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</si>
  <si>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</si>
  <si>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</si>
  <si>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</si>
  <si>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</si>
  <si>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</si>
  <si>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</si>
  <si>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</si>
  <si>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</si>
  <si>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</si>
  <si>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</si>
  <si>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Hoja "Requisitos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</si>
  <si>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</si>
  <si>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</si>
  <si>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</si>
  <si>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</si>
  <si>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</si>
  <si>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</si>
  <si>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</si>
  <si>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</si>
  <si>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</si>
  <si>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</si>
  <si>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</si>
  <si>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</si>
  <si>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</si>
  <si>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</si>
  <si>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</si>
  <si>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</si>
  <si>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rPr>
        <sz val="10"/>
        <color theme="1"/>
        <rFont val="Arial"/>
        <family val="2"/>
        <charset val="1"/>
      </rPr>
      <t xml:space="preserve">En virtud del Decreto 1082 de 2015, artículos 2.2.1.2.4.2.15. y 2.2.1.2.4.2.18, </t>
    </r>
    <r>
      <rPr>
        <sz val="10"/>
        <rFont val="Arial"/>
        <family val="2"/>
        <charset val="1"/>
      </rPr>
      <t xml:space="preserve">donde se estipula, 
</t>
    </r>
  </si>
  <si>
    <r>
      <rPr>
        <b/>
        <sz val="10"/>
        <color theme="1"/>
        <rFont val="Arial"/>
        <family val="2"/>
        <charset val="1"/>
      </rPr>
      <t>ARTÍCULO 2.2.1.2.4.2.15. Criterios diferenciales para emprendimientos y empresas de mujeres en el sistema de compras públicas</t>
    </r>
    <r>
      <rPr>
        <sz val="10"/>
        <color theme="1"/>
        <rFont val="Arial"/>
        <family val="2"/>
        <charset val="1"/>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</si>
  <si>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</si>
  <si>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charset val="1"/>
      </rPr>
      <t>PARÁGRAFO 1</t>
    </r>
    <r>
      <rPr>
        <sz val="10"/>
        <color theme="1"/>
        <rFont val="Arial"/>
        <family val="2"/>
        <charset val="1"/>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charset val="1"/>
      </rPr>
      <t>PARÁGRAFO 2</t>
    </r>
    <r>
      <rPr>
        <sz val="10"/>
        <color theme="1"/>
        <rFont val="Arial"/>
        <family val="2"/>
        <charset val="1"/>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</si>
  <si>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charset val="1"/>
      </rPr>
      <t>ARTÍCULO 2.2.1.2.4.2.18. Criterios diferenciales para Mipyme en el sistema de compras públicas</t>
    </r>
    <r>
      <rPr>
        <sz val="10"/>
        <color theme="1"/>
        <rFont val="Arial"/>
        <family val="2"/>
        <charset val="1"/>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</si>
  <si>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</si>
  <si>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charset val="1"/>
      </rPr>
      <t>PARÁGRAFO 1.</t>
    </r>
    <r>
      <rPr>
        <sz val="10"/>
        <color theme="1"/>
        <rFont val="Arial"/>
        <family val="2"/>
        <charset val="1"/>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charset val="1"/>
      </rPr>
      <t xml:space="preserve">
PARÁGRAFO 2</t>
    </r>
    <r>
      <rPr>
        <sz val="10"/>
        <color theme="1"/>
        <rFont val="Arial"/>
        <family val="2"/>
        <charset val="1"/>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charset val="1"/>
      </rPr>
      <t>PARÁGRAFO 3</t>
    </r>
    <r>
      <rPr>
        <sz val="10"/>
        <color theme="1"/>
        <rFont val="Arial"/>
        <family val="2"/>
        <charset val="1"/>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</si>
  <si>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</si>
  <si>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</si>
  <si>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</si>
  <si>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</si>
  <si>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</si>
  <si>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</si>
  <si>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</si>
  <si>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</si>
  <si>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</si>
  <si>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</si>
  <si>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Hoja "Valores de honorarios (Prestadores de servicio)</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</si>
  <si>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</si>
  <si>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190-MEM2401-182</t>
  </si>
  <si>
    <t xml:space="preserve">Bachiller </t>
  </si>
  <si>
    <t>Técnico (*)</t>
  </si>
  <si>
    <t xml:space="preserve">Tecnólogo con experiencia </t>
  </si>
  <si>
    <t xml:space="preserve">Profesional sin experiencia </t>
  </si>
  <si>
    <t xml:space="preserve">Profesional con experiencia </t>
  </si>
  <si>
    <t>Coordinador de proyecto</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</si>
  <si>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</si>
  <si>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</si>
  <si>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</si>
  <si>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</si>
  <si>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ÍTEM</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</si>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</sst>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_);_(* \(#,##0.00\);_(* \-??_);_(@_)"/>
    <numFmt numFmtId="165" formatCode="_-* #,##0.00_-;\-* #,##0.00_-;_-* \-??_-;_-@_-"/>
    <numFmt numFmtId="166" formatCode="#,##0.000"/>
    <numFmt numFmtId="167" formatCode="_-* #,##0_-;\-* #,##0_-;_-* \-_-;_-@_-"/>
    <numFmt numFmtId="168" formatCode="_(* #,##0_);_(* \(#,##0\);_(* \-_);_(@_)"/>
    <numFmt numFmtId="169" formatCode="_(&quot;$ &quot;* #,##0.00_);_(&quot;$ &quot;* \(#,##0.00\);_(&quot;$ &quot;* \-??_);_(@_)"/>
    <numFmt numFmtId="170" formatCode="_-&quot;$ &quot;* #,##0.00_-;&quot;-$ &quot;* #,##0.00_-;_-&quot;$ &quot;* \-??_-;_-@_-"/>
    <numFmt numFmtId="171" formatCode="_-\$* #,##0.00_-;&quot;-$&quot;* #,##0.00_-;_-\$* \-??_-;_-@_-"/>
    <numFmt numFmtId="172" formatCode="_-&quot;$ &quot;* #,##0_-;&quot;-$ &quot;* #,##0_-;_-&quot;$ &quot;* \-_-;_-@_-"/>
    <numFmt numFmtId="173" formatCode="_(&quot;$ &quot;* #,##0_);_(&quot;$ &quot;* \(#,##0\);_(&quot;$ &quot;* \-_);_(@_)"/>
    <numFmt numFmtId="174" formatCode="00"/>
    <numFmt numFmtId="175" formatCode="0.0%"/>
    <numFmt numFmtId="176" formatCode="_([$$-240A]\ * #,##0_);_([$$-240A]\ * \(#,##0\);_([$$-240A]\ * \-??_);_(@_)"/>
    <numFmt numFmtId="177" formatCode="_([$$-240A]\ * #,##0.00_);_([$$-240A]\ * \(#,##0.00\);_([$$-240A]\ * \-??_);_(@_)"/>
    <numFmt numFmtId="178" formatCode="_-[$$-240A]\ * #,##0.00_-;\-[$$-240A]\ * #,##0.00_-;_-[$$-240A]\ * \-??_-;_-@_-"/>
    <numFmt numFmtId="179" formatCode="0.0"/>
    <numFmt numFmtId="180" formatCode="_(&quot;$ &quot;* #,##0_);_(&quot;$ &quot;* \(#,##0\);_(&quot;$ &quot;* \-??_);_(@_)"/>
    <numFmt numFmtId="181" formatCode="#,##0.0"/>
    <numFmt numFmtId="182" formatCode="_-&quot;$ &quot;* #,##0_-;&quot;-$ &quot;* #,##0_-;_-&quot;$ &quot;* \-??_-;_-@_-"/>
    <numFmt numFmtId="183" formatCode="_-\$* #,##0_-;&quot;-$&quot;* #,##0_-;_-\$* \-??_-;_-@_-"/>
    <numFmt numFmtId="184" formatCode="_ * #,##0_-_$_ ;_ * #,##0\-_$_ ;_ * \-_-_$_ ;_ @_ "/>
    <numFmt numFmtId="185" formatCode="m/d/yyyy"/>
    <numFmt numFmtId="186" formatCode="_ * #,##0.00_-_$_ ;_ * #,##0.00\-_$_ ;_ * \-_-_$_ ;_ @_ "/>
    <numFmt numFmtId="187" formatCode="&quot;$ &quot;#,##0"/>
  </numFmts>
  <fonts count="40" x14ac:knownFonts="1">
    <font>
      <sz val="10"/>
      <name val="Times New Roman"/>
      <charset val="1"/>
    </font>
    <font>
      <sz val="11"/>
      <color theme="1"/>
      <name val="Calibri"/>
      <family val="2"/>
      <charset val="1"/>
    </font>
    <font>
      <sz val="10"/>
      <name val="Arial"/>
      <family val="2"/>
      <charset val="1"/>
    </font>
    <font>
      <sz val="10"/>
      <color theme="1"/>
      <name val="Arial"/>
      <family val="2"/>
      <charset val="1"/>
    </font>
    <font>
      <sz val="10"/>
      <name val="Times New Roman"/>
      <family val="1"/>
      <charset val="1"/>
    </font>
    <font>
      <b/>
      <sz val="9"/>
      <color theme="4" tint="-0.249977111117893"/>
      <name val="Arial"/>
      <family val="2"/>
      <charset val="1"/>
    </font>
    <font>
      <b/>
      <sz val="9"/>
      <name val="Arial"/>
      <family val="2"/>
      <charset val="1"/>
    </font>
    <font>
      <sz val="9"/>
      <name val="Arial"/>
      <family val="2"/>
      <charset val="1"/>
    </font>
    <font>
      <sz val="9"/>
      <color theme="1"/>
      <name val="Arial"/>
      <family val="2"/>
      <charset val="1"/>
    </font>
    <font>
      <b/>
      <sz val="10"/>
      <name val="Arial"/>
      <family val="2"/>
      <charset val="1"/>
    </font>
    <font>
      <u/>
      <sz val="10"/>
      <color theme="10"/>
      <name val="Arial"/>
      <family val="2"/>
      <charset val="1"/>
    </font>
    <font>
      <u/>
      <sz val="10"/>
      <color theme="10"/>
      <name val="Times New Roman"/>
      <family val="1"/>
      <charset val="1"/>
    </font>
    <font>
      <b/>
      <u/>
      <sz val="10"/>
      <name val="Arial"/>
      <family val="2"/>
      <charset val="1"/>
    </font>
    <font>
      <sz val="10"/>
      <name val="Arial"/>
      <family val="2"/>
    </font>
    <font>
      <sz val="10"/>
      <color theme="1" tint="0.3498947111423078"/>
      <name val="Arial"/>
      <family val="2"/>
      <charset val="1"/>
    </font>
    <font>
      <sz val="8"/>
      <name val="Arial"/>
      <family val="2"/>
      <charset val="1"/>
    </font>
    <font>
      <sz val="9"/>
      <color rgb="FF000000"/>
      <name val="Tahoma"/>
      <family val="2"/>
      <charset val="1"/>
    </font>
    <font>
      <sz val="10"/>
      <color theme="7"/>
      <name val="Arial"/>
      <family val="2"/>
      <charset val="1"/>
    </font>
    <font>
      <b/>
      <sz val="10"/>
      <color rgb="FF000000"/>
      <name val="Arial"/>
      <family val="2"/>
      <charset val="1"/>
    </font>
    <font>
      <b/>
      <sz val="10"/>
      <color theme="1"/>
      <name val="Arial"/>
      <family val="2"/>
      <charset val="1"/>
    </font>
    <font>
      <sz val="10"/>
      <color rgb="FF000000"/>
      <name val="Arial"/>
      <family val="2"/>
      <charset val="1"/>
    </font>
    <font>
      <sz val="10"/>
      <color theme="0"/>
      <name val="Arial"/>
      <family val="2"/>
      <charset val="1"/>
    </font>
    <font>
      <sz val="2"/>
      <name val="Arial"/>
      <family val="2"/>
      <charset val="1"/>
    </font>
    <font>
      <u/>
      <sz val="12"/>
      <color theme="10"/>
      <name val="Times New Roman"/>
      <family val="1"/>
      <charset val="1"/>
    </font>
    <font>
      <u/>
      <sz val="9"/>
      <color rgb="FF000000"/>
      <name val="Tahoma"/>
      <family val="2"/>
      <charset val="1"/>
    </font>
    <font>
      <b/>
      <u/>
      <sz val="9"/>
      <color rgb="FF000000"/>
      <name val="Tahoma"/>
      <family val="2"/>
      <charset val="1"/>
    </font>
    <font>
      <b/>
      <sz val="8"/>
      <color theme="1"/>
      <name val="Arial"/>
      <family val="2"/>
      <charset val="1"/>
    </font>
    <font>
      <b/>
      <sz val="8"/>
      <name val="Arial"/>
      <family val="2"/>
      <charset val="1"/>
    </font>
    <font>
      <b/>
      <sz val="8"/>
      <color rgb="FF000000"/>
      <name val="Arial"/>
      <family val="2"/>
      <charset val="1"/>
    </font>
    <font>
      <i/>
      <sz val="10"/>
      <color theme="1"/>
      <name val="Arial"/>
      <family val="2"/>
      <charset val="1"/>
    </font>
    <font>
      <sz val="8"/>
      <color theme="1"/>
      <name val="Arial"/>
      <family val="2"/>
      <charset val="1"/>
    </font>
    <font>
      <b/>
      <u/>
      <sz val="8"/>
      <color theme="1"/>
      <name val="Arial"/>
      <family val="2"/>
      <charset val="1"/>
    </font>
    <font>
      <b/>
      <sz val="9"/>
      <color rgb="FF000000"/>
      <name val="Tahoma"/>
      <family val="2"/>
      <charset val="1"/>
    </font>
    <font>
      <b/>
      <sz val="10"/>
      <color theme="1" tint="0.14999847407452621"/>
      <name val="Arial"/>
      <family val="2"/>
      <charset val="1"/>
    </font>
    <font>
      <sz val="10"/>
      <color theme="1" tint="0.14999847407452621"/>
      <name val="Arial"/>
      <family val="2"/>
      <charset val="1"/>
    </font>
    <font>
      <u/>
      <sz val="10"/>
      <color theme="1"/>
      <name val="Arial"/>
      <family val="2"/>
      <charset val="1"/>
    </font>
    <font>
      <b/>
      <sz val="12"/>
      <color theme="1"/>
      <name val="Times New Roman"/>
      <family val="1"/>
      <charset val="1"/>
    </font>
    <font>
      <sz val="10"/>
      <color theme="1"/>
      <name val="Times New Roman"/>
      <family val="1"/>
      <charset val="1"/>
    </font>
    <font>
      <b/>
      <sz val="10"/>
      <color theme="1"/>
      <name val="Times New Roman"/>
      <family val="1"/>
      <charset val="1"/>
    </font>
    <font>
      <sz val="10"/>
      <name val="Times New Roman"/>
      <charset val="1"/>
    </font>
  </fonts>
  <fills count="22">
    <fill>
      <patternFill patternType="none"/>
    </fill>
    <fill>
      <patternFill patternType="gray125"/>
    </fill>
    <fill>
      <patternFill patternType="solid">
        <fgColor theme="0"/>
        <bgColor rgb="FFF2F2F2"/>
      </patternFill>
    </fill>
    <fill>
      <patternFill patternType="solid">
        <fgColor theme="0" tint="-4.9989318521683403E-2"/>
        <bgColor rgb="FFEBF1DE"/>
      </patternFill>
    </fill>
    <fill>
      <patternFill patternType="solid">
        <fgColor theme="0" tint="-0.249977111117893"/>
        <bgColor rgb="FFCCC1DA"/>
      </patternFill>
    </fill>
    <fill>
      <patternFill patternType="solid">
        <fgColor theme="8" tint="0.39988402966399123"/>
        <bgColor rgb="FF95B3D7"/>
      </patternFill>
    </fill>
    <fill>
      <patternFill patternType="solid">
        <fgColor theme="5" tint="0.59987182226020086"/>
        <bgColor rgb="FFFFC7CE"/>
      </patternFill>
    </fill>
    <fill>
      <patternFill patternType="solid">
        <fgColor theme="7" tint="0.59987182226020086"/>
        <bgColor rgb="FFBFBFBF"/>
      </patternFill>
    </fill>
    <fill>
      <patternFill patternType="solid">
        <fgColor theme="5" tint="0.39988402966399123"/>
        <bgColor rgb="FFB3A2C7"/>
      </patternFill>
    </fill>
    <fill>
      <patternFill patternType="solid">
        <fgColor theme="5" tint="0.79989013336588644"/>
        <bgColor rgb="FFFDEADA"/>
      </patternFill>
    </fill>
    <fill>
      <patternFill patternType="solid">
        <fgColor theme="7" tint="0.39988402966399123"/>
        <bgColor rgb="FFA6A6A6"/>
      </patternFill>
    </fill>
    <fill>
      <patternFill patternType="solid">
        <fgColor theme="0" tint="-0.14999847407452621"/>
        <bgColor rgb="FFDCE6F2"/>
      </patternFill>
    </fill>
    <fill>
      <patternFill patternType="solid">
        <fgColor theme="0" tint="-0.34998626667073579"/>
        <bgColor rgb="FFB3A2C7"/>
      </patternFill>
    </fill>
    <fill>
      <patternFill patternType="solid">
        <fgColor theme="6" tint="0.79989013336588644"/>
        <bgColor rgb="FFF2F2F2"/>
      </patternFill>
    </fill>
    <fill>
      <patternFill patternType="solid">
        <fgColor rgb="FFFFC000"/>
        <bgColor rgb="FFFFFF00"/>
      </patternFill>
    </fill>
    <fill>
      <patternFill patternType="solid">
        <fgColor theme="9" tint="-0.249977111117893"/>
        <bgColor rgb="FFD99694"/>
      </patternFill>
    </fill>
    <fill>
      <patternFill patternType="solid">
        <fgColor theme="8" tint="0.59987182226020086"/>
        <bgColor rgb="FFC6EFCE"/>
      </patternFill>
    </fill>
    <fill>
      <patternFill patternType="solid">
        <fgColor theme="4" tint="0.79989013336588644"/>
        <bgColor rgb="FFDBEEF4"/>
      </patternFill>
    </fill>
    <fill>
      <patternFill patternType="solid">
        <fgColor theme="4" tint="0.39988402966399123"/>
        <bgColor rgb="FF93CDDD"/>
      </patternFill>
    </fill>
    <fill>
      <patternFill patternType="solid">
        <fgColor theme="8" tint="0.79989013336588644"/>
        <bgColor rgb="FFDCE6F2"/>
      </patternFill>
    </fill>
    <fill>
      <patternFill patternType="solid">
        <fgColor rgb="FFFFFF00"/>
        <bgColor rgb="FFFFC000"/>
      </patternFill>
    </fill>
    <fill>
      <patternFill patternType="solid">
        <fgColor theme="9" tint="0.79989013336588644"/>
        <bgColor rgb="FFEBF1DE"/>
      </patternFill>
    </fill>
  </fills>
  <borders count="61">
    <border>
      <left/>
      <right/>
      <top/>
      <bottom/>
      <diagonal/>
    </border>
    <border>
      <left style="medium">
        <color rgb="FF0070C0"/>
      </left>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bottom/>
      <diagonal/>
    </border>
    <border>
      <left style="medium">
        <color auto="1"/>
      </left>
      <right style="medium">
        <color auto="1"/>
      </right>
      <top style="medium">
        <color auto="1"/>
      </top>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bottom style="thin">
        <color auto="1"/>
      </bottom>
      <diagonal/>
    </border>
    <border>
      <left/>
      <right/>
      <top style="thin">
        <color auto="1"/>
      </top>
      <bottom/>
      <diagonal/>
    </border>
    <border>
      <left style="thin">
        <color auto="1"/>
      </left>
      <right style="thin">
        <color auto="1"/>
      </right>
      <top/>
      <bottom style="medium">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medium">
        <color auto="1"/>
      </right>
      <top/>
      <bottom/>
      <diagonal/>
    </border>
    <border>
      <left style="thin">
        <color auto="1"/>
      </left>
      <right style="thin">
        <color auto="1"/>
      </right>
      <top/>
      <bottom style="thin">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style="thin">
        <color auto="1"/>
      </left>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thick">
        <color auto="1"/>
      </left>
      <right/>
      <top/>
      <bottom/>
      <diagonal/>
    </border>
    <border>
      <left style="thin">
        <color auto="1"/>
      </left>
      <right style="thin">
        <color auto="1"/>
      </right>
      <top style="medium">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thin">
        <color auto="1"/>
      </top>
      <bottom/>
      <diagonal/>
    </border>
    <border>
      <left style="medium">
        <color auto="1"/>
      </left>
      <right/>
      <top style="thin">
        <color auto="1"/>
      </top>
      <bottom/>
      <diagonal/>
    </border>
    <border>
      <left/>
      <right/>
      <top style="medium">
        <color auto="1"/>
      </top>
      <bottom/>
      <diagonal/>
    </border>
    <border>
      <left style="thin">
        <color auto="1"/>
      </left>
      <right/>
      <top style="medium">
        <color auto="1"/>
      </top>
      <bottom style="medium">
        <color auto="1"/>
      </bottom>
      <diagonal/>
    </border>
    <border>
      <left style="thin">
        <color auto="1"/>
      </left>
      <right/>
      <top/>
      <bottom style="thin">
        <color auto="1"/>
      </bottom>
      <diagonal/>
    </border>
    <border>
      <left style="medium">
        <color auto="1"/>
      </left>
      <right style="medium">
        <color auto="1"/>
      </right>
      <top/>
      <bottom style="medium">
        <color auto="1"/>
      </bottom>
      <diagonal/>
    </border>
    <border>
      <left/>
      <right/>
      <top style="thin">
        <color auto="1"/>
      </top>
      <bottom style="thin">
        <color auto="1"/>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60">
    <xf numFmtId="0" fontId="0" fillId="0" borderId="0"/>
    <xf numFmtId="169" fontId="39" fillId="0" borderId="0" applyBorder="0" applyProtection="0"/>
    <xf numFmtId="9" fontId="39" fillId="0" borderId="0" applyBorder="0" applyProtection="0"/>
    <xf numFmtId="0" fontId="11" fillId="0" borderId="0" applyBorder="0" applyProtection="0"/>
    <xf numFmtId="164" fontId="39" fillId="0" borderId="0" applyBorder="0" applyProtection="0"/>
    <xf numFmtId="164" fontId="39" fillId="0" borderId="0" applyBorder="0" applyProtection="0"/>
    <xf numFmtId="164" fontId="39" fillId="0" borderId="0" applyBorder="0" applyProtection="0"/>
    <xf numFmtId="164" fontId="39" fillId="0" borderId="0" applyBorder="0" applyProtection="0"/>
    <xf numFmtId="164" fontId="39" fillId="0" borderId="0" applyBorder="0" applyProtection="0"/>
    <xf numFmtId="164" fontId="39" fillId="0" borderId="0" applyBorder="0" applyProtection="0"/>
    <xf numFmtId="165" fontId="39" fillId="0" borderId="0" applyBorder="0" applyProtection="0"/>
    <xf numFmtId="166" fontId="39" fillId="0" borderId="0" applyBorder="0" applyProtection="0"/>
    <xf numFmtId="165" fontId="39" fillId="0" borderId="0" applyBorder="0" applyProtection="0"/>
    <xf numFmtId="167" fontId="39" fillId="0" borderId="0" applyBorder="0" applyProtection="0"/>
    <xf numFmtId="168" fontId="39" fillId="0" borderId="0" applyBorder="0" applyProtection="0"/>
    <xf numFmtId="169" fontId="39" fillId="0" borderId="0" applyBorder="0" applyProtection="0"/>
    <xf numFmtId="170" fontId="39" fillId="0" borderId="0" applyBorder="0" applyProtection="0"/>
    <xf numFmtId="170" fontId="39" fillId="0" borderId="0" applyBorder="0" applyProtection="0"/>
    <xf numFmtId="170" fontId="39" fillId="0" borderId="0" applyBorder="0" applyProtection="0"/>
    <xf numFmtId="169" fontId="39" fillId="0" borderId="0" applyBorder="0" applyProtection="0"/>
    <xf numFmtId="171" fontId="39" fillId="0" borderId="0" applyBorder="0" applyProtection="0"/>
    <xf numFmtId="172" fontId="39" fillId="0" borderId="0" applyBorder="0" applyProtection="0"/>
    <xf numFmtId="172" fontId="39" fillId="0" borderId="0" applyBorder="0" applyProtection="0"/>
    <xf numFmtId="172" fontId="39" fillId="0" borderId="0" applyBorder="0" applyProtection="0"/>
    <xf numFmtId="173" fontId="39" fillId="0" borderId="0" applyBorder="0" applyProtection="0"/>
    <xf numFmtId="172" fontId="39" fillId="0" borderId="0" applyBorder="0" applyProtection="0"/>
    <xf numFmtId="173" fontId="39" fillId="0" borderId="0" applyBorder="0" applyProtection="0"/>
    <xf numFmtId="172" fontId="39" fillId="0" borderId="0" applyBorder="0" applyProtection="0"/>
    <xf numFmtId="0" fontId="1" fillId="0" borderId="0"/>
    <xf numFmtId="0" fontId="2"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4" fillId="0" borderId="0"/>
    <xf numFmtId="0" fontId="2" fillId="0" borderId="0"/>
    <xf numFmtId="0" fontId="2" fillId="0" borderId="0"/>
    <xf numFmtId="0" fontId="4" fillId="0" borderId="0"/>
    <xf numFmtId="0" fontId="4" fillId="0" borderId="0"/>
    <xf numFmtId="0" fontId="2" fillId="0" borderId="0"/>
    <xf numFmtId="0" fontId="1" fillId="0" borderId="0"/>
    <xf numFmtId="0" fontId="1" fillId="0" borderId="0"/>
    <xf numFmtId="0" fontId="4" fillId="0" borderId="0"/>
    <xf numFmtId="0" fontId="1" fillId="0" borderId="0"/>
    <xf numFmtId="0" fontId="2" fillId="0" borderId="0"/>
    <xf numFmtId="0" fontId="1" fillId="0" borderId="0"/>
    <xf numFmtId="0" fontId="1" fillId="0" borderId="0"/>
    <xf numFmtId="0" fontId="1" fillId="0" borderId="0"/>
    <xf numFmtId="0" fontId="2" fillId="0" borderId="0"/>
    <xf numFmtId="9" fontId="39" fillId="0" borderId="0" applyBorder="0" applyProtection="0"/>
    <xf numFmtId="9" fontId="39" fillId="0" borderId="0" applyBorder="0" applyProtection="0"/>
    <xf numFmtId="9" fontId="39" fillId="0" borderId="0" applyBorder="0" applyProtection="0"/>
    <xf numFmtId="9" fontId="39" fillId="0" borderId="0" applyBorder="0" applyProtection="0"/>
    <xf numFmtId="9" fontId="39" fillId="0" borderId="0" applyBorder="0" applyProtection="0"/>
    <xf numFmtId="9" fontId="39" fillId="0" borderId="0" applyBorder="0" applyProtection="0"/>
    <xf numFmtId="9" fontId="39" fillId="0" borderId="0" applyBorder="0" applyProtection="0"/>
    <xf numFmtId="9" fontId="39" fillId="0" borderId="0" applyBorder="0" applyProtection="0"/>
  </cellStyleXfs>
  <cellXfs count="1284">
    <xf numFmtId="0" fontId="0" fillId="0" borderId="0" xfId="0"/>
    <xf numFmtId="0" fontId="9" fillId="3" borderId="10" xfId="47" applyFont="1" applyFill="1" applyBorder="1" applyAlignment="1" applyProtection="1">
      <alignment horizontal="right" vertical="center" wrapText="1"/>
      <protection locked="0"/>
    </xf>
    <xf numFmtId="0" fontId="9" fillId="5" borderId="8" xfId="47" applyFont="1" applyFill="1" applyBorder="1" applyAlignment="1" applyProtection="1">
      <alignment horizontal="right" vertical="center" wrapText="1"/>
      <protection locked="0"/>
    </xf>
    <xf numFmtId="0" fontId="9" fillId="11" borderId="9" xfId="47" applyFont="1" applyFill="1" applyBorder="1" applyAlignment="1" applyProtection="1">
      <alignment horizontal="center" vertical="center"/>
      <protection locked="0"/>
    </xf>
    <xf numFmtId="0" fontId="9" fillId="11" borderId="21" xfId="47" applyFont="1" applyFill="1" applyBorder="1" applyAlignment="1" applyProtection="1">
      <alignment horizontal="center" vertical="center" wrapText="1"/>
      <protection locked="0"/>
    </xf>
    <xf numFmtId="0" fontId="9" fillId="11" borderId="21" xfId="47" applyFont="1" applyFill="1" applyBorder="1" applyAlignment="1" applyProtection="1">
      <alignment horizontal="center" vertical="center"/>
      <protection locked="0"/>
    </xf>
    <xf numFmtId="0" fontId="9" fillId="11" borderId="8" xfId="47" applyFont="1" applyFill="1" applyBorder="1" applyAlignment="1" applyProtection="1">
      <alignment horizontal="center" vertical="center"/>
      <protection locked="0"/>
    </xf>
    <xf numFmtId="0" fontId="9" fillId="11" borderId="23" xfId="47" applyFont="1" applyFill="1" applyBorder="1" applyAlignment="1" applyProtection="1">
      <alignment horizontal="center" vertical="center"/>
      <protection locked="0"/>
    </xf>
    <xf numFmtId="0" fontId="9" fillId="11" borderId="0" xfId="47" applyFont="1" applyFill="1" applyAlignment="1" applyProtection="1">
      <alignment horizontal="left" vertical="center" wrapText="1"/>
      <protection locked="0"/>
    </xf>
    <xf numFmtId="0" fontId="2" fillId="0" borderId="12" xfId="47" applyBorder="1" applyAlignment="1" applyProtection="1">
      <alignment horizontal="center" vertical="center" wrapText="1"/>
      <protection locked="0"/>
    </xf>
    <xf numFmtId="0" fontId="9" fillId="11" borderId="0" xfId="47" applyFont="1" applyFill="1" applyAlignment="1" applyProtection="1">
      <alignment horizontal="left" vertical="center"/>
      <protection locked="0"/>
    </xf>
    <xf numFmtId="0" fontId="2" fillId="0" borderId="12" xfId="29" applyBorder="1" applyAlignment="1" applyProtection="1">
      <alignment horizontal="left" vertical="center" wrapText="1"/>
      <protection locked="0"/>
    </xf>
    <xf numFmtId="0" fontId="9" fillId="11" borderId="22" xfId="29" applyFont="1" applyFill="1" applyBorder="1" applyAlignment="1" applyProtection="1">
      <alignment horizontal="left" vertical="center" wrapText="1"/>
      <protection locked="0"/>
    </xf>
    <xf numFmtId="174" fontId="8" fillId="2" borderId="1" xfId="0" applyNumberFormat="1" applyFont="1" applyFill="1" applyBorder="1" applyAlignment="1" applyProtection="1">
      <alignment horizontal="left" vertical="center" wrapText="1"/>
      <protection locked="0"/>
    </xf>
    <xf numFmtId="174" fontId="6" fillId="2" borderId="1" xfId="0" applyNumberFormat="1" applyFont="1" applyFill="1" applyBorder="1" applyAlignment="1">
      <alignment horizontal="left" vertical="center" wrapText="1"/>
    </xf>
    <xf numFmtId="0" fontId="2" fillId="0" borderId="0" xfId="0" applyFont="1" applyProtection="1">
      <protection locked="0"/>
    </xf>
    <xf numFmtId="0" fontId="9" fillId="3" borderId="2"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2" fillId="0" borderId="4" xfId="0" applyFont="1" applyBorder="1" applyAlignment="1" applyProtection="1">
      <alignment vertical="center"/>
      <protection locked="0"/>
    </xf>
    <xf numFmtId="0" fontId="2" fillId="4" borderId="5" xfId="0" applyFont="1" applyFill="1" applyBorder="1" applyAlignment="1" applyProtection="1">
      <alignment vertical="center"/>
      <protection locked="0"/>
    </xf>
    <xf numFmtId="0" fontId="2" fillId="0" borderId="6" xfId="0" applyFont="1" applyBorder="1" applyAlignment="1" applyProtection="1">
      <alignment vertical="center"/>
      <protection locked="0"/>
    </xf>
    <xf numFmtId="0" fontId="2" fillId="5" borderId="7" xfId="0" applyFont="1" applyFill="1" applyBorder="1" applyAlignment="1" applyProtection="1">
      <alignment vertical="center"/>
      <protection locked="0"/>
    </xf>
    <xf numFmtId="0" fontId="2" fillId="0" borderId="8" xfId="0" applyFont="1" applyBorder="1" applyAlignment="1" applyProtection="1">
      <alignment vertical="center"/>
      <protection locked="0"/>
    </xf>
    <xf numFmtId="0" fontId="2" fillId="6" borderId="9" xfId="0" applyFont="1" applyFill="1" applyBorder="1" applyAlignment="1" applyProtection="1">
      <alignment vertical="center"/>
      <protection locked="0"/>
    </xf>
    <xf numFmtId="0" fontId="2" fillId="0" borderId="10" xfId="0" applyFont="1" applyBorder="1" applyAlignment="1" applyProtection="1">
      <alignment vertical="center"/>
      <protection locked="0"/>
    </xf>
    <xf numFmtId="0" fontId="2" fillId="7" borderId="11" xfId="0" applyFont="1" applyFill="1" applyBorder="1" applyAlignment="1" applyProtection="1">
      <alignment vertical="center"/>
      <protection locked="0"/>
    </xf>
    <xf numFmtId="0" fontId="9" fillId="8" borderId="18" xfId="0" applyFont="1" applyFill="1" applyBorder="1" applyAlignment="1" applyProtection="1">
      <alignment horizontal="center" vertical="center" wrapText="1"/>
      <protection locked="0"/>
    </xf>
    <xf numFmtId="0" fontId="9" fillId="8" borderId="11" xfId="0" applyFont="1" applyFill="1" applyBorder="1" applyAlignment="1" applyProtection="1">
      <alignment horizontal="center" vertical="center" wrapText="1"/>
      <protection locked="0"/>
    </xf>
    <xf numFmtId="0" fontId="2" fillId="0" borderId="21"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0" xfId="0" applyFont="1" applyAlignment="1" applyProtection="1">
      <alignment horizontal="left"/>
      <protection locked="0"/>
    </xf>
    <xf numFmtId="0" fontId="2" fillId="0" borderId="18"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0" xfId="0" applyFont="1" applyAlignment="1" applyProtection="1">
      <alignment wrapText="1"/>
      <protection locked="0"/>
    </xf>
    <xf numFmtId="0" fontId="2" fillId="0" borderId="0" xfId="47" applyAlignment="1">
      <alignment vertical="center"/>
    </xf>
    <xf numFmtId="175" fontId="2" fillId="0" borderId="0" xfId="47" applyNumberFormat="1" applyAlignment="1">
      <alignment vertical="center"/>
    </xf>
    <xf numFmtId="0" fontId="11" fillId="0" borderId="0" xfId="3" applyBorder="1" applyAlignment="1" applyProtection="1">
      <alignment vertical="center"/>
    </xf>
    <xf numFmtId="0" fontId="2" fillId="0" borderId="22" xfId="47" applyBorder="1" applyAlignment="1">
      <alignment vertical="top" wrapText="1"/>
    </xf>
    <xf numFmtId="0" fontId="2" fillId="0" borderId="0" xfId="47" applyAlignment="1">
      <alignment vertical="top" wrapText="1"/>
    </xf>
    <xf numFmtId="175" fontId="2" fillId="0" borderId="0" xfId="47" applyNumberFormat="1" applyAlignment="1">
      <alignment vertical="top" wrapText="1"/>
    </xf>
    <xf numFmtId="0" fontId="2" fillId="0" borderId="0" xfId="37" applyFont="1" applyAlignment="1">
      <alignment vertical="center"/>
    </xf>
    <xf numFmtId="0" fontId="9" fillId="11" borderId="22" xfId="29" applyFont="1" applyFill="1" applyBorder="1" applyAlignment="1">
      <alignment horizontal="left" vertical="center" wrapText="1"/>
    </xf>
    <xf numFmtId="0" fontId="14" fillId="0" borderId="0" xfId="37" applyFont="1" applyAlignment="1">
      <alignment vertical="center" wrapText="1"/>
    </xf>
    <xf numFmtId="0" fontId="2" fillId="0" borderId="0" xfId="37" applyFont="1" applyAlignment="1">
      <alignment horizontal="center" vertical="center"/>
    </xf>
    <xf numFmtId="175" fontId="2" fillId="0" borderId="0" xfId="37" applyNumberFormat="1" applyFont="1" applyAlignment="1">
      <alignment horizontal="center" vertical="center"/>
    </xf>
    <xf numFmtId="0" fontId="2" fillId="0" borderId="0" xfId="37" applyFont="1" applyAlignment="1">
      <alignment horizontal="center" vertical="center" wrapText="1"/>
    </xf>
    <xf numFmtId="0" fontId="2" fillId="0" borderId="0" xfId="37" applyFont="1" applyAlignment="1">
      <alignment horizontal="left" vertical="center" wrapText="1"/>
    </xf>
    <xf numFmtId="0" fontId="2" fillId="0" borderId="0" xfId="37" applyFont="1" applyAlignment="1">
      <alignment vertical="center" wrapText="1"/>
    </xf>
    <xf numFmtId="0" fontId="2" fillId="0" borderId="0" xfId="37" applyFont="1"/>
    <xf numFmtId="175" fontId="2" fillId="0" borderId="0" xfId="37" applyNumberFormat="1" applyFont="1"/>
    <xf numFmtId="0" fontId="9" fillId="0" borderId="22" xfId="47" applyFont="1" applyBorder="1" applyAlignment="1">
      <alignment horizontal="center" vertical="center" wrapText="1"/>
    </xf>
    <xf numFmtId="0" fontId="9" fillId="0" borderId="0" xfId="47" applyFont="1" applyAlignment="1">
      <alignment horizontal="center" vertical="center" wrapText="1"/>
    </xf>
    <xf numFmtId="175" fontId="9" fillId="0" borderId="0" xfId="47" applyNumberFormat="1" applyFont="1" applyAlignment="1">
      <alignment horizontal="center" vertical="center" wrapText="1"/>
    </xf>
    <xf numFmtId="0" fontId="9" fillId="0" borderId="0" xfId="47" applyFont="1" applyAlignment="1">
      <alignment horizontal="center" vertical="center"/>
    </xf>
    <xf numFmtId="0" fontId="9" fillId="11" borderId="21" xfId="47" applyFont="1" applyFill="1" applyBorder="1" applyAlignment="1">
      <alignment horizontal="center" vertical="center" wrapText="1"/>
    </xf>
    <xf numFmtId="0" fontId="9" fillId="0" borderId="8" xfId="47" applyFont="1" applyBorder="1" applyAlignment="1">
      <alignment horizontal="center" vertical="center" wrapText="1"/>
    </xf>
    <xf numFmtId="0" fontId="2" fillId="0" borderId="21" xfId="37" applyFont="1" applyBorder="1" applyAlignment="1" applyProtection="1">
      <alignment horizontal="center" vertical="center" wrapText="1"/>
      <protection locked="0"/>
    </xf>
    <xf numFmtId="9" fontId="2" fillId="0" borderId="21" xfId="47" applyNumberFormat="1" applyBorder="1" applyAlignment="1" applyProtection="1">
      <alignment horizontal="center" vertical="center"/>
      <protection locked="0"/>
    </xf>
    <xf numFmtId="175" fontId="2" fillId="0" borderId="21" xfId="47" applyNumberFormat="1" applyBorder="1" applyAlignment="1" applyProtection="1">
      <alignment horizontal="center" vertical="center"/>
      <protection locked="0"/>
    </xf>
    <xf numFmtId="0" fontId="2" fillId="0" borderId="21" xfId="47" applyBorder="1" applyAlignment="1" applyProtection="1">
      <alignment horizontal="center" vertical="center" wrapText="1"/>
      <protection locked="0"/>
    </xf>
    <xf numFmtId="1" fontId="9" fillId="0" borderId="21" xfId="47" applyNumberFormat="1" applyFont="1" applyBorder="1" applyAlignment="1" applyProtection="1">
      <alignment horizontal="center" vertical="center" wrapText="1"/>
      <protection locked="0"/>
    </xf>
    <xf numFmtId="1" fontId="9" fillId="0" borderId="24" xfId="47" applyNumberFormat="1" applyFont="1" applyBorder="1" applyAlignment="1" applyProtection="1">
      <alignment horizontal="center" vertical="center" wrapText="1"/>
      <protection locked="0"/>
    </xf>
    <xf numFmtId="1" fontId="9" fillId="0" borderId="24" xfId="47" applyNumberFormat="1" applyFont="1" applyBorder="1" applyAlignment="1">
      <alignment horizontal="center" vertical="center" wrapText="1"/>
    </xf>
    <xf numFmtId="1" fontId="9" fillId="0" borderId="9" xfId="47" applyNumberFormat="1" applyFont="1" applyBorder="1" applyAlignment="1">
      <alignment horizontal="center" vertical="center" wrapText="1"/>
    </xf>
    <xf numFmtId="1" fontId="15" fillId="0" borderId="0" xfId="47" applyNumberFormat="1" applyFont="1" applyAlignment="1">
      <alignment horizontal="left" vertical="center"/>
    </xf>
    <xf numFmtId="0" fontId="9" fillId="0" borderId="0" xfId="47" applyFont="1" applyAlignment="1">
      <alignment vertical="center"/>
    </xf>
    <xf numFmtId="0" fontId="9" fillId="4" borderId="8" xfId="47" applyFont="1" applyFill="1" applyBorder="1" applyAlignment="1">
      <alignment vertical="center" wrapText="1"/>
    </xf>
    <xf numFmtId="0" fontId="2" fillId="4" borderId="21" xfId="37" applyFont="1" applyFill="1" applyBorder="1" applyAlignment="1" applyProtection="1">
      <alignment horizontal="justify" vertical="center" wrapText="1"/>
      <protection locked="0"/>
    </xf>
    <xf numFmtId="9" fontId="2" fillId="4" borderId="21" xfId="47" applyNumberFormat="1" applyFill="1" applyBorder="1" applyAlignment="1" applyProtection="1">
      <alignment horizontal="center" vertical="center"/>
      <protection locked="0"/>
    </xf>
    <xf numFmtId="175" fontId="2" fillId="4" borderId="21" xfId="47" applyNumberFormat="1" applyFill="1" applyBorder="1" applyAlignment="1" applyProtection="1">
      <alignment horizontal="center" vertical="center"/>
      <protection locked="0"/>
    </xf>
    <xf numFmtId="0" fontId="2" fillId="4" borderId="21" xfId="47" applyFill="1" applyBorder="1" applyAlignment="1" applyProtection="1">
      <alignment horizontal="center" vertical="center" wrapText="1"/>
      <protection locked="0"/>
    </xf>
    <xf numFmtId="1" fontId="2" fillId="4" borderId="21" xfId="47" applyNumberFormat="1" applyFill="1" applyBorder="1" applyAlignment="1" applyProtection="1">
      <alignment horizontal="center" vertical="center"/>
      <protection locked="0"/>
    </xf>
    <xf numFmtId="0" fontId="9" fillId="11" borderId="8" xfId="47" applyFont="1" applyFill="1" applyBorder="1" applyAlignment="1">
      <alignment vertical="center" wrapText="1"/>
    </xf>
    <xf numFmtId="9" fontId="2" fillId="11" borderId="21" xfId="47" applyNumberFormat="1" applyFill="1" applyBorder="1" applyAlignment="1" applyProtection="1">
      <alignment horizontal="center" vertical="center"/>
      <protection locked="0"/>
    </xf>
    <xf numFmtId="175" fontId="2" fillId="11" borderId="21" xfId="47" applyNumberFormat="1" applyFill="1" applyBorder="1" applyAlignment="1" applyProtection="1">
      <alignment horizontal="center" vertical="center"/>
      <protection locked="0"/>
    </xf>
    <xf numFmtId="0" fontId="2" fillId="11" borderId="21" xfId="47" applyFill="1" applyBorder="1" applyAlignment="1" applyProtection="1">
      <alignment horizontal="center" vertical="center" wrapText="1"/>
      <protection locked="0"/>
    </xf>
    <xf numFmtId="1" fontId="2" fillId="11" borderId="21" xfId="47" applyNumberFormat="1" applyFill="1" applyBorder="1" applyAlignment="1" applyProtection="1">
      <alignment horizontal="center" vertical="center"/>
      <protection locked="0"/>
    </xf>
    <xf numFmtId="0" fontId="9" fillId="0" borderId="8" xfId="47" applyFont="1" applyBorder="1" applyAlignment="1">
      <alignment vertical="center" wrapText="1"/>
    </xf>
    <xf numFmtId="0" fontId="2" fillId="0" borderId="21" xfId="37" applyFont="1" applyBorder="1" applyAlignment="1" applyProtection="1">
      <alignment horizontal="justify" vertical="center" wrapText="1"/>
      <protection locked="0"/>
    </xf>
    <xf numFmtId="1" fontId="2" fillId="0" borderId="21" xfId="47" applyNumberFormat="1" applyBorder="1" applyAlignment="1" applyProtection="1">
      <alignment horizontal="center" vertical="center"/>
      <protection locked="0"/>
    </xf>
    <xf numFmtId="0" fontId="2" fillId="11" borderId="21" xfId="37" applyFont="1" applyFill="1" applyBorder="1" applyAlignment="1" applyProtection="1">
      <alignment horizontal="justify" vertical="center" wrapText="1"/>
      <protection locked="0"/>
    </xf>
    <xf numFmtId="0" fontId="2" fillId="4" borderId="21" xfId="37" applyFont="1" applyFill="1" applyBorder="1" applyAlignment="1" applyProtection="1">
      <alignment horizontal="justify" wrapText="1"/>
      <protection locked="0"/>
    </xf>
    <xf numFmtId="1" fontId="2" fillId="4" borderId="21" xfId="47" applyNumberFormat="1" applyFill="1" applyBorder="1" applyAlignment="1">
      <alignment horizontal="center" vertical="center"/>
    </xf>
    <xf numFmtId="0" fontId="2" fillId="11" borderId="21" xfId="37" applyFont="1" applyFill="1" applyBorder="1" applyAlignment="1" applyProtection="1">
      <alignment horizontal="justify" wrapText="1"/>
      <protection locked="0"/>
    </xf>
    <xf numFmtId="1" fontId="2" fillId="11" borderId="21" xfId="47" applyNumberFormat="1" applyFill="1" applyBorder="1" applyAlignment="1">
      <alignment horizontal="center" vertical="center"/>
    </xf>
    <xf numFmtId="0" fontId="2" fillId="0" borderId="21" xfId="37" applyFont="1" applyBorder="1" applyAlignment="1" applyProtection="1">
      <alignment horizontal="justify" wrapText="1"/>
      <protection locked="0"/>
    </xf>
    <xf numFmtId="1" fontId="2" fillId="0" borderId="21" xfId="47" applyNumberFormat="1" applyBorder="1" applyAlignment="1">
      <alignment horizontal="center" vertical="center"/>
    </xf>
    <xf numFmtId="0" fontId="9" fillId="4" borderId="21" xfId="37" applyFont="1" applyFill="1" applyBorder="1" applyAlignment="1">
      <alignment horizontal="justify" wrapText="1"/>
    </xf>
    <xf numFmtId="175" fontId="9" fillId="4" borderId="21" xfId="2" applyNumberFormat="1" applyFont="1" applyFill="1" applyBorder="1" applyAlignment="1" applyProtection="1">
      <alignment horizontal="center" vertical="center" wrapText="1"/>
    </xf>
    <xf numFmtId="10" fontId="9" fillId="3" borderId="18" xfId="47" applyNumberFormat="1" applyFont="1" applyFill="1" applyBorder="1" applyAlignment="1">
      <alignment vertical="center" wrapText="1"/>
    </xf>
    <xf numFmtId="169" fontId="9" fillId="0" borderId="0" xfId="1" applyFont="1" applyBorder="1" applyAlignment="1" applyProtection="1">
      <alignment vertical="center" wrapText="1"/>
    </xf>
    <xf numFmtId="0" fontId="2" fillId="0" borderId="22" xfId="47" applyBorder="1" applyAlignment="1">
      <alignment vertical="center"/>
    </xf>
    <xf numFmtId="9" fontId="2" fillId="0" borderId="0" xfId="47" applyNumberFormat="1" applyAlignment="1">
      <alignment vertical="center"/>
    </xf>
    <xf numFmtId="0" fontId="11" fillId="3" borderId="12" xfId="3" applyFill="1" applyBorder="1" applyAlignment="1" applyProtection="1">
      <alignment vertical="center"/>
    </xf>
    <xf numFmtId="0" fontId="9" fillId="11" borderId="9" xfId="47" applyFont="1" applyFill="1" applyBorder="1" applyAlignment="1">
      <alignment horizontal="center" vertical="center" wrapText="1"/>
    </xf>
    <xf numFmtId="176" fontId="2" fillId="0" borderId="8" xfId="47" applyNumberFormat="1" applyBorder="1" applyAlignment="1" applyProtection="1">
      <alignment vertical="center"/>
      <protection locked="0"/>
    </xf>
    <xf numFmtId="176" fontId="2" fillId="0" borderId="21" xfId="47" applyNumberFormat="1" applyBorder="1" applyAlignment="1" applyProtection="1">
      <alignment vertical="center"/>
      <protection locked="0"/>
    </xf>
    <xf numFmtId="177" fontId="2" fillId="0" borderId="21" xfId="47" applyNumberFormat="1" applyBorder="1" applyAlignment="1">
      <alignment vertical="center"/>
    </xf>
    <xf numFmtId="177" fontId="2" fillId="0" borderId="9" xfId="47" applyNumberFormat="1" applyBorder="1" applyAlignment="1">
      <alignment vertical="center"/>
    </xf>
    <xf numFmtId="1" fontId="2" fillId="0" borderId="0" xfId="47" applyNumberFormat="1" applyAlignment="1">
      <alignment vertical="center"/>
    </xf>
    <xf numFmtId="10" fontId="2" fillId="3" borderId="21" xfId="47" applyNumberFormat="1" applyFill="1" applyBorder="1" applyAlignment="1">
      <alignment vertical="center"/>
    </xf>
    <xf numFmtId="10" fontId="2" fillId="3" borderId="9" xfId="47" applyNumberFormat="1" applyFill="1" applyBorder="1" applyAlignment="1">
      <alignment vertical="center"/>
    </xf>
    <xf numFmtId="169" fontId="2" fillId="0" borderId="21" xfId="1" applyFont="1" applyBorder="1" applyAlignment="1" applyProtection="1">
      <alignment vertical="center"/>
      <protection locked="0"/>
    </xf>
    <xf numFmtId="169" fontId="2" fillId="0" borderId="21" xfId="1" applyFont="1" applyBorder="1" applyAlignment="1" applyProtection="1">
      <alignment vertical="center"/>
    </xf>
    <xf numFmtId="169" fontId="2" fillId="0" borderId="9" xfId="1" applyFont="1" applyBorder="1" applyAlignment="1" applyProtection="1">
      <alignment vertical="center"/>
    </xf>
    <xf numFmtId="9" fontId="2" fillId="3" borderId="21" xfId="47" applyNumberFormat="1" applyFill="1" applyBorder="1" applyAlignment="1">
      <alignment vertical="center"/>
    </xf>
    <xf numFmtId="9" fontId="2" fillId="3" borderId="9" xfId="47" applyNumberFormat="1" applyFill="1" applyBorder="1" applyAlignment="1">
      <alignment vertical="center"/>
    </xf>
    <xf numFmtId="9" fontId="2" fillId="3" borderId="18" xfId="47" applyNumberFormat="1" applyFill="1" applyBorder="1" applyAlignment="1">
      <alignment vertical="center"/>
    </xf>
    <xf numFmtId="9" fontId="2" fillId="3" borderId="11" xfId="47" applyNumberFormat="1" applyFill="1" applyBorder="1" applyAlignment="1">
      <alignment vertical="center"/>
    </xf>
    <xf numFmtId="0" fontId="2" fillId="0" borderId="0" xfId="47" applyAlignment="1">
      <alignment horizontal="center" vertical="center"/>
    </xf>
    <xf numFmtId="0" fontId="2" fillId="11" borderId="21" xfId="47" applyFill="1" applyBorder="1" applyAlignment="1">
      <alignment vertical="center"/>
    </xf>
    <xf numFmtId="0" fontId="9" fillId="0" borderId="21" xfId="47" applyFont="1" applyBorder="1" applyAlignment="1">
      <alignment vertical="center" wrapText="1"/>
    </xf>
    <xf numFmtId="169" fontId="2" fillId="0" borderId="21" xfId="1" applyFont="1" applyBorder="1" applyAlignment="1" applyProtection="1">
      <alignment horizontal="center" vertical="center" wrapText="1"/>
    </xf>
    <xf numFmtId="169" fontId="9" fillId="11" borderId="9" xfId="47" applyNumberFormat="1" applyFont="1" applyFill="1" applyBorder="1" applyAlignment="1">
      <alignment horizontal="center" vertical="center" wrapText="1"/>
    </xf>
    <xf numFmtId="0" fontId="2" fillId="3" borderId="21" xfId="47" applyFill="1" applyBorder="1" applyAlignment="1">
      <alignment vertical="center"/>
    </xf>
    <xf numFmtId="175" fontId="2" fillId="3" borderId="21" xfId="47" applyNumberFormat="1" applyFill="1" applyBorder="1" applyAlignment="1">
      <alignment vertical="center"/>
    </xf>
    <xf numFmtId="0" fontId="2" fillId="0" borderId="9" xfId="47" applyBorder="1" applyAlignment="1" applyProtection="1">
      <alignment vertical="center"/>
      <protection locked="0"/>
    </xf>
    <xf numFmtId="0" fontId="2" fillId="3" borderId="21" xfId="47" applyFill="1" applyBorder="1" applyAlignment="1">
      <alignment vertical="center" wrapText="1"/>
    </xf>
    <xf numFmtId="9" fontId="9" fillId="11" borderId="11" xfId="2" applyFont="1" applyFill="1" applyBorder="1" applyAlignment="1" applyProtection="1">
      <alignment vertical="center"/>
    </xf>
    <xf numFmtId="170" fontId="15" fillId="0" borderId="0" xfId="47" applyNumberFormat="1" applyFont="1" applyAlignment="1">
      <alignment vertical="center"/>
    </xf>
    <xf numFmtId="178" fontId="15" fillId="0" borderId="0" xfId="47" applyNumberFormat="1" applyFont="1" applyAlignment="1">
      <alignment vertical="center"/>
    </xf>
    <xf numFmtId="0" fontId="2" fillId="0" borderId="0" xfId="47" applyAlignment="1" applyProtection="1">
      <alignment vertical="center"/>
      <protection locked="0"/>
    </xf>
    <xf numFmtId="9" fontId="2" fillId="0" borderId="0" xfId="47" applyNumberFormat="1" applyAlignment="1" applyProtection="1">
      <alignment vertical="center"/>
      <protection locked="0"/>
    </xf>
    <xf numFmtId="0" fontId="2" fillId="0" borderId="26" xfId="47" applyBorder="1" applyAlignment="1" applyProtection="1">
      <alignment vertical="center"/>
      <protection locked="0"/>
    </xf>
    <xf numFmtId="0" fontId="2" fillId="0" borderId="0" xfId="38" applyAlignment="1">
      <alignment vertical="center" wrapText="1"/>
    </xf>
    <xf numFmtId="175" fontId="9" fillId="0" borderId="0" xfId="38" applyNumberFormat="1" applyFont="1" applyAlignment="1">
      <alignment horizontal="center" vertical="center" wrapText="1"/>
    </xf>
    <xf numFmtId="0" fontId="9" fillId="0" borderId="0" xfId="38" applyFont="1" applyAlignment="1">
      <alignment vertical="center" wrapText="1"/>
    </xf>
    <xf numFmtId="0" fontId="2" fillId="0" borderId="0" xfId="38" applyAlignment="1">
      <alignment horizontal="center" vertical="center" wrapText="1"/>
    </xf>
    <xf numFmtId="3" fontId="2" fillId="0" borderId="0" xfId="38" applyNumberFormat="1" applyAlignment="1">
      <alignment vertical="center" wrapText="1"/>
    </xf>
    <xf numFmtId="3" fontId="9" fillId="0" borderId="0" xfId="38" applyNumberFormat="1" applyFont="1" applyAlignment="1">
      <alignment horizontal="right" vertical="center" wrapText="1"/>
    </xf>
    <xf numFmtId="175" fontId="2" fillId="0" borderId="0" xfId="38" applyNumberFormat="1" applyAlignment="1">
      <alignment horizontal="center" vertical="center" wrapText="1"/>
    </xf>
    <xf numFmtId="3" fontId="2" fillId="0" borderId="0" xfId="38" applyNumberFormat="1" applyAlignment="1">
      <alignment horizontal="center" vertical="center"/>
    </xf>
    <xf numFmtId="0" fontId="11" fillId="0" borderId="0" xfId="3" applyBorder="1" applyAlignment="1" applyProtection="1">
      <alignment vertical="center"/>
      <protection locked="0"/>
    </xf>
    <xf numFmtId="0" fontId="9" fillId="11" borderId="22" xfId="29" applyFont="1" applyFill="1" applyBorder="1" applyAlignment="1" applyProtection="1">
      <alignment horizontal="left" vertical="center" wrapText="1"/>
      <protection locked="0"/>
    </xf>
    <xf numFmtId="0" fontId="17" fillId="0" borderId="0" xfId="37" applyFont="1" applyAlignment="1" applyProtection="1">
      <alignment vertical="center" wrapText="1"/>
      <protection hidden="1"/>
    </xf>
    <xf numFmtId="0" fontId="2" fillId="0" borderId="0" xfId="37" applyFont="1" applyAlignment="1" applyProtection="1">
      <alignment vertical="center"/>
      <protection locked="0"/>
    </xf>
    <xf numFmtId="0" fontId="2" fillId="0" borderId="0" xfId="37" applyFont="1" applyAlignment="1" applyProtection="1">
      <alignment horizontal="center" vertical="center"/>
      <protection locked="0"/>
    </xf>
    <xf numFmtId="0" fontId="2" fillId="0" borderId="0" xfId="37" applyFont="1" applyAlignment="1" applyProtection="1">
      <alignment horizontal="center" vertical="center" wrapText="1"/>
      <protection locked="0"/>
    </xf>
    <xf numFmtId="0" fontId="2" fillId="0" borderId="0" xfId="37" applyFont="1" applyAlignment="1" applyProtection="1">
      <alignment horizontal="left" vertical="center" wrapText="1"/>
      <protection locked="0"/>
    </xf>
    <xf numFmtId="0" fontId="2" fillId="0" borderId="0" xfId="37" applyFont="1" applyAlignment="1" applyProtection="1">
      <alignment vertical="center" wrapText="1"/>
      <protection locked="0"/>
    </xf>
    <xf numFmtId="0" fontId="2" fillId="0" borderId="0" xfId="37" applyFont="1" applyProtection="1">
      <protection locked="0"/>
    </xf>
    <xf numFmtId="0" fontId="9" fillId="0" borderId="22" xfId="47" applyFont="1" applyBorder="1" applyAlignment="1" applyProtection="1">
      <alignment horizontal="center" vertical="center" wrapText="1"/>
      <protection locked="0"/>
    </xf>
    <xf numFmtId="0" fontId="9" fillId="0" borderId="0" xfId="47" applyFont="1" applyAlignment="1" applyProtection="1">
      <alignment horizontal="center" vertical="center" wrapText="1"/>
      <protection locked="0"/>
    </xf>
    <xf numFmtId="0" fontId="9" fillId="0" borderId="0" xfId="47" applyFont="1" applyAlignment="1" applyProtection="1">
      <alignment horizontal="center" vertical="center"/>
      <protection locked="0"/>
    </xf>
    <xf numFmtId="0" fontId="9" fillId="11" borderId="21" xfId="47" applyFont="1" applyFill="1" applyBorder="1" applyAlignment="1" applyProtection="1">
      <alignment horizontal="center" vertical="center" wrapText="1"/>
      <protection locked="0"/>
    </xf>
    <xf numFmtId="0" fontId="9" fillId="11" borderId="9" xfId="47" applyFont="1" applyFill="1" applyBorder="1" applyAlignment="1" applyProtection="1">
      <alignment horizontal="center" vertical="center" wrapText="1"/>
      <protection locked="0"/>
    </xf>
    <xf numFmtId="0" fontId="9" fillId="0" borderId="8" xfId="47" applyFont="1" applyBorder="1" applyAlignment="1" applyProtection="1">
      <alignment horizontal="center" vertical="center" wrapText="1"/>
      <protection locked="0"/>
    </xf>
    <xf numFmtId="2" fontId="9" fillId="0" borderId="21" xfId="47" applyNumberFormat="1" applyFont="1" applyBorder="1" applyAlignment="1" applyProtection="1">
      <alignment horizontal="center" vertical="center" wrapText="1"/>
      <protection locked="0"/>
    </xf>
    <xf numFmtId="179" fontId="9" fillId="0" borderId="21" xfId="47" applyNumberFormat="1" applyFont="1" applyBorder="1" applyAlignment="1" applyProtection="1">
      <alignment horizontal="center" vertical="center" wrapText="1"/>
      <protection locked="0"/>
    </xf>
    <xf numFmtId="179" fontId="9" fillId="0" borderId="9" xfId="47" applyNumberFormat="1" applyFont="1" applyBorder="1" applyAlignment="1" applyProtection="1">
      <alignment horizontal="center" vertical="center" wrapText="1"/>
      <protection locked="0"/>
    </xf>
    <xf numFmtId="1" fontId="15" fillId="0" borderId="0" xfId="47" applyNumberFormat="1" applyFont="1" applyAlignment="1" applyProtection="1">
      <alignment horizontal="left" vertical="center"/>
      <protection locked="0"/>
    </xf>
    <xf numFmtId="0" fontId="9" fillId="0" borderId="0" xfId="47" applyFont="1" applyAlignment="1" applyProtection="1">
      <alignment vertical="center"/>
      <protection locked="0"/>
    </xf>
    <xf numFmtId="0" fontId="9" fillId="4" borderId="8" xfId="47" applyFont="1" applyFill="1" applyBorder="1" applyAlignment="1" applyProtection="1">
      <alignment vertical="center" wrapText="1"/>
      <protection locked="0"/>
    </xf>
    <xf numFmtId="0" fontId="2" fillId="4" borderId="21" xfId="37" applyFont="1" applyFill="1" applyBorder="1" applyAlignment="1" applyProtection="1">
      <alignment horizontal="center" wrapText="1"/>
      <protection locked="0"/>
    </xf>
    <xf numFmtId="2" fontId="2" fillId="4" borderId="21" xfId="47" applyNumberFormat="1" applyFill="1" applyBorder="1" applyAlignment="1" applyProtection="1">
      <alignment horizontal="center" vertical="center"/>
      <protection locked="0"/>
    </xf>
    <xf numFmtId="179" fontId="2" fillId="4" borderId="21" xfId="47" applyNumberFormat="1" applyFill="1" applyBorder="1" applyAlignment="1" applyProtection="1">
      <alignment horizontal="center" vertical="center"/>
      <protection locked="0"/>
    </xf>
    <xf numFmtId="179" fontId="2" fillId="4" borderId="9" xfId="47" applyNumberFormat="1" applyFill="1" applyBorder="1" applyAlignment="1" applyProtection="1">
      <alignment horizontal="center" vertical="center"/>
      <protection locked="0"/>
    </xf>
    <xf numFmtId="10" fontId="9" fillId="3" borderId="21" xfId="47" applyNumberFormat="1" applyFont="1" applyFill="1" applyBorder="1" applyAlignment="1">
      <alignment vertical="center" wrapText="1"/>
    </xf>
    <xf numFmtId="10" fontId="9" fillId="3" borderId="9" xfId="47" applyNumberFormat="1" applyFont="1" applyFill="1" applyBorder="1" applyAlignment="1">
      <alignment vertical="center" wrapText="1"/>
    </xf>
    <xf numFmtId="10" fontId="9" fillId="3" borderId="18" xfId="47" applyNumberFormat="1" applyFont="1" applyFill="1" applyBorder="1" applyAlignment="1" applyProtection="1">
      <alignment vertical="center" wrapText="1"/>
      <protection locked="0"/>
    </xf>
    <xf numFmtId="10" fontId="9" fillId="3" borderId="11" xfId="47" applyNumberFormat="1" applyFont="1" applyFill="1" applyBorder="1" applyAlignment="1" applyProtection="1">
      <alignment vertical="center" wrapText="1"/>
      <protection locked="0"/>
    </xf>
    <xf numFmtId="169" fontId="9" fillId="0" borderId="0" xfId="1" applyFont="1" applyBorder="1" applyAlignment="1" applyProtection="1">
      <alignment vertical="center" wrapText="1"/>
      <protection locked="0"/>
    </xf>
    <xf numFmtId="0" fontId="2" fillId="0" borderId="22" xfId="47" applyBorder="1" applyAlignment="1" applyProtection="1">
      <alignment vertical="center"/>
      <protection locked="0"/>
    </xf>
    <xf numFmtId="0" fontId="11" fillId="3" borderId="23" xfId="3" applyFill="1" applyBorder="1" applyAlignment="1" applyProtection="1">
      <alignment vertical="center"/>
      <protection locked="0"/>
    </xf>
    <xf numFmtId="0" fontId="9" fillId="0" borderId="0" xfId="47" applyFont="1" applyAlignment="1" applyProtection="1">
      <alignment vertical="center" wrapText="1"/>
      <protection locked="0"/>
    </xf>
    <xf numFmtId="0" fontId="9" fillId="11" borderId="8" xfId="47" applyFont="1" applyFill="1" applyBorder="1" applyAlignment="1" applyProtection="1">
      <alignment vertical="center" wrapText="1"/>
      <protection locked="0"/>
    </xf>
    <xf numFmtId="177" fontId="2" fillId="0" borderId="21" xfId="47" applyNumberFormat="1" applyBorder="1" applyAlignment="1" applyProtection="1">
      <alignment vertical="center"/>
      <protection locked="0"/>
    </xf>
    <xf numFmtId="177" fontId="2" fillId="0" borderId="9" xfId="47" applyNumberFormat="1" applyBorder="1" applyAlignment="1" applyProtection="1">
      <alignment vertical="center"/>
      <protection locked="0"/>
    </xf>
    <xf numFmtId="1" fontId="2" fillId="0" borderId="0" xfId="47" applyNumberFormat="1" applyAlignment="1" applyProtection="1">
      <alignment vertical="center"/>
      <protection locked="0"/>
    </xf>
    <xf numFmtId="0" fontId="2" fillId="3" borderId="8" xfId="47" applyFill="1" applyBorder="1" applyAlignment="1" applyProtection="1">
      <alignment vertical="center"/>
      <protection locked="0"/>
    </xf>
    <xf numFmtId="10" fontId="2" fillId="3" borderId="21" xfId="47" applyNumberFormat="1" applyFill="1" applyBorder="1" applyAlignment="1" applyProtection="1">
      <alignment vertical="center"/>
      <protection locked="0"/>
    </xf>
    <xf numFmtId="10" fontId="2" fillId="3" borderId="9" xfId="47" applyNumberFormat="1" applyFill="1" applyBorder="1" applyAlignment="1" applyProtection="1">
      <alignment vertical="center"/>
      <protection locked="0"/>
    </xf>
    <xf numFmtId="169" fontId="2" fillId="0" borderId="9" xfId="1" applyFont="1" applyBorder="1" applyAlignment="1" applyProtection="1">
      <alignment vertical="center"/>
      <protection locked="0"/>
    </xf>
    <xf numFmtId="0" fontId="2" fillId="4" borderId="8" xfId="47" applyFill="1" applyBorder="1" applyAlignment="1" applyProtection="1">
      <alignment vertical="center"/>
      <protection locked="0"/>
    </xf>
    <xf numFmtId="9" fontId="2" fillId="3" borderId="21" xfId="47" applyNumberFormat="1" applyFill="1" applyBorder="1" applyAlignment="1" applyProtection="1">
      <alignment vertical="center"/>
      <protection locked="0"/>
    </xf>
    <xf numFmtId="9" fontId="2" fillId="3" borderId="9" xfId="47" applyNumberFormat="1" applyFill="1" applyBorder="1" applyAlignment="1" applyProtection="1">
      <alignment vertical="center"/>
      <protection locked="0"/>
    </xf>
    <xf numFmtId="0" fontId="2" fillId="4" borderId="10" xfId="47" applyFill="1" applyBorder="1" applyAlignment="1" applyProtection="1">
      <alignment vertical="center" wrapText="1"/>
      <protection locked="0"/>
    </xf>
    <xf numFmtId="9" fontId="2" fillId="3" borderId="18" xfId="47" applyNumberFormat="1" applyFill="1" applyBorder="1" applyAlignment="1" applyProtection="1">
      <alignment vertical="center"/>
      <protection locked="0"/>
    </xf>
    <xf numFmtId="9" fontId="2" fillId="3" borderId="11" xfId="47" applyNumberFormat="1" applyFill="1" applyBorder="1" applyAlignment="1" applyProtection="1">
      <alignment vertical="center"/>
      <protection locked="0"/>
    </xf>
    <xf numFmtId="0" fontId="2" fillId="0" borderId="0" xfId="47" applyAlignment="1" applyProtection="1">
      <alignment horizontal="center" vertical="center"/>
      <protection locked="0"/>
    </xf>
    <xf numFmtId="0" fontId="2" fillId="11" borderId="9" xfId="47" applyFill="1" applyBorder="1" applyAlignment="1" applyProtection="1">
      <alignment vertical="center"/>
      <protection locked="0"/>
    </xf>
    <xf numFmtId="0" fontId="2" fillId="11" borderId="21" xfId="47" applyFill="1" applyBorder="1" applyAlignment="1" applyProtection="1">
      <alignment vertical="center"/>
      <protection locked="0"/>
    </xf>
    <xf numFmtId="0" fontId="9" fillId="0" borderId="21" xfId="47" applyFont="1" applyBorder="1" applyAlignment="1" applyProtection="1">
      <alignment vertical="center" wrapText="1"/>
      <protection locked="0"/>
    </xf>
    <xf numFmtId="169" fontId="2" fillId="0" borderId="21" xfId="1" applyFont="1" applyBorder="1" applyAlignment="1" applyProtection="1">
      <alignment horizontal="center" vertical="center" wrapText="1"/>
      <protection locked="0"/>
    </xf>
    <xf numFmtId="169" fontId="9" fillId="11" borderId="9" xfId="47" applyNumberFormat="1" applyFont="1" applyFill="1" applyBorder="1" applyAlignment="1" applyProtection="1">
      <alignment horizontal="center" vertical="center" wrapText="1"/>
      <protection locked="0"/>
    </xf>
    <xf numFmtId="0" fontId="2" fillId="3" borderId="21" xfId="47" applyFill="1" applyBorder="1" applyAlignment="1" applyProtection="1">
      <alignment vertical="center"/>
      <protection locked="0"/>
    </xf>
    <xf numFmtId="175" fontId="2" fillId="3" borderId="21" xfId="47" applyNumberFormat="1" applyFill="1" applyBorder="1" applyAlignment="1" applyProtection="1">
      <alignment vertical="center"/>
      <protection locked="0"/>
    </xf>
    <xf numFmtId="0" fontId="2" fillId="3" borderId="21" xfId="47" applyFill="1" applyBorder="1" applyAlignment="1" applyProtection="1">
      <alignment vertical="center" wrapText="1"/>
      <protection locked="0"/>
    </xf>
    <xf numFmtId="0" fontId="2" fillId="3" borderId="18" xfId="47" applyFill="1" applyBorder="1" applyAlignment="1" applyProtection="1">
      <alignment vertical="center" wrapText="1"/>
      <protection locked="0"/>
    </xf>
    <xf numFmtId="0" fontId="2" fillId="0" borderId="11" xfId="47" applyBorder="1" applyAlignment="1" applyProtection="1">
      <alignment vertical="center"/>
      <protection locked="0"/>
    </xf>
    <xf numFmtId="9" fontId="2" fillId="3" borderId="28" xfId="47" applyNumberFormat="1" applyFill="1" applyBorder="1" applyAlignment="1" applyProtection="1">
      <alignment vertical="center"/>
      <protection locked="0"/>
    </xf>
    <xf numFmtId="9" fontId="9" fillId="11" borderId="7" xfId="2" applyFont="1" applyFill="1" applyBorder="1" applyAlignment="1" applyProtection="1">
      <alignment vertical="center"/>
      <protection locked="0"/>
    </xf>
    <xf numFmtId="170" fontId="2" fillId="0" borderId="0" xfId="47" applyNumberFormat="1" applyAlignment="1" applyProtection="1">
      <alignment vertical="center"/>
      <protection locked="0"/>
    </xf>
    <xf numFmtId="178" fontId="2" fillId="0" borderId="0" xfId="47" applyNumberFormat="1" applyAlignment="1" applyProtection="1">
      <alignment vertical="center"/>
      <protection locked="0"/>
    </xf>
    <xf numFmtId="0" fontId="2" fillId="0" borderId="0" xfId="38" applyAlignment="1" applyProtection="1">
      <alignment vertical="center" wrapText="1"/>
      <protection locked="0"/>
    </xf>
    <xf numFmtId="0" fontId="9" fillId="0" borderId="0" xfId="38" applyFont="1" applyAlignment="1" applyProtection="1">
      <alignment vertical="center" wrapText="1"/>
      <protection locked="0"/>
    </xf>
    <xf numFmtId="0" fontId="2" fillId="0" borderId="0" xfId="38" applyAlignment="1" applyProtection="1">
      <alignment horizontal="center" vertical="center" wrapText="1"/>
      <protection locked="0"/>
    </xf>
    <xf numFmtId="0" fontId="9" fillId="0" borderId="0" xfId="38" applyFont="1" applyAlignment="1" applyProtection="1">
      <alignment horizontal="center" vertical="center"/>
      <protection locked="0"/>
    </xf>
    <xf numFmtId="3" fontId="2" fillId="0" borderId="0" xfId="38" applyNumberFormat="1" applyAlignment="1" applyProtection="1">
      <alignment vertical="center" wrapText="1"/>
      <protection locked="0"/>
    </xf>
    <xf numFmtId="3" fontId="9" fillId="0" borderId="0" xfId="38" applyNumberFormat="1" applyFont="1" applyAlignment="1" applyProtection="1">
      <alignment horizontal="right" vertical="center" wrapText="1"/>
      <protection locked="0"/>
    </xf>
    <xf numFmtId="3" fontId="2" fillId="0" borderId="0" xfId="38" applyNumberFormat="1" applyAlignment="1" applyProtection="1">
      <alignment horizontal="center" vertical="center"/>
      <protection locked="0"/>
    </xf>
    <xf numFmtId="174" fontId="8" fillId="2" borderId="0" xfId="0" applyNumberFormat="1" applyFont="1" applyFill="1" applyAlignment="1" applyProtection="1">
      <alignment horizontal="left" vertical="center" wrapText="1"/>
      <protection locked="0"/>
    </xf>
    <xf numFmtId="174" fontId="7" fillId="2" borderId="0" xfId="0" applyNumberFormat="1" applyFont="1" applyFill="1" applyAlignment="1" applyProtection="1">
      <alignment horizontal="left" vertical="center" wrapText="1"/>
      <protection locked="0"/>
    </xf>
    <xf numFmtId="0" fontId="19" fillId="11" borderId="8" xfId="37" applyFont="1" applyFill="1" applyBorder="1" applyAlignment="1">
      <alignment horizontal="center" vertical="center" wrapText="1"/>
    </xf>
    <xf numFmtId="0" fontId="19" fillId="11" borderId="21" xfId="37" applyFont="1" applyFill="1" applyBorder="1" applyAlignment="1">
      <alignment horizontal="center" vertical="center" wrapText="1"/>
    </xf>
    <xf numFmtId="0" fontId="19" fillId="5" borderId="9" xfId="37" applyFont="1" applyFill="1" applyBorder="1" applyAlignment="1">
      <alignment horizontal="center" vertical="center" wrapText="1"/>
    </xf>
    <xf numFmtId="0" fontId="9" fillId="11" borderId="8" xfId="37" applyFont="1" applyFill="1" applyBorder="1" applyAlignment="1">
      <alignment horizontal="center" vertical="center"/>
    </xf>
    <xf numFmtId="0" fontId="9" fillId="11" borderId="21" xfId="37" applyFont="1" applyFill="1" applyBorder="1" applyAlignment="1">
      <alignment horizontal="center" vertical="center"/>
    </xf>
    <xf numFmtId="0" fontId="9" fillId="11" borderId="9" xfId="37" applyFont="1" applyFill="1" applyBorder="1" applyAlignment="1">
      <alignment horizontal="center" vertical="center"/>
    </xf>
    <xf numFmtId="0" fontId="2" fillId="0" borderId="21" xfId="37" applyFont="1" applyBorder="1" applyAlignment="1" applyProtection="1">
      <alignment vertical="center"/>
      <protection locked="0"/>
    </xf>
    <xf numFmtId="0" fontId="2" fillId="0" borderId="9" xfId="37" applyFont="1" applyBorder="1" applyAlignment="1" applyProtection="1">
      <alignment vertical="center"/>
      <protection locked="0"/>
    </xf>
    <xf numFmtId="0" fontId="20" fillId="0" borderId="8" xfId="37" applyFont="1" applyBorder="1" applyAlignment="1" applyProtection="1">
      <alignment horizontal="left" vertical="center" wrapText="1"/>
      <protection locked="0"/>
    </xf>
    <xf numFmtId="1" fontId="20" fillId="0" borderId="21" xfId="37" applyNumberFormat="1" applyFont="1" applyBorder="1" applyAlignment="1" applyProtection="1">
      <alignment horizontal="center" vertical="center" wrapText="1"/>
      <protection locked="0"/>
    </xf>
    <xf numFmtId="9" fontId="20" fillId="0" borderId="21" xfId="2" applyFont="1" applyBorder="1" applyAlignment="1" applyProtection="1">
      <alignment horizontal="center" vertical="center" wrapText="1"/>
      <protection locked="0"/>
    </xf>
    <xf numFmtId="0" fontId="20" fillId="0" borderId="21" xfId="37" applyFont="1" applyBorder="1" applyAlignment="1" applyProtection="1">
      <alignment horizontal="center" vertical="center" wrapText="1"/>
      <protection locked="0"/>
    </xf>
    <xf numFmtId="179" fontId="20" fillId="0" borderId="21" xfId="37" applyNumberFormat="1" applyFont="1" applyBorder="1" applyAlignment="1" applyProtection="1">
      <alignment horizontal="center" vertical="center"/>
      <protection locked="0"/>
    </xf>
    <xf numFmtId="180" fontId="20" fillId="0" borderId="21" xfId="1" applyNumberFormat="1" applyFont="1" applyBorder="1" applyAlignment="1" applyProtection="1">
      <alignment horizontal="center" vertical="center" wrapText="1"/>
      <protection locked="0"/>
    </xf>
    <xf numFmtId="176" fontId="20" fillId="0" borderId="21" xfId="15" applyNumberFormat="1" applyFont="1" applyBorder="1" applyAlignment="1" applyProtection="1">
      <alignment horizontal="right" vertical="center" wrapText="1"/>
    </xf>
    <xf numFmtId="175" fontId="2" fillId="0" borderId="9" xfId="2" applyNumberFormat="1" applyFont="1" applyBorder="1" applyAlignment="1" applyProtection="1">
      <alignment vertical="center"/>
    </xf>
    <xf numFmtId="176" fontId="2" fillId="0" borderId="8" xfId="37" applyNumberFormat="1" applyFont="1" applyBorder="1" applyAlignment="1" applyProtection="1">
      <alignment vertical="center"/>
      <protection locked="0"/>
    </xf>
    <xf numFmtId="176" fontId="2" fillId="0" borderId="21" xfId="37" applyNumberFormat="1" applyFont="1" applyBorder="1" applyAlignment="1" applyProtection="1">
      <alignment vertical="center"/>
      <protection locked="0"/>
    </xf>
    <xf numFmtId="169" fontId="15" fillId="0" borderId="0" xfId="1" applyFont="1" applyBorder="1" applyAlignment="1" applyProtection="1">
      <alignment vertical="center"/>
      <protection locked="0"/>
    </xf>
    <xf numFmtId="0" fontId="2" fillId="0" borderId="8" xfId="37" applyFont="1" applyBorder="1" applyAlignment="1" applyProtection="1">
      <alignment vertical="center"/>
      <protection locked="0"/>
    </xf>
    <xf numFmtId="176" fontId="20" fillId="0" borderId="21" xfId="15" applyNumberFormat="1" applyFont="1" applyBorder="1" applyAlignment="1" applyProtection="1">
      <alignment horizontal="right" vertical="center" wrapText="1"/>
      <protection locked="0"/>
    </xf>
    <xf numFmtId="179" fontId="20" fillId="0" borderId="21" xfId="37" applyNumberFormat="1" applyFont="1" applyBorder="1" applyAlignment="1" applyProtection="1">
      <alignment horizontal="center" vertical="center" wrapText="1"/>
      <protection locked="0"/>
    </xf>
    <xf numFmtId="176" fontId="18" fillId="11" borderId="21" xfId="15" applyNumberFormat="1" applyFont="1" applyFill="1" applyBorder="1" applyAlignment="1" applyProtection="1">
      <alignment horizontal="right" vertical="center" wrapText="1"/>
    </xf>
    <xf numFmtId="175" fontId="9" fillId="11" borderId="9" xfId="37" applyNumberFormat="1" applyFont="1" applyFill="1" applyBorder="1" applyAlignment="1">
      <alignment vertical="center"/>
    </xf>
    <xf numFmtId="176" fontId="15" fillId="0" borderId="0" xfId="37" applyNumberFormat="1" applyFont="1" applyAlignment="1" applyProtection="1">
      <alignment vertical="center"/>
      <protection locked="0"/>
    </xf>
    <xf numFmtId="0" fontId="20" fillId="0" borderId="21" xfId="37" applyFont="1" applyBorder="1" applyAlignment="1" applyProtection="1">
      <alignment horizontal="center" vertical="center"/>
      <protection locked="0"/>
    </xf>
    <xf numFmtId="9" fontId="20" fillId="0" borderId="21" xfId="2" applyFont="1" applyBorder="1" applyAlignment="1" applyProtection="1">
      <alignment horizontal="center" vertical="center"/>
      <protection locked="0"/>
    </xf>
    <xf numFmtId="3" fontId="20" fillId="0" borderId="21" xfId="37" applyNumberFormat="1" applyFont="1" applyBorder="1" applyAlignment="1" applyProtection="1">
      <alignment horizontal="center" vertical="center"/>
      <protection locked="0"/>
    </xf>
    <xf numFmtId="169" fontId="20" fillId="0" borderId="21" xfId="1" applyFont="1" applyBorder="1" applyAlignment="1" applyProtection="1">
      <alignment horizontal="center" vertical="center" wrapText="1"/>
      <protection locked="0"/>
    </xf>
    <xf numFmtId="176" fontId="18" fillId="11" borderId="18" xfId="15" applyNumberFormat="1" applyFont="1" applyFill="1" applyBorder="1" applyAlignment="1" applyProtection="1">
      <alignment horizontal="right" vertical="center" wrapText="1"/>
    </xf>
    <xf numFmtId="175" fontId="9" fillId="11" borderId="11" xfId="37" applyNumberFormat="1" applyFont="1" applyFill="1" applyBorder="1" applyAlignment="1">
      <alignment vertical="center"/>
    </xf>
    <xf numFmtId="0" fontId="18" fillId="0" borderId="22" xfId="37" applyFont="1" applyBorder="1" applyAlignment="1">
      <alignment horizontal="right" vertical="center"/>
    </xf>
    <xf numFmtId="0" fontId="18" fillId="0" borderId="0" xfId="37" applyFont="1" applyAlignment="1">
      <alignment horizontal="right" vertical="center"/>
    </xf>
    <xf numFmtId="0" fontId="2" fillId="0" borderId="0" xfId="37" applyFont="1" applyAlignment="1">
      <alignment horizontal="right" vertical="center"/>
    </xf>
    <xf numFmtId="3" fontId="18" fillId="0" borderId="0" xfId="37" applyNumberFormat="1" applyFont="1" applyAlignment="1">
      <alignment horizontal="center" vertical="center" wrapText="1"/>
    </xf>
    <xf numFmtId="0" fontId="2" fillId="0" borderId="31" xfId="37" applyFont="1" applyBorder="1" applyAlignment="1">
      <alignment vertical="center"/>
    </xf>
    <xf numFmtId="0" fontId="18" fillId="11" borderId="24" xfId="37" applyFont="1" applyFill="1" applyBorder="1" applyAlignment="1">
      <alignment horizontal="center" vertical="center" wrapText="1"/>
    </xf>
    <xf numFmtId="0" fontId="18" fillId="11" borderId="21" xfId="37" applyFont="1" applyFill="1" applyBorder="1" applyAlignment="1">
      <alignment horizontal="center" vertical="center" wrapText="1"/>
    </xf>
    <xf numFmtId="0" fontId="20" fillId="0" borderId="24" xfId="37" applyFont="1" applyBorder="1" applyAlignment="1" applyProtection="1">
      <alignment horizontal="center" vertical="center" wrapText="1"/>
      <protection locked="0"/>
    </xf>
    <xf numFmtId="0" fontId="20" fillId="0" borderId="21" xfId="42" applyFont="1" applyBorder="1" applyAlignment="1" applyProtection="1">
      <alignment horizontal="center" vertical="center" wrapText="1"/>
      <protection locked="0"/>
    </xf>
    <xf numFmtId="180" fontId="20" fillId="0" borderId="24" xfId="1" applyNumberFormat="1" applyFont="1" applyBorder="1" applyAlignment="1" applyProtection="1">
      <alignment horizontal="center" vertical="center" wrapText="1"/>
      <protection locked="0"/>
    </xf>
    <xf numFmtId="180" fontId="20" fillId="0" borderId="21" xfId="1" applyNumberFormat="1" applyFont="1" applyBorder="1" applyAlignment="1" applyProtection="1">
      <alignment horizontal="center" vertical="center" wrapText="1"/>
    </xf>
    <xf numFmtId="180" fontId="2" fillId="0" borderId="8" xfId="37" applyNumberFormat="1" applyFont="1" applyBorder="1" applyAlignment="1" applyProtection="1">
      <alignment vertical="center"/>
      <protection locked="0"/>
    </xf>
    <xf numFmtId="3" fontId="20" fillId="0" borderId="21" xfId="37" applyNumberFormat="1" applyFont="1" applyBorder="1" applyAlignment="1" applyProtection="1">
      <alignment horizontal="center" vertical="center" wrapText="1"/>
      <protection locked="0"/>
    </xf>
    <xf numFmtId="180" fontId="2" fillId="0" borderId="21" xfId="37" applyNumberFormat="1" applyFont="1" applyBorder="1" applyAlignment="1" applyProtection="1">
      <alignment vertical="center"/>
      <protection locked="0"/>
    </xf>
    <xf numFmtId="180" fontId="18" fillId="11" borderId="18" xfId="1" applyNumberFormat="1" applyFont="1" applyFill="1" applyBorder="1" applyAlignment="1" applyProtection="1">
      <alignment horizontal="right" vertical="center" wrapText="1"/>
    </xf>
    <xf numFmtId="0" fontId="2" fillId="0" borderId="10" xfId="37" applyFont="1" applyBorder="1" applyAlignment="1" applyProtection="1">
      <alignment vertical="center"/>
      <protection locked="0"/>
    </xf>
    <xf numFmtId="0" fontId="2" fillId="0" borderId="18" xfId="37" applyFont="1" applyBorder="1" applyAlignment="1" applyProtection="1">
      <alignment vertical="center"/>
      <protection locked="0"/>
    </xf>
    <xf numFmtId="0" fontId="2" fillId="0" borderId="11" xfId="37" applyFont="1" applyBorder="1" applyAlignment="1" applyProtection="1">
      <alignment vertical="center"/>
      <protection locked="0"/>
    </xf>
    <xf numFmtId="0" fontId="18" fillId="0" borderId="0" xfId="37" applyFont="1" applyAlignment="1" applyProtection="1">
      <alignment horizontal="right" vertical="center"/>
      <protection locked="0"/>
    </xf>
    <xf numFmtId="180" fontId="18" fillId="0" borderId="0" xfId="1" applyNumberFormat="1" applyFont="1" applyBorder="1" applyAlignment="1" applyProtection="1">
      <alignment horizontal="right" vertical="center" wrapText="1"/>
      <protection locked="0"/>
    </xf>
    <xf numFmtId="175" fontId="9" fillId="0" borderId="0" xfId="37" applyNumberFormat="1" applyFont="1" applyAlignment="1">
      <alignment vertical="center"/>
    </xf>
    <xf numFmtId="170" fontId="15" fillId="0" borderId="0" xfId="37" applyNumberFormat="1" applyFont="1" applyAlignment="1" applyProtection="1">
      <alignment vertical="center"/>
      <protection locked="0"/>
    </xf>
    <xf numFmtId="0" fontId="2" fillId="0" borderId="0" xfId="37" applyFont="1" applyAlignment="1" applyProtection="1">
      <alignment horizontal="right" vertical="center"/>
      <protection locked="0"/>
    </xf>
    <xf numFmtId="176" fontId="18" fillId="0" borderId="0" xfId="15" applyNumberFormat="1" applyFont="1" applyBorder="1" applyAlignment="1" applyProtection="1">
      <alignment horizontal="right" vertical="center" wrapText="1"/>
      <protection locked="0"/>
    </xf>
    <xf numFmtId="175" fontId="9" fillId="0" borderId="0" xfId="37" applyNumberFormat="1" applyFont="1" applyAlignment="1" applyProtection="1">
      <alignment vertical="center"/>
      <protection locked="0"/>
    </xf>
    <xf numFmtId="176" fontId="18" fillId="0" borderId="17" xfId="15" applyNumberFormat="1" applyFont="1" applyBorder="1" applyAlignment="1" applyProtection="1">
      <alignment horizontal="right" vertical="center" wrapText="1"/>
    </xf>
    <xf numFmtId="9" fontId="18" fillId="0" borderId="21" xfId="37" applyNumberFormat="1" applyFont="1" applyBorder="1" applyAlignment="1" applyProtection="1">
      <alignment horizontal="right" vertical="center" wrapText="1"/>
      <protection locked="0"/>
    </xf>
    <xf numFmtId="176" fontId="20" fillId="0" borderId="9" xfId="15" applyNumberFormat="1" applyFont="1" applyBorder="1" applyAlignment="1" applyProtection="1">
      <alignment horizontal="right" vertical="center" wrapText="1"/>
    </xf>
    <xf numFmtId="9" fontId="18" fillId="0" borderId="21" xfId="37" applyNumberFormat="1" applyFont="1" applyBorder="1" applyAlignment="1">
      <alignment vertical="center" wrapText="1"/>
    </xf>
    <xf numFmtId="176" fontId="20" fillId="0" borderId="9" xfId="15" applyNumberFormat="1" applyFont="1" applyBorder="1" applyAlignment="1" applyProtection="1">
      <alignment horizontal="right" vertical="center" wrapText="1"/>
      <protection locked="0"/>
    </xf>
    <xf numFmtId="176" fontId="18" fillId="0" borderId="11" xfId="15" applyNumberFormat="1" applyFont="1" applyBorder="1" applyAlignment="1" applyProtection="1">
      <alignment horizontal="right" vertical="center" wrapText="1"/>
    </xf>
    <xf numFmtId="0" fontId="9" fillId="0" borderId="0" xfId="37" applyFont="1" applyAlignment="1" applyProtection="1">
      <alignment horizontal="right" vertical="center"/>
      <protection locked="0"/>
    </xf>
    <xf numFmtId="0" fontId="18" fillId="3" borderId="4" xfId="37" applyFont="1" applyFill="1" applyBorder="1" applyAlignment="1">
      <alignment horizontal="center" vertical="center" wrapText="1"/>
    </xf>
    <xf numFmtId="0" fontId="18" fillId="3" borderId="32" xfId="37" applyFont="1" applyFill="1" applyBorder="1" applyAlignment="1">
      <alignment horizontal="center" vertical="center" wrapText="1"/>
    </xf>
    <xf numFmtId="0" fontId="18" fillId="5" borderId="32" xfId="37" applyFont="1" applyFill="1" applyBorder="1" applyAlignment="1">
      <alignment horizontal="center" vertical="center" wrapText="1"/>
    </xf>
    <xf numFmtId="0" fontId="18" fillId="5" borderId="5" xfId="37" applyFont="1" applyFill="1" applyBorder="1" applyAlignment="1">
      <alignment horizontal="center" vertical="center" wrapText="1"/>
    </xf>
    <xf numFmtId="175" fontId="2" fillId="0" borderId="21" xfId="37" applyNumberFormat="1" applyFont="1" applyBorder="1" applyAlignment="1">
      <alignment vertical="center"/>
    </xf>
    <xf numFmtId="175" fontId="2" fillId="0" borderId="9" xfId="37" applyNumberFormat="1" applyFont="1" applyBorder="1" applyAlignment="1">
      <alignment vertical="center"/>
    </xf>
    <xf numFmtId="176" fontId="20" fillId="0" borderId="21" xfId="37" applyNumberFormat="1" applyFont="1" applyBorder="1" applyAlignment="1">
      <alignment horizontal="center" vertical="center" wrapText="1"/>
    </xf>
    <xf numFmtId="0" fontId="2" fillId="0" borderId="21" xfId="37" applyFont="1" applyBorder="1" applyAlignment="1">
      <alignment vertical="center"/>
    </xf>
    <xf numFmtId="176" fontId="2" fillId="0" borderId="21" xfId="37" applyNumberFormat="1" applyFont="1" applyBorder="1" applyAlignment="1">
      <alignment vertical="center"/>
    </xf>
    <xf numFmtId="176" fontId="2" fillId="0" borderId="18" xfId="37" applyNumberFormat="1" applyFont="1" applyBorder="1" applyAlignment="1">
      <alignment vertical="center"/>
    </xf>
    <xf numFmtId="0" fontId="2" fillId="0" borderId="18" xfId="37" applyFont="1" applyBorder="1" applyAlignment="1">
      <alignment vertical="center"/>
    </xf>
    <xf numFmtId="175" fontId="2" fillId="0" borderId="11" xfId="37" applyNumberFormat="1" applyFont="1" applyBorder="1" applyAlignment="1">
      <alignment vertical="center"/>
    </xf>
    <xf numFmtId="175" fontId="2" fillId="0" borderId="0" xfId="37" applyNumberFormat="1" applyFont="1" applyAlignment="1" applyProtection="1">
      <alignment vertical="center"/>
      <protection locked="0"/>
    </xf>
    <xf numFmtId="0" fontId="18" fillId="5" borderId="5" xfId="37" applyFont="1" applyFill="1" applyBorder="1" applyAlignment="1" applyProtection="1">
      <alignment horizontal="center" vertical="center" wrapText="1"/>
      <protection hidden="1"/>
    </xf>
    <xf numFmtId="180" fontId="2" fillId="0" borderId="21" xfId="37" applyNumberFormat="1" applyFont="1" applyBorder="1" applyAlignment="1">
      <alignment vertical="center"/>
    </xf>
    <xf numFmtId="9" fontId="2" fillId="0" borderId="9" xfId="2" applyFont="1" applyBorder="1" applyAlignment="1" applyProtection="1">
      <alignment vertical="center"/>
    </xf>
    <xf numFmtId="180" fontId="2" fillId="0" borderId="18" xfId="37" applyNumberFormat="1" applyFont="1" applyBorder="1" applyAlignment="1" applyProtection="1">
      <alignment vertical="center"/>
      <protection locked="0"/>
    </xf>
    <xf numFmtId="180" fontId="2" fillId="0" borderId="18" xfId="37" applyNumberFormat="1" applyFont="1" applyBorder="1" applyAlignment="1">
      <alignment vertical="center"/>
    </xf>
    <xf numFmtId="9" fontId="2" fillId="0" borderId="11" xfId="2" applyFont="1" applyBorder="1" applyAlignment="1" applyProtection="1">
      <alignment vertical="center"/>
    </xf>
    <xf numFmtId="180" fontId="15" fillId="0" borderId="0" xfId="1" applyNumberFormat="1" applyFont="1" applyBorder="1" applyAlignment="1" applyProtection="1">
      <alignment vertical="center"/>
      <protection locked="0"/>
    </xf>
    <xf numFmtId="2" fontId="2" fillId="0" borderId="0" xfId="37" applyNumberFormat="1" applyFont="1" applyAlignment="1" applyProtection="1">
      <alignment vertical="center"/>
      <protection locked="0"/>
    </xf>
    <xf numFmtId="175" fontId="2" fillId="0" borderId="0" xfId="37" applyNumberFormat="1" applyFont="1" applyAlignment="1" applyProtection="1">
      <alignment vertical="center"/>
      <protection hidden="1"/>
    </xf>
    <xf numFmtId="180" fontId="15" fillId="0" borderId="0" xfId="37" applyNumberFormat="1" applyFont="1" applyAlignment="1" applyProtection="1">
      <alignment vertical="center"/>
      <protection locked="0"/>
    </xf>
    <xf numFmtId="0" fontId="10" fillId="0" borderId="0" xfId="3" applyFont="1" applyBorder="1" applyAlignment="1" applyProtection="1">
      <alignment vertical="center"/>
      <protection locked="0"/>
    </xf>
    <xf numFmtId="0" fontId="9" fillId="11" borderId="12" xfId="29" applyFont="1" applyFill="1" applyBorder="1" applyAlignment="1" applyProtection="1">
      <alignment horizontal="left" vertical="center" wrapText="1"/>
      <protection locked="0"/>
    </xf>
    <xf numFmtId="0" fontId="21" fillId="0" borderId="0" xfId="37" applyFont="1" applyAlignment="1" applyProtection="1">
      <alignment vertical="center"/>
      <protection locked="0"/>
    </xf>
    <xf numFmtId="0" fontId="19" fillId="11" borderId="16" xfId="37" applyFont="1" applyFill="1" applyBorder="1" applyAlignment="1" applyProtection="1">
      <alignment horizontal="center" vertical="center" wrapText="1"/>
      <protection locked="0"/>
    </xf>
    <xf numFmtId="0" fontId="19" fillId="11" borderId="34" xfId="37" applyFont="1" applyFill="1" applyBorder="1" applyAlignment="1" applyProtection="1">
      <alignment horizontal="center" vertical="center" wrapText="1"/>
      <protection locked="0"/>
    </xf>
    <xf numFmtId="0" fontId="19" fillId="11" borderId="17" xfId="37" applyFont="1" applyFill="1" applyBorder="1" applyAlignment="1" applyProtection="1">
      <alignment horizontal="center" vertical="center" wrapText="1"/>
      <protection locked="0"/>
    </xf>
    <xf numFmtId="0" fontId="20" fillId="0" borderId="14" xfId="37" applyFont="1" applyBorder="1" applyAlignment="1" applyProtection="1">
      <alignment horizontal="left" vertical="center" wrapText="1"/>
      <protection locked="0"/>
    </xf>
    <xf numFmtId="0" fontId="20" fillId="0" borderId="35" xfId="37" applyFont="1" applyBorder="1" applyAlignment="1" applyProtection="1">
      <alignment horizontal="center" vertical="center" wrapText="1"/>
      <protection locked="0"/>
    </xf>
    <xf numFmtId="181" fontId="20" fillId="0" borderId="35" xfId="37" applyNumberFormat="1" applyFont="1" applyBorder="1" applyAlignment="1" applyProtection="1">
      <alignment horizontal="center" vertical="center"/>
      <protection locked="0"/>
    </xf>
    <xf numFmtId="2" fontId="20" fillId="0" borderId="21" xfId="1" applyNumberFormat="1" applyFont="1" applyBorder="1" applyAlignment="1" applyProtection="1">
      <alignment horizontal="center" vertical="center" wrapText="1"/>
      <protection locked="0"/>
    </xf>
    <xf numFmtId="176" fontId="20" fillId="0" borderId="15" xfId="15" applyNumberFormat="1" applyFont="1" applyBorder="1" applyAlignment="1" applyProtection="1">
      <alignment horizontal="right" vertical="center" wrapText="1"/>
      <protection locked="0"/>
    </xf>
    <xf numFmtId="176" fontId="10" fillId="0" borderId="0" xfId="3" applyNumberFormat="1" applyFont="1" applyBorder="1" applyAlignment="1" applyProtection="1">
      <alignment vertical="center"/>
      <protection locked="0"/>
    </xf>
    <xf numFmtId="1" fontId="2" fillId="0" borderId="0" xfId="37" applyNumberFormat="1" applyFont="1" applyAlignment="1" applyProtection="1">
      <alignment vertical="center"/>
      <protection locked="0"/>
    </xf>
    <xf numFmtId="176" fontId="18" fillId="3" borderId="9" xfId="15" applyNumberFormat="1" applyFont="1" applyFill="1" applyBorder="1" applyAlignment="1" applyProtection="1">
      <alignment horizontal="right" vertical="center" wrapText="1"/>
      <protection locked="0"/>
    </xf>
    <xf numFmtId="176" fontId="15" fillId="0" borderId="0" xfId="37" applyNumberFormat="1" applyFont="1" applyAlignment="1">
      <alignment vertical="center"/>
    </xf>
    <xf numFmtId="176" fontId="18" fillId="11" borderId="11" xfId="15" applyNumberFormat="1" applyFont="1" applyFill="1" applyBorder="1" applyAlignment="1" applyProtection="1">
      <alignment horizontal="right" vertical="center" wrapText="1"/>
      <protection locked="0"/>
    </xf>
    <xf numFmtId="0" fontId="9" fillId="11" borderId="0" xfId="29" applyFont="1" applyFill="1" applyAlignment="1" applyProtection="1">
      <alignment horizontal="left" vertical="center" wrapText="1"/>
      <protection locked="0"/>
    </xf>
    <xf numFmtId="0" fontId="9" fillId="0" borderId="0" xfId="37" applyFont="1" applyAlignment="1" applyProtection="1">
      <alignment horizontal="center" vertical="top" wrapText="1"/>
      <protection locked="0"/>
    </xf>
    <xf numFmtId="0" fontId="19" fillId="11" borderId="8" xfId="37" applyFont="1" applyFill="1" applyBorder="1" applyAlignment="1" applyProtection="1">
      <alignment horizontal="center" vertical="center" wrapText="1"/>
      <protection locked="0"/>
    </xf>
    <xf numFmtId="0" fontId="19" fillId="11" borderId="21" xfId="37" applyFont="1" applyFill="1" applyBorder="1" applyAlignment="1" applyProtection="1">
      <alignment horizontal="center" vertical="center" wrapText="1"/>
      <protection locked="0"/>
    </xf>
    <xf numFmtId="0" fontId="9" fillId="11" borderId="21" xfId="0" applyFont="1" applyFill="1" applyBorder="1" applyAlignment="1" applyProtection="1">
      <alignment horizontal="center" vertical="center"/>
      <protection locked="0"/>
    </xf>
    <xf numFmtId="0" fontId="9" fillId="11" borderId="9" xfId="0" applyFont="1" applyFill="1" applyBorder="1" applyAlignment="1" applyProtection="1">
      <alignment horizontal="center" vertical="center"/>
      <protection locked="0"/>
    </xf>
    <xf numFmtId="0" fontId="9" fillId="11" borderId="8" xfId="37" applyFont="1" applyFill="1" applyBorder="1" applyAlignment="1" applyProtection="1">
      <alignment horizontal="center" vertical="center"/>
      <protection locked="0"/>
    </xf>
    <xf numFmtId="0" fontId="9" fillId="11" borderId="21" xfId="37" applyFont="1" applyFill="1" applyBorder="1" applyAlignment="1" applyProtection="1">
      <alignment horizontal="center" vertical="center"/>
      <protection locked="0"/>
    </xf>
    <xf numFmtId="0" fontId="9" fillId="11" borderId="9" xfId="37" applyFont="1" applyFill="1" applyBorder="1" applyAlignment="1" applyProtection="1">
      <alignment horizontal="center" vertical="center"/>
      <protection locked="0"/>
    </xf>
    <xf numFmtId="0" fontId="20" fillId="0" borderId="21" xfId="37" applyFont="1" applyBorder="1" applyAlignment="1" applyProtection="1">
      <alignment horizontal="left" vertical="center" wrapText="1"/>
      <protection locked="0"/>
    </xf>
    <xf numFmtId="2" fontId="20" fillId="0" borderId="21" xfId="37" applyNumberFormat="1" applyFont="1" applyBorder="1" applyAlignment="1" applyProtection="1">
      <alignment horizontal="center" vertical="center"/>
      <protection locked="0"/>
    </xf>
    <xf numFmtId="175" fontId="2" fillId="0" borderId="21" xfId="2" applyNumberFormat="1" applyFont="1" applyBorder="1" applyAlignment="1" applyProtection="1">
      <alignment vertical="center"/>
    </xf>
    <xf numFmtId="180" fontId="2" fillId="0" borderId="36" xfId="1" applyNumberFormat="1" applyFont="1" applyBorder="1" applyAlignment="1" applyProtection="1">
      <alignment vertical="center"/>
      <protection locked="0"/>
    </xf>
    <xf numFmtId="180" fontId="2" fillId="0" borderId="21" xfId="1" applyNumberFormat="1" applyFont="1" applyBorder="1" applyAlignment="1" applyProtection="1">
      <alignment vertical="center"/>
      <protection locked="0"/>
    </xf>
    <xf numFmtId="180" fontId="2" fillId="0" borderId="9" xfId="1" applyNumberFormat="1" applyFont="1" applyBorder="1" applyAlignment="1" applyProtection="1">
      <alignment vertical="center"/>
      <protection locked="0"/>
    </xf>
    <xf numFmtId="180" fontId="2" fillId="0" borderId="8" xfId="1" applyNumberFormat="1" applyFont="1" applyBorder="1" applyAlignment="1" applyProtection="1">
      <alignment vertical="center"/>
      <protection locked="0"/>
    </xf>
    <xf numFmtId="2" fontId="20" fillId="0" borderId="21" xfId="37" applyNumberFormat="1" applyFont="1" applyBorder="1" applyAlignment="1" applyProtection="1">
      <alignment horizontal="center" vertical="center" wrapText="1"/>
      <protection locked="0"/>
    </xf>
    <xf numFmtId="176" fontId="18" fillId="11" borderId="21" xfId="15" applyNumberFormat="1" applyFont="1" applyFill="1" applyBorder="1" applyAlignment="1" applyProtection="1">
      <alignment horizontal="right" vertical="center" wrapText="1"/>
      <protection locked="0"/>
    </xf>
    <xf numFmtId="175" fontId="9" fillId="11" borderId="21" xfId="37" applyNumberFormat="1" applyFont="1" applyFill="1" applyBorder="1" applyAlignment="1">
      <alignment vertical="center"/>
    </xf>
    <xf numFmtId="180" fontId="2" fillId="11" borderId="21" xfId="1" applyNumberFormat="1" applyFont="1" applyFill="1" applyBorder="1" applyAlignment="1" applyProtection="1">
      <alignment vertical="center"/>
      <protection locked="0"/>
    </xf>
    <xf numFmtId="180" fontId="2" fillId="11" borderId="9" xfId="1" applyNumberFormat="1" applyFont="1" applyFill="1" applyBorder="1" applyAlignment="1" applyProtection="1">
      <alignment vertical="center"/>
      <protection locked="0"/>
    </xf>
    <xf numFmtId="176" fontId="18" fillId="11" borderId="18" xfId="15" applyNumberFormat="1" applyFont="1" applyFill="1" applyBorder="1" applyAlignment="1" applyProtection="1">
      <alignment horizontal="right" vertical="center" wrapText="1"/>
      <protection locked="0"/>
    </xf>
    <xf numFmtId="175" fontId="9" fillId="11" borderId="18" xfId="37" applyNumberFormat="1" applyFont="1" applyFill="1" applyBorder="1" applyAlignment="1">
      <alignment vertical="center"/>
    </xf>
    <xf numFmtId="180" fontId="2" fillId="11" borderId="18" xfId="1" applyNumberFormat="1" applyFont="1" applyFill="1" applyBorder="1" applyAlignment="1" applyProtection="1">
      <alignment vertical="center"/>
      <protection locked="0"/>
    </xf>
    <xf numFmtId="180" fontId="2" fillId="11" borderId="11" xfId="1" applyNumberFormat="1" applyFont="1" applyFill="1" applyBorder="1" applyAlignment="1" applyProtection="1">
      <alignment vertical="center"/>
      <protection locked="0"/>
    </xf>
    <xf numFmtId="3" fontId="18" fillId="0" borderId="0" xfId="37" applyNumberFormat="1" applyFont="1" applyAlignment="1" applyProtection="1">
      <alignment horizontal="center" vertical="center" wrapText="1"/>
      <protection locked="0"/>
    </xf>
    <xf numFmtId="180" fontId="2" fillId="0" borderId="0" xfId="37" applyNumberFormat="1" applyFont="1" applyAlignment="1" applyProtection="1">
      <alignment vertical="center"/>
      <protection locked="0"/>
    </xf>
    <xf numFmtId="0" fontId="18" fillId="11" borderId="8" xfId="37" applyFont="1" applyFill="1" applyBorder="1" applyAlignment="1" applyProtection="1">
      <alignment horizontal="center" vertical="center" wrapText="1"/>
      <protection locked="0"/>
    </xf>
    <xf numFmtId="0" fontId="18" fillId="11" borderId="21" xfId="37" applyFont="1" applyFill="1" applyBorder="1" applyAlignment="1" applyProtection="1">
      <alignment horizontal="center" vertical="center" wrapText="1"/>
      <protection locked="0"/>
    </xf>
    <xf numFmtId="180" fontId="9" fillId="11" borderId="21" xfId="0" applyNumberFormat="1" applyFont="1" applyFill="1" applyBorder="1" applyAlignment="1" applyProtection="1">
      <alignment horizontal="center" vertical="center"/>
      <protection locked="0"/>
    </xf>
    <xf numFmtId="180" fontId="9" fillId="11" borderId="9" xfId="0" applyNumberFormat="1" applyFont="1" applyFill="1" applyBorder="1" applyAlignment="1" applyProtection="1">
      <alignment horizontal="center" vertical="center"/>
      <protection locked="0"/>
    </xf>
    <xf numFmtId="175" fontId="2" fillId="0" borderId="24" xfId="2" applyNumberFormat="1" applyFont="1" applyBorder="1" applyAlignment="1" applyProtection="1">
      <alignment vertical="center"/>
      <protection locked="0"/>
    </xf>
    <xf numFmtId="180" fontId="18" fillId="11" borderId="18" xfId="1" applyNumberFormat="1" applyFont="1" applyFill="1" applyBorder="1" applyAlignment="1" applyProtection="1">
      <alignment horizontal="right" vertical="center" wrapText="1"/>
      <protection locked="0"/>
    </xf>
    <xf numFmtId="175" fontId="9" fillId="11" borderId="38" xfId="37" applyNumberFormat="1" applyFont="1" applyFill="1" applyBorder="1" applyAlignment="1" applyProtection="1">
      <alignment vertical="center"/>
      <protection locked="0"/>
    </xf>
    <xf numFmtId="180" fontId="2" fillId="0" borderId="10" xfId="1" applyNumberFormat="1" applyFont="1" applyBorder="1" applyAlignment="1" applyProtection="1">
      <alignment vertical="center"/>
      <protection locked="0"/>
    </xf>
    <xf numFmtId="180" fontId="2" fillId="0" borderId="18" xfId="1" applyNumberFormat="1" applyFont="1" applyBorder="1" applyAlignment="1" applyProtection="1">
      <alignment vertical="center"/>
      <protection locked="0"/>
    </xf>
    <xf numFmtId="180" fontId="2" fillId="0" borderId="11" xfId="1" applyNumberFormat="1" applyFont="1" applyBorder="1" applyAlignment="1" applyProtection="1">
      <alignment vertical="center"/>
      <protection locked="0"/>
    </xf>
    <xf numFmtId="180" fontId="2" fillId="0" borderId="0" xfId="1" applyNumberFormat="1" applyFont="1" applyBorder="1" applyAlignment="1" applyProtection="1">
      <alignment vertical="center"/>
      <protection locked="0"/>
    </xf>
    <xf numFmtId="0" fontId="22" fillId="0" borderId="0" xfId="37" applyFont="1" applyAlignment="1" applyProtection="1">
      <alignment horizontal="left" vertical="center"/>
      <protection locked="0"/>
    </xf>
    <xf numFmtId="180" fontId="9" fillId="11" borderId="8" xfId="0" applyNumberFormat="1" applyFont="1" applyFill="1" applyBorder="1" applyAlignment="1" applyProtection="1">
      <alignment horizontal="center" vertical="center"/>
      <protection locked="0"/>
    </xf>
    <xf numFmtId="0" fontId="18" fillId="0" borderId="0" xfId="44" applyFont="1" applyAlignment="1">
      <alignment horizontal="left" vertical="center"/>
    </xf>
    <xf numFmtId="176" fontId="18" fillId="0" borderId="17" xfId="15" applyNumberFormat="1" applyFont="1" applyBorder="1" applyAlignment="1" applyProtection="1">
      <alignment horizontal="right" vertical="center" wrapText="1"/>
      <protection locked="0"/>
    </xf>
    <xf numFmtId="180" fontId="2" fillId="3" borderId="8" xfId="37" applyNumberFormat="1" applyFont="1" applyFill="1" applyBorder="1" applyAlignment="1" applyProtection="1">
      <alignment vertical="center"/>
      <protection locked="0"/>
    </xf>
    <xf numFmtId="180" fontId="2" fillId="3" borderId="21" xfId="37" applyNumberFormat="1" applyFont="1" applyFill="1" applyBorder="1" applyAlignment="1" applyProtection="1">
      <alignment vertical="center"/>
      <protection locked="0"/>
    </xf>
    <xf numFmtId="180" fontId="2" fillId="3" borderId="9" xfId="37" applyNumberFormat="1" applyFont="1" applyFill="1" applyBorder="1" applyAlignment="1" applyProtection="1">
      <alignment vertical="center"/>
      <protection locked="0"/>
    </xf>
    <xf numFmtId="176" fontId="18" fillId="0" borderId="9" xfId="15" applyNumberFormat="1" applyFont="1" applyBorder="1" applyAlignment="1" applyProtection="1">
      <alignment horizontal="right" vertical="center" wrapText="1"/>
      <protection locked="0"/>
    </xf>
    <xf numFmtId="180" fontId="2" fillId="0" borderId="9" xfId="37" applyNumberFormat="1" applyFont="1" applyBorder="1" applyAlignment="1" applyProtection="1">
      <alignment vertical="center"/>
      <protection locked="0"/>
    </xf>
    <xf numFmtId="9" fontId="18" fillId="3" borderId="21" xfId="37" applyNumberFormat="1" applyFont="1" applyFill="1" applyBorder="1" applyAlignment="1" applyProtection="1">
      <alignment horizontal="right" vertical="center" wrapText="1"/>
      <protection locked="0"/>
    </xf>
    <xf numFmtId="180" fontId="20" fillId="0" borderId="9" xfId="15" applyNumberFormat="1" applyFont="1" applyBorder="1" applyAlignment="1" applyProtection="1">
      <alignment horizontal="right" vertical="center" wrapText="1"/>
      <protection locked="0"/>
    </xf>
    <xf numFmtId="176" fontId="2" fillId="0" borderId="0" xfId="37" applyNumberFormat="1" applyFont="1" applyAlignment="1" applyProtection="1">
      <alignment vertical="center"/>
      <protection locked="0"/>
    </xf>
    <xf numFmtId="176" fontId="18" fillId="0" borderId="11" xfId="15" applyNumberFormat="1" applyFont="1" applyBorder="1" applyAlignment="1" applyProtection="1">
      <alignment horizontal="right" vertical="center" wrapText="1"/>
      <protection locked="0"/>
    </xf>
    <xf numFmtId="0" fontId="2" fillId="0" borderId="39" xfId="37" applyFont="1" applyBorder="1" applyAlignment="1" applyProtection="1">
      <alignment horizontal="left" vertical="center"/>
      <protection locked="0"/>
    </xf>
    <xf numFmtId="176" fontId="2" fillId="0" borderId="0" xfId="37" applyNumberFormat="1" applyFont="1" applyAlignment="1" applyProtection="1">
      <alignment horizontal="left" vertical="center"/>
      <protection locked="0"/>
    </xf>
    <xf numFmtId="0" fontId="2" fillId="0" borderId="0" xfId="37" applyFont="1" applyAlignment="1" applyProtection="1">
      <alignment horizontal="left" vertical="center"/>
      <protection locked="0"/>
    </xf>
    <xf numFmtId="0" fontId="2" fillId="0" borderId="40" xfId="37" applyFont="1" applyBorder="1" applyAlignment="1" applyProtection="1">
      <alignment horizontal="left" vertical="center"/>
      <protection locked="0"/>
    </xf>
    <xf numFmtId="0" fontId="18" fillId="3" borderId="21" xfId="37" applyFont="1" applyFill="1" applyBorder="1" applyAlignment="1" applyProtection="1">
      <alignment horizontal="center" vertical="center" wrapText="1"/>
      <protection locked="0"/>
    </xf>
    <xf numFmtId="0" fontId="18" fillId="5" borderId="21" xfId="37" applyFont="1" applyFill="1" applyBorder="1" applyAlignment="1">
      <alignment horizontal="center" vertical="center" wrapText="1"/>
    </xf>
    <xf numFmtId="0" fontId="18" fillId="5" borderId="9" xfId="37" applyFont="1" applyFill="1" applyBorder="1" applyAlignment="1">
      <alignment horizontal="center" vertical="center" wrapText="1"/>
    </xf>
    <xf numFmtId="0" fontId="18" fillId="0" borderId="0" xfId="37" applyFont="1" applyAlignment="1" applyProtection="1">
      <alignment horizontal="left" vertical="center"/>
      <protection locked="0"/>
    </xf>
    <xf numFmtId="176" fontId="20" fillId="0" borderId="18" xfId="37" applyNumberFormat="1" applyFont="1" applyBorder="1" applyAlignment="1" applyProtection="1">
      <alignment horizontal="center" vertical="center" wrapText="1"/>
      <protection locked="0"/>
    </xf>
    <xf numFmtId="175" fontId="2" fillId="0" borderId="18" xfId="37" applyNumberFormat="1" applyFont="1" applyBorder="1" applyAlignment="1">
      <alignment vertical="center"/>
    </xf>
    <xf numFmtId="0" fontId="11" fillId="3" borderId="12" xfId="3" applyFill="1" applyBorder="1" applyAlignment="1" applyProtection="1">
      <alignment vertical="center"/>
      <protection locked="0"/>
    </xf>
    <xf numFmtId="0" fontId="18" fillId="3" borderId="16" xfId="37" applyFont="1" applyFill="1" applyBorder="1" applyAlignment="1" applyProtection="1">
      <alignment horizontal="center" vertical="center" wrapText="1"/>
      <protection locked="0"/>
    </xf>
    <xf numFmtId="0" fontId="18" fillId="3" borderId="34" xfId="37" applyFont="1" applyFill="1" applyBorder="1" applyAlignment="1" applyProtection="1">
      <alignment horizontal="center" vertical="center" wrapText="1"/>
      <protection locked="0"/>
    </xf>
    <xf numFmtId="0" fontId="18" fillId="5" borderId="17" xfId="37" applyFont="1" applyFill="1" applyBorder="1" applyAlignment="1" applyProtection="1">
      <alignment horizontal="center" vertical="center" wrapText="1"/>
      <protection hidden="1"/>
    </xf>
    <xf numFmtId="9" fontId="2" fillId="0" borderId="9" xfId="2" applyFont="1" applyBorder="1" applyAlignment="1" applyProtection="1">
      <alignment vertical="center"/>
      <protection hidden="1"/>
    </xf>
    <xf numFmtId="9" fontId="2" fillId="0" borderId="11" xfId="2" applyFont="1" applyBorder="1" applyAlignment="1" applyProtection="1">
      <alignment vertical="center"/>
      <protection hidden="1"/>
    </xf>
    <xf numFmtId="2" fontId="15" fillId="0" borderId="0" xfId="37" applyNumberFormat="1" applyFont="1" applyAlignment="1" applyProtection="1">
      <alignment vertical="center"/>
      <protection locked="0"/>
    </xf>
    <xf numFmtId="175" fontId="15" fillId="0" borderId="0" xfId="37" applyNumberFormat="1" applyFont="1" applyAlignment="1" applyProtection="1">
      <alignment vertical="center"/>
      <protection hidden="1"/>
    </xf>
    <xf numFmtId="0" fontId="15" fillId="0" borderId="0" xfId="37" applyFont="1" applyAlignment="1" applyProtection="1">
      <alignment vertical="center"/>
      <protection locked="0"/>
    </xf>
    <xf numFmtId="0" fontId="2" fillId="0" borderId="0" xfId="37" applyFont="1" applyAlignment="1" applyProtection="1">
      <alignment horizontal="left" vertical="top" wrapText="1"/>
      <protection locked="0"/>
    </xf>
    <xf numFmtId="0" fontId="2" fillId="0" borderId="0" xfId="37" applyFont="1" applyAlignment="1" applyProtection="1">
      <alignment horizontal="right" vertical="top" wrapText="1"/>
      <protection locked="0"/>
    </xf>
    <xf numFmtId="174" fontId="6" fillId="2" borderId="0" xfId="0" applyNumberFormat="1" applyFont="1" applyFill="1" applyAlignment="1">
      <alignment vertical="center"/>
    </xf>
    <xf numFmtId="174" fontId="7" fillId="2" borderId="0" xfId="0" applyNumberFormat="1" applyFont="1" applyFill="1" applyAlignment="1" applyProtection="1">
      <alignment vertical="center"/>
      <protection locked="0"/>
    </xf>
    <xf numFmtId="0" fontId="2" fillId="0" borderId="0" xfId="29" applyAlignment="1" applyProtection="1">
      <alignment vertical="center" wrapText="1"/>
      <protection locked="0"/>
    </xf>
    <xf numFmtId="0" fontId="9" fillId="11" borderId="0" xfId="29" applyFont="1" applyFill="1" applyAlignment="1" applyProtection="1">
      <alignment vertical="center" wrapText="1"/>
      <protection locked="0"/>
    </xf>
    <xf numFmtId="0" fontId="9" fillId="0" borderId="41" xfId="29" applyFont="1" applyBorder="1" applyAlignment="1" applyProtection="1">
      <alignment horizontal="left" vertical="top" wrapText="1"/>
      <protection locked="0"/>
    </xf>
    <xf numFmtId="0" fontId="9" fillId="0" borderId="0" xfId="29" applyFont="1" applyAlignment="1" applyProtection="1">
      <alignment horizontal="left" vertical="top" wrapText="1"/>
      <protection locked="0"/>
    </xf>
    <xf numFmtId="0" fontId="9" fillId="11" borderId="2" xfId="29" applyFont="1" applyFill="1" applyBorder="1" applyAlignment="1" applyProtection="1">
      <alignment horizontal="center" vertical="center" wrapText="1"/>
      <protection locked="0"/>
    </xf>
    <xf numFmtId="0" fontId="9" fillId="11" borderId="42" xfId="29" applyFont="1" applyFill="1" applyBorder="1" applyAlignment="1" applyProtection="1">
      <alignment horizontal="center" vertical="center" wrapText="1"/>
      <protection locked="0"/>
    </xf>
    <xf numFmtId="0" fontId="9" fillId="11" borderId="3" xfId="29" applyFont="1" applyFill="1" applyBorder="1" applyAlignment="1" applyProtection="1">
      <alignment horizontal="center" vertical="center" wrapText="1"/>
      <protection locked="0"/>
    </xf>
    <xf numFmtId="0" fontId="2" fillId="0" borderId="4" xfId="29" applyBorder="1" applyAlignment="1" applyProtection="1">
      <alignment vertical="center" wrapText="1"/>
      <protection locked="0"/>
    </xf>
    <xf numFmtId="0" fontId="2" fillId="0" borderId="32" xfId="29" applyBorder="1" applyAlignment="1" applyProtection="1">
      <alignment vertical="center" wrapText="1"/>
      <protection locked="0"/>
    </xf>
    <xf numFmtId="180" fontId="2" fillId="0" borderId="32" xfId="1" applyNumberFormat="1" applyFont="1" applyBorder="1" applyAlignment="1" applyProtection="1">
      <alignment vertical="center" wrapText="1"/>
      <protection locked="0"/>
    </xf>
    <xf numFmtId="180" fontId="2" fillId="0" borderId="5" xfId="1" applyNumberFormat="1" applyFont="1" applyBorder="1" applyAlignment="1" applyProtection="1">
      <alignment vertical="center" wrapText="1"/>
      <protection locked="0"/>
    </xf>
    <xf numFmtId="0" fontId="2" fillId="0" borderId="14" xfId="29" applyBorder="1" applyAlignment="1" applyProtection="1">
      <alignment vertical="center" wrapText="1"/>
      <protection locked="0"/>
    </xf>
    <xf numFmtId="0" fontId="2" fillId="0" borderId="35" xfId="29" applyBorder="1" applyAlignment="1" applyProtection="1">
      <alignment vertical="center" wrapText="1"/>
      <protection locked="0"/>
    </xf>
    <xf numFmtId="180" fontId="2" fillId="0" borderId="35" xfId="1" applyNumberFormat="1" applyFont="1" applyBorder="1" applyAlignment="1" applyProtection="1">
      <alignment vertical="center" wrapText="1"/>
      <protection locked="0"/>
    </xf>
    <xf numFmtId="180" fontId="2" fillId="0" borderId="15" xfId="1" applyNumberFormat="1" applyFont="1" applyBorder="1" applyAlignment="1" applyProtection="1">
      <alignment vertical="center" wrapText="1"/>
      <protection locked="0"/>
    </xf>
    <xf numFmtId="0" fontId="9" fillId="11" borderId="16" xfId="29" applyFont="1" applyFill="1" applyBorder="1" applyAlignment="1" applyProtection="1">
      <alignment horizontal="right" vertical="center" wrapText="1"/>
      <protection locked="0"/>
    </xf>
    <xf numFmtId="180" fontId="9" fillId="11" borderId="17" xfId="1" applyNumberFormat="1" applyFont="1" applyFill="1" applyBorder="1" applyAlignment="1" applyProtection="1">
      <alignment horizontal="left" vertical="top" wrapText="1"/>
      <protection locked="0"/>
    </xf>
    <xf numFmtId="0" fontId="9" fillId="11" borderId="8" xfId="29" applyFont="1" applyFill="1" applyBorder="1" applyAlignment="1" applyProtection="1">
      <alignment horizontal="right" vertical="center" wrapText="1"/>
      <protection locked="0"/>
    </xf>
    <xf numFmtId="9" fontId="9" fillId="11" borderId="21" xfId="29" applyNumberFormat="1" applyFont="1" applyFill="1" applyBorder="1" applyAlignment="1" applyProtection="1">
      <alignment vertical="center" wrapText="1"/>
      <protection locked="0"/>
    </xf>
    <xf numFmtId="180" fontId="9" fillId="11" borderId="9" xfId="1" applyNumberFormat="1" applyFont="1" applyFill="1" applyBorder="1" applyAlignment="1" applyProtection="1">
      <alignment horizontal="left" vertical="top" wrapText="1"/>
      <protection locked="0"/>
    </xf>
    <xf numFmtId="180" fontId="9" fillId="11" borderId="11" xfId="1" applyNumberFormat="1" applyFont="1" applyFill="1" applyBorder="1" applyAlignment="1" applyProtection="1">
      <alignment horizontal="left" vertical="top" wrapText="1"/>
      <protection locked="0"/>
    </xf>
    <xf numFmtId="0" fontId="9" fillId="0" borderId="0" xfId="29" applyFont="1" applyAlignment="1" applyProtection="1">
      <alignment horizontal="center" vertical="center" wrapText="1"/>
      <protection locked="0"/>
    </xf>
    <xf numFmtId="169" fontId="2" fillId="0" borderId="0" xfId="1" applyFont="1" applyBorder="1" applyAlignment="1" applyProtection="1">
      <alignment horizontal="left" vertical="top" wrapText="1"/>
      <protection locked="0"/>
    </xf>
    <xf numFmtId="169" fontId="2" fillId="0" borderId="0" xfId="1" applyFont="1" applyBorder="1" applyAlignment="1" applyProtection="1">
      <alignment horizontal="right" vertical="top" wrapText="1"/>
      <protection locked="0"/>
    </xf>
    <xf numFmtId="169" fontId="2" fillId="0" borderId="0" xfId="1" applyFont="1" applyBorder="1" applyAlignment="1" applyProtection="1">
      <alignment vertical="center"/>
      <protection locked="0"/>
    </xf>
    <xf numFmtId="174" fontId="6" fillId="2" borderId="0" xfId="0" applyNumberFormat="1" applyFont="1" applyFill="1" applyAlignment="1" applyProtection="1">
      <alignment vertical="center"/>
      <protection locked="0"/>
    </xf>
    <xf numFmtId="0" fontId="2" fillId="0" borderId="0" xfId="37" applyFont="1" applyAlignment="1" applyProtection="1">
      <alignment horizontal="center"/>
      <protection locked="0"/>
    </xf>
    <xf numFmtId="0" fontId="9" fillId="0" borderId="0" xfId="29" applyFont="1" applyAlignment="1" applyProtection="1">
      <alignment horizontal="right" vertical="center" wrapText="1"/>
      <protection locked="0"/>
    </xf>
    <xf numFmtId="0" fontId="2" fillId="0" borderId="0" xfId="29" applyAlignment="1" applyProtection="1">
      <alignment horizontal="left" vertical="center" wrapText="1"/>
      <protection locked="0"/>
    </xf>
    <xf numFmtId="169" fontId="9" fillId="0" borderId="0" xfId="1" applyFont="1" applyBorder="1" applyAlignment="1" applyProtection="1">
      <alignment horizontal="center" vertical="top" wrapText="1"/>
      <protection locked="0"/>
    </xf>
    <xf numFmtId="169" fontId="9" fillId="11" borderId="21" xfId="1" applyFont="1" applyFill="1" applyBorder="1" applyAlignment="1" applyProtection="1">
      <alignment horizontal="center" vertical="center"/>
      <protection locked="0"/>
    </xf>
    <xf numFmtId="169" fontId="19" fillId="11" borderId="21" xfId="1" applyFont="1" applyFill="1" applyBorder="1" applyAlignment="1" applyProtection="1">
      <alignment horizontal="center" vertical="center" wrapText="1"/>
      <protection locked="0"/>
    </xf>
    <xf numFmtId="0" fontId="9" fillId="11" borderId="21" xfId="29" applyFont="1" applyFill="1" applyBorder="1" applyAlignment="1" applyProtection="1">
      <alignment horizontal="center" vertical="center" wrapText="1"/>
      <protection locked="0"/>
    </xf>
    <xf numFmtId="0" fontId="2" fillId="0" borderId="21" xfId="37" applyFont="1" applyBorder="1" applyAlignment="1" applyProtection="1">
      <alignment horizontal="left" vertical="center" wrapText="1"/>
      <protection locked="0"/>
    </xf>
    <xf numFmtId="9" fontId="2" fillId="0" borderId="21" xfId="2" applyFont="1" applyBorder="1" applyAlignment="1" applyProtection="1">
      <alignment horizontal="left" vertical="center" wrapText="1"/>
      <protection locked="0"/>
    </xf>
    <xf numFmtId="180" fontId="2" fillId="0" borderId="21" xfId="1" applyNumberFormat="1" applyFont="1" applyBorder="1" applyAlignment="1" applyProtection="1">
      <alignment horizontal="left" vertical="center" wrapText="1"/>
      <protection locked="0"/>
    </xf>
    <xf numFmtId="0" fontId="2" fillId="0" borderId="21" xfId="29" applyBorder="1" applyAlignment="1" applyProtection="1">
      <alignment horizontal="left" vertical="center" wrapText="1"/>
      <protection locked="0"/>
    </xf>
    <xf numFmtId="180" fontId="9" fillId="3" borderId="21" xfId="1" applyNumberFormat="1" applyFont="1" applyFill="1" applyBorder="1" applyAlignment="1" applyProtection="1">
      <alignment horizontal="center" vertical="center" wrapText="1"/>
      <protection locked="0"/>
    </xf>
    <xf numFmtId="180" fontId="2" fillId="0" borderId="21" xfId="1" applyNumberFormat="1" applyFont="1" applyBorder="1" applyAlignment="1" applyProtection="1">
      <alignment vertical="center" wrapText="1"/>
      <protection locked="0"/>
    </xf>
    <xf numFmtId="169" fontId="2" fillId="0" borderId="21" xfId="1" applyFont="1" applyBorder="1" applyAlignment="1" applyProtection="1">
      <alignment horizontal="left" vertical="center" wrapText="1"/>
      <protection locked="0"/>
    </xf>
    <xf numFmtId="180" fontId="9" fillId="3" borderId="21" xfId="1" applyNumberFormat="1" applyFont="1" applyFill="1" applyBorder="1" applyAlignment="1" applyProtection="1">
      <alignment vertical="center" wrapText="1"/>
      <protection locked="0"/>
    </xf>
    <xf numFmtId="0" fontId="11" fillId="0" borderId="0" xfId="3" applyBorder="1" applyProtection="1">
      <protection locked="0"/>
    </xf>
    <xf numFmtId="0" fontId="18" fillId="0" borderId="23" xfId="44" applyFont="1" applyBorder="1" applyAlignment="1" applyProtection="1">
      <alignment horizontal="left" vertical="center"/>
      <protection locked="0"/>
    </xf>
    <xf numFmtId="180" fontId="9" fillId="11" borderId="34" xfId="1" applyNumberFormat="1" applyFont="1" applyFill="1" applyBorder="1" applyAlignment="1" applyProtection="1">
      <alignment horizontal="center" vertical="center" wrapText="1"/>
      <protection locked="0"/>
    </xf>
    <xf numFmtId="180" fontId="9" fillId="11" borderId="17" xfId="1" applyNumberFormat="1" applyFont="1" applyFill="1" applyBorder="1" applyAlignment="1" applyProtection="1">
      <alignment horizontal="center" vertical="center" wrapText="1"/>
      <protection locked="0"/>
    </xf>
    <xf numFmtId="9" fontId="2" fillId="0" borderId="21" xfId="2" applyFont="1" applyBorder="1" applyAlignment="1" applyProtection="1">
      <alignment horizontal="right" vertical="center" wrapText="1"/>
      <protection locked="0"/>
    </xf>
    <xf numFmtId="169" fontId="2" fillId="0" borderId="9" xfId="1" applyFont="1" applyBorder="1" applyAlignment="1" applyProtection="1">
      <alignment horizontal="left" vertical="center" wrapText="1"/>
      <protection locked="0"/>
    </xf>
    <xf numFmtId="180" fontId="9" fillId="12" borderId="35" xfId="1" applyNumberFormat="1" applyFont="1" applyFill="1" applyBorder="1" applyAlignment="1" applyProtection="1">
      <alignment horizontal="center" vertical="center" wrapText="1"/>
      <protection locked="0"/>
    </xf>
    <xf numFmtId="169" fontId="9" fillId="12" borderId="35" xfId="1" applyFont="1" applyFill="1" applyBorder="1" applyAlignment="1" applyProtection="1">
      <alignment horizontal="center" vertical="center" wrapText="1"/>
      <protection locked="0"/>
    </xf>
    <xf numFmtId="169" fontId="9" fillId="12" borderId="15" xfId="1" applyFont="1" applyFill="1" applyBorder="1" applyAlignment="1" applyProtection="1">
      <alignment horizontal="center" vertical="center" wrapText="1"/>
      <protection locked="0"/>
    </xf>
    <xf numFmtId="0" fontId="9" fillId="12" borderId="8" xfId="37" applyFont="1" applyFill="1" applyBorder="1" applyAlignment="1" applyProtection="1">
      <alignment horizontal="left" vertical="center" wrapText="1"/>
      <protection locked="0"/>
    </xf>
    <xf numFmtId="0" fontId="9" fillId="0" borderId="21" xfId="37" applyFont="1" applyBorder="1" applyAlignment="1" applyProtection="1">
      <alignment horizontal="center" vertical="center" wrapText="1"/>
      <protection locked="0"/>
    </xf>
    <xf numFmtId="0" fontId="9" fillId="12" borderId="21" xfId="37" applyFont="1" applyFill="1" applyBorder="1" applyAlignment="1" applyProtection="1">
      <alignment horizontal="left" vertical="center" wrapText="1"/>
      <protection locked="0"/>
    </xf>
    <xf numFmtId="180" fontId="9" fillId="0" borderId="21" xfId="37" applyNumberFormat="1" applyFont="1" applyBorder="1" applyAlignment="1" applyProtection="1">
      <alignment horizontal="center" vertical="center"/>
      <protection locked="0"/>
    </xf>
    <xf numFmtId="0" fontId="9" fillId="12" borderId="10" xfId="37" applyFont="1" applyFill="1" applyBorder="1" applyAlignment="1" applyProtection="1">
      <alignment horizontal="left" vertical="center" wrapText="1"/>
      <protection locked="0"/>
    </xf>
    <xf numFmtId="0" fontId="9" fillId="0" borderId="18" xfId="37" applyFont="1" applyBorder="1" applyAlignment="1" applyProtection="1">
      <alignment horizontal="center" vertical="center" wrapText="1"/>
      <protection locked="0"/>
    </xf>
    <xf numFmtId="0" fontId="9" fillId="12" borderId="18" xfId="37" applyFont="1" applyFill="1" applyBorder="1" applyAlignment="1" applyProtection="1">
      <alignment horizontal="left" vertical="center" wrapText="1"/>
      <protection locked="0"/>
    </xf>
    <xf numFmtId="180" fontId="9" fillId="0" borderId="18" xfId="37" applyNumberFormat="1" applyFont="1" applyBorder="1" applyAlignment="1" applyProtection="1">
      <alignment horizontal="center" vertical="center"/>
      <protection locked="0"/>
    </xf>
    <xf numFmtId="0" fontId="9" fillId="12" borderId="4" xfId="37" applyFont="1" applyFill="1" applyBorder="1" applyAlignment="1" applyProtection="1">
      <alignment horizontal="left" vertical="center" wrapText="1"/>
      <protection locked="0"/>
    </xf>
    <xf numFmtId="0" fontId="9" fillId="0" borderId="32" xfId="37" applyFont="1" applyBorder="1" applyAlignment="1" applyProtection="1">
      <alignment horizontal="center" vertical="center" wrapText="1"/>
      <protection locked="0"/>
    </xf>
    <xf numFmtId="0" fontId="9" fillId="12" borderId="32" xfId="37" applyFont="1" applyFill="1" applyBorder="1" applyAlignment="1" applyProtection="1">
      <alignment horizontal="left" vertical="center" wrapText="1"/>
      <protection locked="0"/>
    </xf>
    <xf numFmtId="180" fontId="9" fillId="0" borderId="32" xfId="37" applyNumberFormat="1" applyFont="1" applyBorder="1" applyAlignment="1" applyProtection="1">
      <alignment horizontal="center" vertical="center"/>
      <protection locked="0"/>
    </xf>
    <xf numFmtId="174" fontId="8" fillId="2" borderId="0" xfId="0" applyNumberFormat="1" applyFont="1" applyFill="1" applyAlignment="1" applyProtection="1">
      <alignment vertical="center"/>
      <protection locked="0"/>
    </xf>
    <xf numFmtId="0" fontId="9" fillId="0" borderId="0" xfId="29" applyFont="1" applyAlignment="1" applyProtection="1">
      <alignment horizontal="center" vertical="top" wrapText="1"/>
      <protection locked="0"/>
    </xf>
    <xf numFmtId="169" fontId="2" fillId="0" borderId="0" xfId="1" applyFont="1" applyBorder="1" applyAlignment="1" applyProtection="1">
      <alignment horizontal="center" vertical="center"/>
      <protection locked="0"/>
    </xf>
    <xf numFmtId="169" fontId="9" fillId="11" borderId="9" xfId="1" applyFont="1" applyFill="1" applyBorder="1" applyAlignment="1" applyProtection="1">
      <alignment horizontal="center" vertical="center"/>
      <protection locked="0"/>
    </xf>
    <xf numFmtId="0" fontId="2" fillId="0" borderId="8" xfId="37" applyFont="1" applyBorder="1" applyAlignment="1" applyProtection="1">
      <alignment horizontal="left" vertical="center" wrapText="1"/>
      <protection locked="0"/>
    </xf>
    <xf numFmtId="180" fontId="2" fillId="0" borderId="9" xfId="1" applyNumberFormat="1" applyFont="1" applyBorder="1" applyAlignment="1" applyProtection="1">
      <alignment horizontal="left" vertical="center" wrapText="1"/>
      <protection locked="0"/>
    </xf>
    <xf numFmtId="180" fontId="2" fillId="0" borderId="0" xfId="37" applyNumberFormat="1" applyFont="1" applyProtection="1">
      <protection locked="0"/>
    </xf>
    <xf numFmtId="0" fontId="2" fillId="0" borderId="8" xfId="29" applyBorder="1" applyAlignment="1" applyProtection="1">
      <alignment horizontal="left" vertical="center" wrapText="1"/>
      <protection locked="0"/>
    </xf>
    <xf numFmtId="180" fontId="9" fillId="3" borderId="9" xfId="1" applyNumberFormat="1" applyFont="1" applyFill="1" applyBorder="1" applyAlignment="1" applyProtection="1">
      <alignment horizontal="center" vertical="center" wrapText="1"/>
      <protection locked="0"/>
    </xf>
    <xf numFmtId="169" fontId="18" fillId="11" borderId="21" xfId="1" applyFont="1" applyFill="1" applyBorder="1" applyAlignment="1" applyProtection="1">
      <alignment horizontal="center" vertical="center" wrapText="1"/>
      <protection locked="0"/>
    </xf>
    <xf numFmtId="169" fontId="2" fillId="0" borderId="21" xfId="1" applyFont="1" applyBorder="1" applyAlignment="1" applyProtection="1">
      <alignment horizontal="left" vertical="center"/>
      <protection locked="0"/>
    </xf>
    <xf numFmtId="169" fontId="2" fillId="0" borderId="9" xfId="1" applyFont="1" applyBorder="1" applyAlignment="1" applyProtection="1">
      <alignment horizontal="left" vertical="center"/>
      <protection locked="0"/>
    </xf>
    <xf numFmtId="180" fontId="9" fillId="4" borderId="21" xfId="1" applyNumberFormat="1" applyFont="1" applyFill="1" applyBorder="1" applyAlignment="1" applyProtection="1">
      <alignment horizontal="center" vertical="center" wrapText="1"/>
      <protection locked="0"/>
    </xf>
    <xf numFmtId="180" fontId="9" fillId="4" borderId="9" xfId="1" applyNumberFormat="1" applyFont="1" applyFill="1" applyBorder="1" applyAlignment="1" applyProtection="1">
      <alignment horizontal="center" vertical="center" wrapText="1"/>
      <protection locked="0"/>
    </xf>
    <xf numFmtId="0" fontId="18" fillId="0" borderId="12" xfId="44" applyFont="1" applyBorder="1" applyAlignment="1" applyProtection="1">
      <alignment horizontal="left" vertical="center"/>
      <protection locked="0"/>
    </xf>
    <xf numFmtId="9" fontId="2" fillId="0" borderId="24" xfId="2" applyFont="1" applyBorder="1" applyAlignment="1" applyProtection="1">
      <alignment horizontal="right" vertical="center" wrapText="1"/>
      <protection locked="0"/>
    </xf>
    <xf numFmtId="180" fontId="2" fillId="0" borderId="8" xfId="1" applyNumberFormat="1" applyFont="1" applyBorder="1" applyAlignment="1" applyProtection="1">
      <alignment horizontal="left" vertical="center" wrapText="1"/>
      <protection locked="0"/>
    </xf>
    <xf numFmtId="180" fontId="9" fillId="11" borderId="10" xfId="1" applyNumberFormat="1" applyFont="1" applyFill="1" applyBorder="1" applyAlignment="1" applyProtection="1">
      <alignment horizontal="left" vertical="center" wrapText="1"/>
      <protection locked="0"/>
    </xf>
    <xf numFmtId="180" fontId="9" fillId="11" borderId="18" xfId="1" applyNumberFormat="1" applyFont="1" applyFill="1" applyBorder="1" applyAlignment="1" applyProtection="1">
      <alignment horizontal="left" vertical="center" wrapText="1"/>
      <protection locked="0"/>
    </xf>
    <xf numFmtId="180" fontId="9" fillId="11" borderId="11" xfId="1" applyNumberFormat="1" applyFont="1" applyFill="1" applyBorder="1" applyAlignment="1" applyProtection="1">
      <alignment horizontal="left" vertical="center" wrapText="1"/>
      <protection locked="0"/>
    </xf>
    <xf numFmtId="0" fontId="9" fillId="12" borderId="2" xfId="37" applyFont="1" applyFill="1" applyBorder="1" applyAlignment="1" applyProtection="1">
      <alignment horizontal="left" vertical="center" wrapText="1"/>
      <protection locked="0"/>
    </xf>
    <xf numFmtId="0" fontId="9" fillId="0" borderId="42" xfId="37" applyFont="1" applyBorder="1" applyAlignment="1" applyProtection="1">
      <alignment horizontal="center" vertical="center" wrapText="1"/>
      <protection locked="0"/>
    </xf>
    <xf numFmtId="0" fontId="9" fillId="12" borderId="42" xfId="37" applyFont="1" applyFill="1" applyBorder="1" applyAlignment="1" applyProtection="1">
      <alignment horizontal="left" vertical="center" wrapText="1"/>
      <protection locked="0"/>
    </xf>
    <xf numFmtId="180" fontId="9" fillId="0" borderId="42" xfId="37" applyNumberFormat="1" applyFont="1" applyBorder="1" applyAlignment="1" applyProtection="1">
      <alignment horizontal="center" vertical="center"/>
      <protection locked="0"/>
    </xf>
    <xf numFmtId="0" fontId="9" fillId="0" borderId="0" xfId="37" applyFont="1" applyAlignment="1" applyProtection="1">
      <alignment horizontal="left" vertical="center" wrapText="1"/>
      <protection locked="0"/>
    </xf>
    <xf numFmtId="0" fontId="9" fillId="0" borderId="0" xfId="37" applyFont="1" applyAlignment="1" applyProtection="1">
      <alignment horizontal="center" vertical="center" wrapText="1"/>
      <protection locked="0"/>
    </xf>
    <xf numFmtId="180" fontId="9" fillId="0" borderId="0" xfId="37" applyNumberFormat="1" applyFont="1" applyAlignment="1" applyProtection="1">
      <alignment horizontal="center" vertical="center"/>
      <protection locked="0"/>
    </xf>
    <xf numFmtId="0" fontId="2" fillId="0" borderId="0" xfId="37" applyFont="1" applyAlignment="1" applyProtection="1">
      <alignment horizontal="justify" vertical="top" wrapText="1"/>
      <protection locked="0"/>
    </xf>
    <xf numFmtId="0" fontId="9" fillId="0" borderId="21" xfId="37" applyFont="1" applyBorder="1" applyAlignment="1" applyProtection="1">
      <alignment horizontal="center" wrapText="1"/>
      <protection locked="0"/>
    </xf>
    <xf numFmtId="0" fontId="2" fillId="0" borderId="0" xfId="37" applyFont="1" applyAlignment="1" applyProtection="1">
      <alignment vertical="top" wrapText="1"/>
      <protection locked="0"/>
    </xf>
    <xf numFmtId="0" fontId="2" fillId="0" borderId="36" xfId="37" applyFont="1" applyBorder="1" applyAlignment="1" applyProtection="1">
      <alignment horizontal="center" wrapText="1"/>
      <protection locked="0"/>
    </xf>
    <xf numFmtId="0" fontId="2" fillId="0" borderId="21" xfId="37" applyFont="1" applyBorder="1" applyAlignment="1" applyProtection="1">
      <alignment horizontal="center" wrapText="1"/>
      <protection locked="0"/>
    </xf>
    <xf numFmtId="0" fontId="2" fillId="0" borderId="21" xfId="37" applyFont="1" applyBorder="1" applyAlignment="1" applyProtection="1">
      <alignment wrapText="1"/>
      <protection locked="0"/>
    </xf>
    <xf numFmtId="0" fontId="2" fillId="0" borderId="47" xfId="37" applyFont="1" applyBorder="1" applyAlignment="1" applyProtection="1">
      <alignment horizontal="center" wrapText="1"/>
      <protection locked="0"/>
    </xf>
    <xf numFmtId="0" fontId="2" fillId="0" borderId="35" xfId="37" applyFont="1" applyBorder="1" applyAlignment="1" applyProtection="1">
      <alignment horizontal="center" wrapText="1"/>
      <protection locked="0"/>
    </xf>
    <xf numFmtId="0" fontId="2" fillId="0" borderId="35" xfId="37" applyFont="1" applyBorder="1" applyAlignment="1" applyProtection="1">
      <alignment wrapText="1"/>
      <protection locked="0"/>
    </xf>
    <xf numFmtId="0" fontId="9" fillId="11" borderId="32" xfId="29" applyFont="1" applyFill="1" applyBorder="1" applyAlignment="1" applyProtection="1">
      <alignment horizontal="center" vertical="center" wrapText="1"/>
      <protection locked="0"/>
    </xf>
    <xf numFmtId="0" fontId="9" fillId="5" borderId="21" xfId="29" applyFont="1" applyFill="1" applyBorder="1" applyAlignment="1">
      <alignment horizontal="center" vertical="center" wrapText="1"/>
    </xf>
    <xf numFmtId="0" fontId="9" fillId="11" borderId="21" xfId="29" applyFont="1" applyFill="1" applyBorder="1" applyAlignment="1">
      <alignment horizontal="center" vertical="center" wrapText="1"/>
    </xf>
    <xf numFmtId="180" fontId="2" fillId="0" borderId="21" xfId="1" applyNumberFormat="1" applyFont="1" applyBorder="1" applyAlignment="1" applyProtection="1">
      <alignment horizontal="left" vertical="center" wrapText="1"/>
      <protection hidden="1"/>
    </xf>
    <xf numFmtId="0" fontId="3" fillId="2" borderId="0" xfId="44" applyFont="1" applyFill="1" applyAlignment="1" applyProtection="1">
      <alignment vertical="center"/>
      <protection locked="0"/>
    </xf>
    <xf numFmtId="169" fontId="3" fillId="2" borderId="0" xfId="1" applyFont="1" applyFill="1" applyBorder="1" applyAlignment="1" applyProtection="1">
      <alignment vertical="center"/>
      <protection locked="0"/>
    </xf>
    <xf numFmtId="0" fontId="3" fillId="0" borderId="0" xfId="44" applyFont="1" applyAlignment="1" applyProtection="1">
      <alignment vertical="center"/>
      <protection locked="0"/>
    </xf>
    <xf numFmtId="0" fontId="11" fillId="0" borderId="0" xfId="3" applyBorder="1" applyAlignment="1" applyProtection="1">
      <alignment horizontal="left" vertical="center"/>
      <protection locked="0"/>
    </xf>
    <xf numFmtId="0" fontId="9" fillId="11" borderId="22" xfId="29" applyFont="1" applyFill="1" applyBorder="1" applyAlignment="1" applyProtection="1">
      <alignment vertical="center" wrapText="1"/>
      <protection locked="0"/>
    </xf>
    <xf numFmtId="0" fontId="2" fillId="0" borderId="0" xfId="29" applyAlignment="1" applyProtection="1">
      <alignment vertical="center" wrapText="1"/>
      <protection locked="0" hidden="1"/>
    </xf>
    <xf numFmtId="0" fontId="19" fillId="3" borderId="2" xfId="44" applyFont="1" applyFill="1" applyBorder="1" applyAlignment="1" applyProtection="1">
      <alignment vertical="center" wrapText="1"/>
      <protection locked="0"/>
    </xf>
    <xf numFmtId="182" fontId="3" fillId="0" borderId="3" xfId="16" applyNumberFormat="1" applyFont="1" applyBorder="1" applyAlignment="1" applyProtection="1">
      <alignment vertical="center"/>
      <protection locked="0"/>
    </xf>
    <xf numFmtId="0" fontId="19" fillId="3" borderId="2" xfId="44" applyFont="1" applyFill="1" applyBorder="1" applyAlignment="1" applyProtection="1">
      <alignment vertical="center"/>
      <protection locked="0"/>
    </xf>
    <xf numFmtId="0" fontId="3" fillId="0" borderId="3" xfId="44" applyFont="1" applyBorder="1" applyAlignment="1" applyProtection="1">
      <alignment vertical="center"/>
      <protection locked="0"/>
    </xf>
    <xf numFmtId="0" fontId="19" fillId="0" borderId="0" xfId="44" applyFont="1" applyAlignment="1" applyProtection="1">
      <alignment vertical="center"/>
      <protection locked="0"/>
    </xf>
    <xf numFmtId="169" fontId="3" fillId="0" borderId="0" xfId="1" applyFont="1" applyBorder="1" applyAlignment="1" applyProtection="1">
      <alignment vertical="center"/>
      <protection locked="0"/>
    </xf>
    <xf numFmtId="0" fontId="19" fillId="0" borderId="0" xfId="37" applyFont="1" applyAlignment="1" applyProtection="1">
      <alignment horizontal="center" vertical="center" wrapText="1"/>
      <protection locked="0"/>
    </xf>
    <xf numFmtId="0" fontId="20" fillId="0" borderId="29" xfId="44" applyFont="1" applyBorder="1" applyAlignment="1" applyProtection="1">
      <alignment vertical="center" wrapText="1"/>
      <protection locked="0"/>
    </xf>
    <xf numFmtId="0" fontId="20" fillId="0" borderId="24" xfId="44" applyFont="1" applyBorder="1" applyAlignment="1" applyProtection="1">
      <alignment vertical="center" wrapText="1"/>
      <protection locked="0"/>
    </xf>
    <xf numFmtId="1" fontId="20" fillId="0" borderId="21" xfId="54" applyNumberFormat="1" applyFont="1" applyBorder="1" applyAlignment="1" applyProtection="1">
      <alignment vertical="center" wrapText="1"/>
      <protection locked="0"/>
    </xf>
    <xf numFmtId="180" fontId="20" fillId="0" borderId="21" xfId="1" applyNumberFormat="1" applyFont="1" applyBorder="1" applyAlignment="1" applyProtection="1">
      <alignment vertical="center" wrapText="1"/>
      <protection locked="0"/>
    </xf>
    <xf numFmtId="10" fontId="3" fillId="0" borderId="9" xfId="54" applyNumberFormat="1" applyFont="1" applyBorder="1" applyAlignment="1" applyProtection="1">
      <alignment vertical="center"/>
      <protection hidden="1"/>
    </xf>
    <xf numFmtId="10" fontId="3" fillId="0" borderId="0" xfId="54" applyNumberFormat="1" applyFont="1" applyBorder="1" applyAlignment="1" applyProtection="1">
      <alignment vertical="center"/>
      <protection locked="0"/>
    </xf>
    <xf numFmtId="1" fontId="20" fillId="0" borderId="21" xfId="6" applyNumberFormat="1" applyFont="1" applyBorder="1" applyAlignment="1" applyProtection="1">
      <alignment vertical="center" wrapText="1"/>
      <protection locked="0"/>
    </xf>
    <xf numFmtId="1" fontId="20" fillId="0" borderId="21" xfId="44" applyNumberFormat="1" applyFont="1" applyBorder="1" applyAlignment="1" applyProtection="1">
      <alignment vertical="center" wrapText="1"/>
      <protection locked="0"/>
    </xf>
    <xf numFmtId="0" fontId="20" fillId="2" borderId="29" xfId="44" applyFont="1" applyFill="1" applyBorder="1" applyAlignment="1" applyProtection="1">
      <alignment vertical="center" wrapText="1"/>
      <protection locked="0"/>
    </xf>
    <xf numFmtId="0" fontId="20" fillId="2" borderId="24" xfId="44" applyFont="1" applyFill="1" applyBorder="1" applyAlignment="1" applyProtection="1">
      <alignment vertical="center" wrapText="1"/>
      <protection locked="0"/>
    </xf>
    <xf numFmtId="180" fontId="20" fillId="2" borderId="21" xfId="1" applyNumberFormat="1" applyFont="1" applyFill="1" applyBorder="1" applyAlignment="1" applyProtection="1">
      <alignment vertical="center" wrapText="1"/>
      <protection locked="0"/>
    </xf>
    <xf numFmtId="10" fontId="18" fillId="11" borderId="11" xfId="2" applyNumberFormat="1" applyFont="1" applyFill="1" applyBorder="1" applyAlignment="1" applyProtection="1">
      <alignment horizontal="right" vertical="center" wrapText="1"/>
      <protection hidden="1"/>
    </xf>
    <xf numFmtId="10" fontId="18" fillId="0" borderId="0" xfId="2" applyNumberFormat="1" applyFont="1" applyBorder="1" applyAlignment="1" applyProtection="1">
      <alignment horizontal="right" vertical="center" wrapText="1"/>
      <protection locked="0"/>
    </xf>
    <xf numFmtId="0" fontId="18" fillId="0" borderId="0" xfId="44" applyFont="1" applyAlignment="1" applyProtection="1">
      <alignment horizontal="right" vertical="center"/>
      <protection locked="0"/>
    </xf>
    <xf numFmtId="10" fontId="18" fillId="0" borderId="0" xfId="2" applyNumberFormat="1" applyFont="1" applyBorder="1" applyAlignment="1" applyProtection="1">
      <alignment horizontal="right" vertical="center" wrapText="1"/>
    </xf>
    <xf numFmtId="176" fontId="18" fillId="13" borderId="5" xfId="15" applyNumberFormat="1" applyFont="1" applyFill="1" applyBorder="1" applyAlignment="1" applyProtection="1">
      <alignment horizontal="right" vertical="center" wrapText="1"/>
      <protection locked="0"/>
    </xf>
    <xf numFmtId="176" fontId="20" fillId="13" borderId="9" xfId="15" applyNumberFormat="1" applyFont="1" applyFill="1" applyBorder="1" applyAlignment="1" applyProtection="1">
      <alignment horizontal="right" vertical="center" wrapText="1"/>
      <protection locked="0"/>
    </xf>
    <xf numFmtId="176" fontId="18" fillId="13" borderId="11" xfId="15" applyNumberFormat="1" applyFont="1" applyFill="1" applyBorder="1" applyAlignment="1" applyProtection="1">
      <alignment horizontal="right" vertical="center" wrapText="1"/>
      <protection locked="0"/>
    </xf>
    <xf numFmtId="180" fontId="19" fillId="3" borderId="12" xfId="1" applyNumberFormat="1" applyFont="1" applyFill="1" applyBorder="1" applyAlignment="1" applyProtection="1">
      <alignment vertical="center"/>
      <protection locked="0"/>
    </xf>
    <xf numFmtId="10" fontId="19" fillId="3" borderId="33" xfId="2" applyNumberFormat="1" applyFont="1" applyFill="1" applyBorder="1" applyAlignment="1" applyProtection="1">
      <alignment vertical="center"/>
      <protection locked="0"/>
    </xf>
    <xf numFmtId="0" fontId="3" fillId="14" borderId="0" xfId="44" applyFont="1" applyFill="1" applyAlignment="1" applyProtection="1">
      <alignment vertical="center"/>
      <protection hidden="1"/>
    </xf>
    <xf numFmtId="10" fontId="3" fillId="14" borderId="0" xfId="2" applyNumberFormat="1" applyFont="1" applyFill="1" applyBorder="1" applyAlignment="1" applyProtection="1">
      <alignment vertical="center"/>
      <protection hidden="1"/>
    </xf>
    <xf numFmtId="0" fontId="3" fillId="14" borderId="0" xfId="44" applyFont="1" applyFill="1" applyAlignment="1" applyProtection="1">
      <alignment vertical="center"/>
      <protection locked="0"/>
    </xf>
    <xf numFmtId="0" fontId="3" fillId="0" borderId="0" xfId="44" applyFont="1" applyAlignment="1" applyProtection="1">
      <alignment vertical="center"/>
      <protection hidden="1"/>
    </xf>
    <xf numFmtId="0" fontId="3" fillId="0" borderId="0" xfId="44" applyFont="1" applyAlignment="1" applyProtection="1">
      <alignment horizontal="center" vertical="center"/>
      <protection locked="0"/>
    </xf>
    <xf numFmtId="0" fontId="3" fillId="0" borderId="0" xfId="44" applyFont="1" applyAlignment="1" applyProtection="1">
      <alignment horizontal="justify" vertical="top" wrapText="1"/>
      <protection locked="0"/>
    </xf>
    <xf numFmtId="0" fontId="3" fillId="0" borderId="0" xfId="44" applyFont="1" applyAlignment="1" applyProtection="1">
      <alignment horizontal="justify" vertical="top"/>
      <protection locked="0"/>
    </xf>
    <xf numFmtId="0" fontId="18" fillId="5" borderId="8" xfId="37" applyFont="1" applyFill="1" applyBorder="1" applyAlignment="1" applyProtection="1">
      <alignment horizontal="center" vertical="center" wrapText="1"/>
      <protection hidden="1"/>
    </xf>
    <xf numFmtId="0" fontId="18" fillId="5" borderId="9" xfId="37" applyFont="1" applyFill="1" applyBorder="1" applyAlignment="1" applyProtection="1">
      <alignment horizontal="center" vertical="center" wrapText="1"/>
      <protection hidden="1"/>
    </xf>
    <xf numFmtId="0" fontId="18" fillId="0" borderId="0" xfId="37" applyFont="1" applyAlignment="1" applyProtection="1">
      <alignment horizontal="center" vertical="center" wrapText="1"/>
      <protection locked="0"/>
    </xf>
    <xf numFmtId="0" fontId="3" fillId="0" borderId="8" xfId="44" applyFont="1" applyBorder="1" applyAlignment="1" applyProtection="1">
      <alignment vertical="center"/>
      <protection hidden="1"/>
    </xf>
    <xf numFmtId="180" fontId="3" fillId="0" borderId="9" xfId="44" applyNumberFormat="1" applyFont="1" applyBorder="1" applyAlignment="1" applyProtection="1">
      <alignment vertical="center"/>
      <protection hidden="1"/>
    </xf>
    <xf numFmtId="180" fontId="3" fillId="14" borderId="0" xfId="44" applyNumberFormat="1" applyFont="1" applyFill="1" applyAlignment="1" applyProtection="1">
      <alignment vertical="center"/>
      <protection locked="0"/>
    </xf>
    <xf numFmtId="10" fontId="3" fillId="0" borderId="0" xfId="2" applyNumberFormat="1" applyFont="1" applyBorder="1" applyAlignment="1" applyProtection="1">
      <alignment vertical="center"/>
      <protection locked="0"/>
    </xf>
    <xf numFmtId="180" fontId="19" fillId="5" borderId="11" xfId="44" applyNumberFormat="1" applyFont="1" applyFill="1" applyBorder="1" applyAlignment="1" applyProtection="1">
      <alignment vertical="center"/>
      <protection hidden="1"/>
    </xf>
    <xf numFmtId="180" fontId="19" fillId="14" borderId="0" xfId="44" applyNumberFormat="1" applyFont="1" applyFill="1" applyAlignment="1" applyProtection="1">
      <alignment vertical="center"/>
      <protection locked="0"/>
    </xf>
    <xf numFmtId="10" fontId="19" fillId="0" borderId="0" xfId="2" applyNumberFormat="1" applyFont="1" applyBorder="1" applyAlignment="1" applyProtection="1">
      <alignment vertical="center"/>
      <protection locked="0"/>
    </xf>
    <xf numFmtId="0" fontId="3" fillId="14" borderId="21" xfId="44" applyFont="1" applyFill="1" applyBorder="1" applyAlignment="1" applyProtection="1">
      <alignment vertical="center"/>
      <protection hidden="1"/>
    </xf>
    <xf numFmtId="0" fontId="3" fillId="14" borderId="21" xfId="44" applyFont="1" applyFill="1" applyBorder="1" applyAlignment="1" applyProtection="1">
      <alignment vertical="center" wrapText="1"/>
      <protection hidden="1"/>
    </xf>
    <xf numFmtId="10" fontId="3" fillId="15" borderId="21" xfId="2" applyNumberFormat="1" applyFont="1" applyFill="1" applyBorder="1" applyAlignment="1" applyProtection="1">
      <alignment vertical="center"/>
      <protection hidden="1"/>
    </xf>
    <xf numFmtId="0" fontId="18" fillId="5" borderId="21" xfId="37" applyFont="1" applyFill="1" applyBorder="1" applyAlignment="1" applyProtection="1">
      <alignment horizontal="center" vertical="center" wrapText="1"/>
      <protection hidden="1"/>
    </xf>
    <xf numFmtId="0" fontId="18" fillId="14" borderId="21" xfId="37" applyFont="1" applyFill="1" applyBorder="1" applyAlignment="1" applyProtection="1">
      <alignment horizontal="center" vertical="center" wrapText="1"/>
      <protection hidden="1"/>
    </xf>
    <xf numFmtId="10" fontId="3" fillId="14" borderId="21" xfId="44" applyNumberFormat="1" applyFont="1" applyFill="1" applyBorder="1" applyAlignment="1" applyProtection="1">
      <alignment vertical="center"/>
      <protection hidden="1"/>
    </xf>
    <xf numFmtId="10" fontId="3" fillId="14" borderId="21" xfId="2" applyNumberFormat="1" applyFont="1" applyFill="1" applyBorder="1" applyAlignment="1" applyProtection="1">
      <alignment vertical="center"/>
      <protection hidden="1"/>
    </xf>
    <xf numFmtId="0" fontId="3" fillId="0" borderId="21" xfId="44" applyFont="1" applyBorder="1" applyAlignment="1" applyProtection="1">
      <alignment vertical="center"/>
      <protection hidden="1"/>
    </xf>
    <xf numFmtId="180" fontId="3" fillId="0" borderId="21" xfId="44" applyNumberFormat="1" applyFont="1" applyBorder="1" applyAlignment="1" applyProtection="1">
      <alignment vertical="center"/>
      <protection hidden="1"/>
    </xf>
    <xf numFmtId="10" fontId="3" fillId="0" borderId="21" xfId="44" applyNumberFormat="1" applyFont="1" applyBorder="1" applyAlignment="1" applyProtection="1">
      <alignment vertical="center"/>
      <protection hidden="1"/>
    </xf>
    <xf numFmtId="10" fontId="19" fillId="5" borderId="21" xfId="2" applyNumberFormat="1" applyFont="1" applyFill="1" applyBorder="1" applyAlignment="1" applyProtection="1">
      <alignment vertical="center"/>
      <protection hidden="1"/>
    </xf>
    <xf numFmtId="10" fontId="3" fillId="0" borderId="21" xfId="2" applyNumberFormat="1" applyFont="1" applyBorder="1" applyAlignment="1" applyProtection="1">
      <alignment vertical="center"/>
      <protection hidden="1"/>
    </xf>
    <xf numFmtId="169" fontId="3" fillId="0" borderId="21" xfId="1" applyFont="1" applyBorder="1" applyAlignment="1" applyProtection="1">
      <alignment vertical="center"/>
      <protection locked="0"/>
    </xf>
    <xf numFmtId="0" fontId="3" fillId="0" borderId="0" xfId="34" applyFont="1" applyAlignment="1" applyProtection="1">
      <alignment horizontal="justify" wrapText="1"/>
      <protection locked="0"/>
    </xf>
    <xf numFmtId="183" fontId="3" fillId="0" borderId="0" xfId="20" applyNumberFormat="1" applyFont="1" applyBorder="1" applyAlignment="1" applyProtection="1">
      <alignment horizontal="justify" wrapText="1"/>
      <protection locked="0"/>
    </xf>
    <xf numFmtId="0" fontId="11" fillId="0" borderId="0" xfId="3" applyBorder="1" applyAlignment="1" applyProtection="1">
      <alignment horizontal="left" wrapText="1"/>
      <protection locked="0"/>
    </xf>
    <xf numFmtId="0" fontId="3" fillId="0" borderId="21" xfId="34" applyFont="1" applyBorder="1" applyAlignment="1" applyProtection="1">
      <alignment horizontal="left" vertical="center" wrapText="1"/>
      <protection locked="0"/>
    </xf>
    <xf numFmtId="0" fontId="20" fillId="0" borderId="21" xfId="34" applyFont="1" applyBorder="1" applyAlignment="1" applyProtection="1">
      <alignment horizontal="left" vertical="center" wrapText="1"/>
      <protection locked="0"/>
    </xf>
    <xf numFmtId="183" fontId="3" fillId="0" borderId="21" xfId="20" applyNumberFormat="1" applyFont="1" applyBorder="1" applyAlignment="1" applyProtection="1">
      <alignment horizontal="left" vertical="center"/>
      <protection locked="0"/>
    </xf>
    <xf numFmtId="183" fontId="3" fillId="0" borderId="21" xfId="20" applyNumberFormat="1" applyFont="1" applyBorder="1" applyAlignment="1" applyProtection="1">
      <alignment horizontal="left" vertical="top" wrapText="1"/>
      <protection locked="0"/>
    </xf>
    <xf numFmtId="0" fontId="3" fillId="0" borderId="21" xfId="34" applyFont="1" applyBorder="1" applyAlignment="1" applyProtection="1">
      <alignment horizontal="left" vertical="top" wrapText="1"/>
      <protection locked="0"/>
    </xf>
    <xf numFmtId="0" fontId="20" fillId="0" borderId="21" xfId="34" applyFont="1" applyBorder="1" applyAlignment="1" applyProtection="1">
      <alignment horizontal="left" vertical="top" wrapText="1"/>
      <protection locked="0"/>
    </xf>
    <xf numFmtId="183" fontId="3" fillId="0" borderId="21" xfId="20" applyNumberFormat="1" applyFont="1" applyBorder="1" applyAlignment="1" applyProtection="1">
      <alignment horizontal="left" vertical="top"/>
      <protection locked="0"/>
    </xf>
    <xf numFmtId="183" fontId="19" fillId="11" borderId="21" xfId="20" applyNumberFormat="1" applyFont="1" applyFill="1" applyBorder="1" applyAlignment="1" applyProtection="1">
      <alignment horizontal="right" vertical="top" wrapText="1"/>
      <protection locked="0"/>
    </xf>
    <xf numFmtId="183" fontId="19" fillId="4" borderId="21" xfId="20" applyNumberFormat="1" applyFont="1" applyFill="1" applyBorder="1" applyAlignment="1" applyProtection="1">
      <alignment horizontal="right" vertical="top" wrapText="1"/>
      <protection locked="0"/>
    </xf>
    <xf numFmtId="0" fontId="19" fillId="0" borderId="0" xfId="34" applyFont="1" applyAlignment="1" applyProtection="1">
      <alignment horizontal="center" vertical="center" wrapText="1"/>
      <protection locked="0"/>
    </xf>
    <xf numFmtId="183" fontId="19" fillId="0" borderId="0" xfId="20" applyNumberFormat="1" applyFont="1" applyBorder="1" applyAlignment="1" applyProtection="1">
      <alignment horizontal="center" vertical="center" wrapText="1"/>
      <protection locked="0"/>
    </xf>
    <xf numFmtId="0" fontId="19" fillId="0" borderId="0" xfId="34" applyFont="1" applyAlignment="1" applyProtection="1">
      <alignment horizontal="right" wrapText="1"/>
      <protection locked="0"/>
    </xf>
    <xf numFmtId="183" fontId="19" fillId="0" borderId="0" xfId="20" applyNumberFormat="1" applyFont="1" applyBorder="1" applyAlignment="1" applyProtection="1">
      <alignment horizontal="right" wrapText="1"/>
      <protection locked="0"/>
    </xf>
    <xf numFmtId="0" fontId="20" fillId="0" borderId="0" xfId="34" applyFont="1" applyAlignment="1" applyProtection="1">
      <alignment vertical="center" wrapText="1"/>
      <protection locked="0"/>
    </xf>
    <xf numFmtId="2" fontId="2" fillId="0" borderId="21" xfId="37" applyNumberFormat="1" applyFont="1" applyBorder="1" applyAlignment="1" applyProtection="1">
      <alignment horizontal="left" vertical="center" wrapText="1"/>
      <protection locked="0"/>
    </xf>
    <xf numFmtId="2" fontId="2" fillId="0" borderId="21" xfId="29" applyNumberFormat="1" applyBorder="1" applyAlignment="1" applyProtection="1">
      <alignment horizontal="left" vertical="center" wrapText="1"/>
      <protection locked="0"/>
    </xf>
    <xf numFmtId="169" fontId="9" fillId="11" borderId="21" xfId="1" applyFont="1" applyFill="1" applyBorder="1" applyAlignment="1" applyProtection="1">
      <alignment vertical="center" wrapText="1"/>
      <protection locked="0"/>
    </xf>
    <xf numFmtId="169" fontId="2" fillId="0" borderId="21" xfId="1" applyFont="1" applyBorder="1" applyAlignment="1" applyProtection="1">
      <alignment vertical="center" wrapText="1"/>
      <protection locked="0"/>
    </xf>
    <xf numFmtId="169" fontId="9" fillId="12" borderId="21" xfId="1" applyFont="1" applyFill="1" applyBorder="1" applyAlignment="1" applyProtection="1">
      <alignment vertical="center" wrapText="1"/>
      <protection locked="0"/>
    </xf>
    <xf numFmtId="0" fontId="2" fillId="2" borderId="0" xfId="37" applyFont="1" applyFill="1" applyProtection="1">
      <protection locked="0"/>
    </xf>
    <xf numFmtId="0" fontId="2" fillId="2" borderId="0" xfId="37" applyFont="1" applyFill="1" applyAlignment="1" applyProtection="1">
      <alignment horizontal="center" vertical="center"/>
      <protection locked="0"/>
    </xf>
    <xf numFmtId="0" fontId="9" fillId="3" borderId="10" xfId="29" applyFont="1" applyFill="1" applyBorder="1" applyAlignment="1" applyProtection="1">
      <alignment horizontal="center" vertical="center" wrapText="1"/>
      <protection locked="0"/>
    </xf>
    <xf numFmtId="0" fontId="9" fillId="3" borderId="18" xfId="29" applyFont="1" applyFill="1" applyBorder="1" applyAlignment="1" applyProtection="1">
      <alignment horizontal="center" vertical="center" wrapText="1"/>
      <protection locked="0"/>
    </xf>
    <xf numFmtId="0" fontId="9" fillId="3" borderId="11" xfId="29" applyFont="1" applyFill="1" applyBorder="1" applyAlignment="1" applyProtection="1">
      <alignment horizontal="center" vertical="center" wrapText="1"/>
      <protection locked="0"/>
    </xf>
    <xf numFmtId="180" fontId="2" fillId="0" borderId="2" xfId="1" applyNumberFormat="1" applyFont="1" applyBorder="1" applyAlignment="1" applyProtection="1">
      <alignment horizontal="center" vertical="center" wrapText="1"/>
      <protection locked="0"/>
    </xf>
    <xf numFmtId="9" fontId="2" fillId="0" borderId="42" xfId="29" applyNumberFormat="1" applyBorder="1" applyAlignment="1" applyProtection="1">
      <alignment horizontal="center" vertical="center" wrapText="1"/>
      <protection locked="0"/>
    </xf>
    <xf numFmtId="182" fontId="2" fillId="0" borderId="42" xfId="29" applyNumberFormat="1" applyBorder="1" applyAlignment="1" applyProtection="1">
      <alignment horizontal="center" vertical="center" wrapText="1"/>
      <protection locked="0"/>
    </xf>
    <xf numFmtId="180" fontId="2" fillId="0" borderId="3" xfId="29" applyNumberFormat="1" applyBorder="1" applyAlignment="1" applyProtection="1">
      <alignment horizontal="center" vertical="center" wrapText="1"/>
      <protection locked="0"/>
    </xf>
    <xf numFmtId="180" fontId="2" fillId="0" borderId="0" xfId="1" applyNumberFormat="1" applyFont="1" applyBorder="1" applyAlignment="1" applyProtection="1">
      <alignment horizontal="center" vertical="center" wrapText="1"/>
      <protection locked="0"/>
    </xf>
    <xf numFmtId="9" fontId="2" fillId="0" borderId="0" xfId="29" applyNumberFormat="1" applyAlignment="1" applyProtection="1">
      <alignment horizontal="center" vertical="center" wrapText="1"/>
      <protection locked="0"/>
    </xf>
    <xf numFmtId="182" fontId="2" fillId="0" borderId="0" xfId="29" applyNumberFormat="1" applyAlignment="1" applyProtection="1">
      <alignment horizontal="center" vertical="center" wrapText="1"/>
      <protection locked="0"/>
    </xf>
    <xf numFmtId="180" fontId="2" fillId="0" borderId="0" xfId="29" applyNumberFormat="1" applyAlignment="1" applyProtection="1">
      <alignment horizontal="center" vertical="center" wrapText="1"/>
      <protection locked="0"/>
    </xf>
    <xf numFmtId="180" fontId="2" fillId="0" borderId="32" xfId="1" applyNumberFormat="1" applyFont="1" applyBorder="1" applyAlignment="1" applyProtection="1">
      <alignment horizontal="center" vertical="center" wrapText="1"/>
      <protection locked="0"/>
    </xf>
    <xf numFmtId="9" fontId="2" fillId="0" borderId="32" xfId="29" applyNumberFormat="1" applyBorder="1" applyAlignment="1" applyProtection="1">
      <alignment horizontal="center" vertical="center" wrapText="1"/>
      <protection locked="0"/>
    </xf>
    <xf numFmtId="182" fontId="2" fillId="0" borderId="32" xfId="29" applyNumberFormat="1" applyBorder="1" applyAlignment="1" applyProtection="1">
      <alignment horizontal="center" vertical="center" wrapText="1"/>
      <protection locked="0"/>
    </xf>
    <xf numFmtId="180" fontId="2" fillId="0" borderId="5" xfId="29" applyNumberFormat="1" applyBorder="1" applyAlignment="1" applyProtection="1">
      <alignment horizontal="center" vertical="center" wrapText="1"/>
      <protection locked="0"/>
    </xf>
    <xf numFmtId="180" fontId="2" fillId="0" borderId="21" xfId="1" applyNumberFormat="1" applyFont="1" applyBorder="1" applyAlignment="1" applyProtection="1">
      <alignment horizontal="center" vertical="center" wrapText="1"/>
      <protection locked="0"/>
    </xf>
    <xf numFmtId="9" fontId="2" fillId="0" borderId="21" xfId="29" applyNumberFormat="1" applyBorder="1" applyAlignment="1" applyProtection="1">
      <alignment horizontal="center" vertical="center" wrapText="1"/>
      <protection locked="0"/>
    </xf>
    <xf numFmtId="182" fontId="2" fillId="0" borderId="21" xfId="29" applyNumberFormat="1" applyBorder="1" applyAlignment="1" applyProtection="1">
      <alignment horizontal="center" vertical="center" wrapText="1"/>
      <protection locked="0"/>
    </xf>
    <xf numFmtId="180" fontId="2" fillId="0" borderId="9" xfId="29" applyNumberFormat="1" applyBorder="1" applyAlignment="1" applyProtection="1">
      <alignment horizontal="center" vertical="center" wrapText="1"/>
      <protection locked="0"/>
    </xf>
    <xf numFmtId="0" fontId="2" fillId="0" borderId="8" xfId="29" applyBorder="1" applyAlignment="1" applyProtection="1">
      <alignment vertical="center" wrapText="1"/>
      <protection locked="0"/>
    </xf>
    <xf numFmtId="0" fontId="2" fillId="0" borderId="10" xfId="29" applyBorder="1" applyAlignment="1" applyProtection="1">
      <alignment vertical="center" wrapText="1"/>
      <protection locked="0"/>
    </xf>
    <xf numFmtId="180" fontId="2" fillId="0" borderId="18" xfId="1" applyNumberFormat="1" applyFont="1" applyBorder="1" applyAlignment="1" applyProtection="1">
      <alignment horizontal="center" vertical="center" wrapText="1"/>
      <protection locked="0"/>
    </xf>
    <xf numFmtId="9" fontId="2" fillId="0" borderId="18" xfId="29" applyNumberFormat="1" applyBorder="1" applyAlignment="1" applyProtection="1">
      <alignment horizontal="center" vertical="center" wrapText="1"/>
      <protection locked="0"/>
    </xf>
    <xf numFmtId="182" fontId="2" fillId="0" borderId="18" xfId="29" applyNumberFormat="1" applyBorder="1" applyAlignment="1" applyProtection="1">
      <alignment horizontal="center" vertical="center" wrapText="1"/>
      <protection locked="0"/>
    </xf>
    <xf numFmtId="180" fontId="2" fillId="0" borderId="11" xfId="29" applyNumberFormat="1" applyBorder="1" applyAlignment="1" applyProtection="1">
      <alignment horizontal="center" vertical="center" wrapText="1"/>
      <protection locked="0"/>
    </xf>
    <xf numFmtId="0" fontId="9" fillId="3" borderId="8" xfId="29" applyFont="1" applyFill="1" applyBorder="1" applyAlignment="1" applyProtection="1">
      <alignment horizontal="center" vertical="center" wrapText="1"/>
      <protection locked="0"/>
    </xf>
    <xf numFmtId="0" fontId="9" fillId="3" borderId="21" xfId="29" applyFont="1" applyFill="1" applyBorder="1" applyAlignment="1" applyProtection="1">
      <alignment horizontal="center" vertical="center" wrapText="1"/>
      <protection locked="0"/>
    </xf>
    <xf numFmtId="0" fontId="9" fillId="3" borderId="9" xfId="29" applyFont="1" applyFill="1" applyBorder="1" applyAlignment="1" applyProtection="1">
      <alignment horizontal="center" vertical="center" wrapText="1"/>
      <protection locked="0"/>
    </xf>
    <xf numFmtId="180" fontId="2" fillId="0" borderId="35" xfId="1" applyNumberFormat="1" applyFont="1" applyBorder="1" applyAlignment="1" applyProtection="1">
      <alignment horizontal="center" vertical="center" wrapText="1"/>
      <protection locked="0"/>
    </xf>
    <xf numFmtId="9" fontId="2" fillId="0" borderId="35" xfId="29" applyNumberFormat="1" applyBorder="1" applyAlignment="1" applyProtection="1">
      <alignment horizontal="center" vertical="center" wrapText="1"/>
      <protection locked="0"/>
    </xf>
    <xf numFmtId="182" fontId="2" fillId="0" borderId="35" xfId="29" applyNumberFormat="1" applyBorder="1" applyAlignment="1" applyProtection="1">
      <alignment horizontal="center" vertical="center" wrapText="1"/>
      <protection locked="0"/>
    </xf>
    <xf numFmtId="180" fontId="2" fillId="0" borderId="15" xfId="29" applyNumberFormat="1" applyBorder="1" applyAlignment="1" applyProtection="1">
      <alignment horizontal="center" vertical="center" wrapText="1"/>
      <protection locked="0"/>
    </xf>
    <xf numFmtId="0" fontId="2" fillId="0" borderId="8" xfId="37" applyFont="1" applyBorder="1" applyProtection="1">
      <protection locked="0"/>
    </xf>
    <xf numFmtId="0" fontId="2" fillId="0" borderId="21" xfId="37" applyFont="1" applyBorder="1" applyProtection="1">
      <protection locked="0"/>
    </xf>
    <xf numFmtId="0" fontId="9" fillId="0" borderId="0" xfId="29" applyFont="1" applyAlignment="1" applyProtection="1">
      <alignment vertical="center" wrapText="1"/>
      <protection locked="0"/>
    </xf>
    <xf numFmtId="0" fontId="9" fillId="3" borderId="2" xfId="29" applyFont="1" applyFill="1" applyBorder="1" applyAlignment="1" applyProtection="1">
      <alignment horizontal="center" vertical="center" wrapText="1"/>
      <protection locked="0"/>
    </xf>
    <xf numFmtId="0" fontId="9" fillId="3" borderId="42" xfId="29" applyFont="1" applyFill="1" applyBorder="1" applyAlignment="1" applyProtection="1">
      <alignment horizontal="center" vertical="center" wrapText="1"/>
      <protection locked="0"/>
    </xf>
    <xf numFmtId="0" fontId="9" fillId="3" borderId="3" xfId="29" applyFont="1" applyFill="1" applyBorder="1" applyAlignment="1" applyProtection="1">
      <alignment horizontal="center" vertical="center" wrapText="1"/>
      <protection locked="0"/>
    </xf>
    <xf numFmtId="180" fontId="2" fillId="0" borderId="4" xfId="1" applyNumberFormat="1" applyFont="1" applyBorder="1" applyAlignment="1" applyProtection="1">
      <alignment horizontal="center" vertical="center" wrapText="1"/>
      <protection locked="0"/>
    </xf>
    <xf numFmtId="0" fontId="2" fillId="0" borderId="32" xfId="37" applyFont="1" applyBorder="1" applyAlignment="1" applyProtection="1">
      <alignment horizontal="left" vertical="top" wrapText="1"/>
      <protection locked="0"/>
    </xf>
    <xf numFmtId="180" fontId="2" fillId="0" borderId="5" xfId="1" applyNumberFormat="1" applyFont="1" applyBorder="1" applyAlignment="1" applyProtection="1">
      <alignment horizontal="center" vertical="center" wrapText="1"/>
      <protection locked="0"/>
    </xf>
    <xf numFmtId="180" fontId="2" fillId="0" borderId="8" xfId="1" applyNumberFormat="1" applyFont="1" applyBorder="1" applyAlignment="1" applyProtection="1">
      <alignment horizontal="center" vertical="center" wrapText="1"/>
      <protection locked="0"/>
    </xf>
    <xf numFmtId="0" fontId="2" fillId="0" borderId="21" xfId="37" applyFont="1" applyBorder="1" applyAlignment="1" applyProtection="1">
      <alignment horizontal="left" vertical="top" wrapText="1"/>
      <protection locked="0"/>
    </xf>
    <xf numFmtId="180" fontId="2" fillId="0" borderId="9" xfId="1" applyNumberFormat="1" applyFont="1" applyBorder="1" applyAlignment="1" applyProtection="1">
      <alignment horizontal="center" vertical="center" wrapText="1"/>
      <protection locked="0"/>
    </xf>
    <xf numFmtId="180" fontId="2" fillId="0" borderId="14" xfId="1" applyNumberFormat="1" applyFont="1" applyBorder="1" applyAlignment="1" applyProtection="1">
      <alignment horizontal="center" vertical="center" wrapText="1"/>
      <protection locked="0"/>
    </xf>
    <xf numFmtId="180" fontId="2" fillId="0" borderId="15" xfId="1" applyNumberFormat="1" applyFont="1" applyBorder="1" applyAlignment="1" applyProtection="1">
      <alignment horizontal="center" vertical="center" wrapText="1"/>
      <protection locked="0"/>
    </xf>
    <xf numFmtId="180" fontId="2" fillId="3" borderId="17" xfId="1" applyNumberFormat="1" applyFont="1" applyFill="1" applyBorder="1" applyAlignment="1" applyProtection="1">
      <alignment horizontal="center" vertical="center" wrapText="1"/>
    </xf>
    <xf numFmtId="180" fontId="2" fillId="3" borderId="9" xfId="1" applyNumberFormat="1" applyFont="1" applyFill="1" applyBorder="1" applyAlignment="1" applyProtection="1">
      <alignment horizontal="center" vertical="center" wrapText="1"/>
    </xf>
    <xf numFmtId="180" fontId="2" fillId="4" borderId="11" xfId="1" applyNumberFormat="1" applyFont="1" applyFill="1" applyBorder="1" applyAlignment="1" applyProtection="1">
      <alignment horizontal="center" vertical="center" wrapText="1"/>
    </xf>
    <xf numFmtId="0" fontId="9" fillId="3" borderId="50" xfId="29" applyFont="1" applyFill="1" applyBorder="1" applyAlignment="1" applyProtection="1">
      <alignment horizontal="center" vertical="center" wrapText="1"/>
      <protection locked="0"/>
    </xf>
    <xf numFmtId="0" fontId="9" fillId="5" borderId="2" xfId="37" applyFont="1" applyFill="1" applyBorder="1" applyAlignment="1">
      <alignment horizontal="center" vertical="center" wrapText="1"/>
    </xf>
    <xf numFmtId="0" fontId="9" fillId="5" borderId="42" xfId="37" applyFont="1" applyFill="1" applyBorder="1" applyAlignment="1">
      <alignment horizontal="center" vertical="center" wrapText="1"/>
    </xf>
    <xf numFmtId="0" fontId="9" fillId="5" borderId="3" xfId="37" applyFont="1" applyFill="1" applyBorder="1" applyAlignment="1">
      <alignment horizontal="center" vertical="center" wrapText="1"/>
    </xf>
    <xf numFmtId="180" fontId="2" fillId="0" borderId="51" xfId="1" applyNumberFormat="1" applyFont="1" applyBorder="1" applyAlignment="1" applyProtection="1">
      <alignment horizontal="center" vertical="center" wrapText="1"/>
      <protection locked="0"/>
    </xf>
    <xf numFmtId="180" fontId="2" fillId="3" borderId="4" xfId="37" applyNumberFormat="1" applyFont="1" applyFill="1" applyBorder="1"/>
    <xf numFmtId="180" fontId="2" fillId="3" borderId="32" xfId="37" applyNumberFormat="1" applyFont="1" applyFill="1" applyBorder="1"/>
    <xf numFmtId="180" fontId="2" fillId="4" borderId="5" xfId="37" applyNumberFormat="1" applyFont="1" applyFill="1" applyBorder="1"/>
    <xf numFmtId="180" fontId="2" fillId="0" borderId="24" xfId="1" applyNumberFormat="1" applyFont="1" applyBorder="1" applyAlignment="1" applyProtection="1">
      <alignment horizontal="center" vertical="center" wrapText="1"/>
      <protection locked="0"/>
    </xf>
    <xf numFmtId="180" fontId="2" fillId="3" borderId="8" xfId="37" applyNumberFormat="1" applyFont="1" applyFill="1" applyBorder="1"/>
    <xf numFmtId="180" fontId="2" fillId="3" borderId="21" xfId="37" applyNumberFormat="1" applyFont="1" applyFill="1" applyBorder="1"/>
    <xf numFmtId="180" fontId="2" fillId="4" borderId="9" xfId="37" applyNumberFormat="1" applyFont="1" applyFill="1" applyBorder="1"/>
    <xf numFmtId="0" fontId="2" fillId="0" borderId="10" xfId="37" applyFont="1" applyBorder="1" applyProtection="1">
      <protection locked="0"/>
    </xf>
    <xf numFmtId="180" fontId="2" fillId="0" borderId="38" xfId="1" applyNumberFormat="1" applyFont="1" applyBorder="1" applyAlignment="1" applyProtection="1">
      <alignment horizontal="center" vertical="center" wrapText="1"/>
      <protection locked="0"/>
    </xf>
    <xf numFmtId="180" fontId="2" fillId="3" borderId="10" xfId="37" applyNumberFormat="1" applyFont="1" applyFill="1" applyBorder="1"/>
    <xf numFmtId="180" fontId="2" fillId="3" borderId="18" xfId="37" applyNumberFormat="1" applyFont="1" applyFill="1" applyBorder="1"/>
    <xf numFmtId="180" fontId="2" fillId="4" borderId="11" xfId="37" applyNumberFormat="1" applyFont="1" applyFill="1" applyBorder="1"/>
    <xf numFmtId="0" fontId="3" fillId="0" borderId="0" xfId="33" applyProtection="1">
      <protection locked="0"/>
    </xf>
    <xf numFmtId="0" fontId="26" fillId="0" borderId="16" xfId="33" applyFont="1" applyBorder="1" applyAlignment="1" applyProtection="1">
      <alignment horizontal="center" vertical="center" wrapText="1"/>
      <protection locked="0"/>
    </xf>
    <xf numFmtId="0" fontId="26" fillId="0" borderId="34" xfId="33" applyFont="1" applyBorder="1" applyAlignment="1" applyProtection="1">
      <alignment horizontal="center" vertical="center" wrapText="1"/>
      <protection locked="0"/>
    </xf>
    <xf numFmtId="0" fontId="28" fillId="0" borderId="34" xfId="33" applyFont="1" applyBorder="1" applyAlignment="1" applyProtection="1">
      <alignment horizontal="center" vertical="center" wrapText="1"/>
      <protection locked="0"/>
    </xf>
    <xf numFmtId="184" fontId="27" fillId="3" borderId="10" xfId="33" applyNumberFormat="1" applyFont="1" applyFill="1" applyBorder="1" applyAlignment="1" applyProtection="1">
      <alignment horizontal="center" vertical="top" wrapText="1"/>
      <protection locked="0"/>
    </xf>
    <xf numFmtId="184" fontId="27" fillId="3" borderId="18" xfId="33" applyNumberFormat="1" applyFont="1" applyFill="1" applyBorder="1" applyAlignment="1" applyProtection="1">
      <alignment horizontal="center" vertical="center" wrapText="1"/>
      <protection locked="0"/>
    </xf>
    <xf numFmtId="0" fontId="19" fillId="0" borderId="4" xfId="33" applyFont="1" applyBorder="1" applyAlignment="1" applyProtection="1">
      <alignment horizontal="left" vertical="center" wrapText="1"/>
      <protection locked="0"/>
    </xf>
    <xf numFmtId="184" fontId="2" fillId="0" borderId="32" xfId="33" applyNumberFormat="1" applyFont="1" applyBorder="1" applyAlignment="1" applyProtection="1">
      <alignment horizontal="left" vertical="center" wrapText="1"/>
      <protection locked="0"/>
    </xf>
    <xf numFmtId="185" fontId="2" fillId="0" borderId="32" xfId="33" applyNumberFormat="1" applyFont="1" applyBorder="1" applyAlignment="1" applyProtection="1">
      <alignment horizontal="left" vertical="center" wrapText="1"/>
      <protection locked="0"/>
    </xf>
    <xf numFmtId="186" fontId="19" fillId="0" borderId="32" xfId="33" applyNumberFormat="1" applyFont="1" applyBorder="1" applyAlignment="1" applyProtection="1">
      <alignment horizontal="center" vertical="center"/>
      <protection locked="0"/>
    </xf>
    <xf numFmtId="9" fontId="9" fillId="0" borderId="32" xfId="12" applyNumberFormat="1" applyFont="1" applyBorder="1" applyAlignment="1" applyProtection="1">
      <alignment horizontal="center" vertical="center"/>
      <protection locked="0"/>
    </xf>
    <xf numFmtId="186" fontId="9" fillId="0" borderId="32" xfId="33" applyNumberFormat="1" applyFont="1" applyBorder="1" applyAlignment="1" applyProtection="1">
      <alignment horizontal="center" vertical="center"/>
      <protection locked="0"/>
    </xf>
    <xf numFmtId="10" fontId="9" fillId="0" borderId="32" xfId="58" applyNumberFormat="1" applyFont="1" applyBorder="1" applyAlignment="1" applyProtection="1">
      <alignment horizontal="center" vertical="center"/>
      <protection locked="0"/>
    </xf>
    <xf numFmtId="10" fontId="9" fillId="0" borderId="5" xfId="58" applyNumberFormat="1" applyFont="1" applyBorder="1" applyAlignment="1" applyProtection="1">
      <alignment horizontal="center" vertical="center"/>
      <protection locked="0"/>
    </xf>
    <xf numFmtId="0" fontId="19" fillId="0" borderId="8" xfId="33" applyFont="1" applyBorder="1" applyAlignment="1" applyProtection="1">
      <alignment horizontal="left" vertical="center" wrapText="1"/>
      <protection locked="0"/>
    </xf>
    <xf numFmtId="184" fontId="2" fillId="0" borderId="21" xfId="33" applyNumberFormat="1" applyFont="1" applyBorder="1" applyAlignment="1" applyProtection="1">
      <alignment horizontal="left" vertical="center" wrapText="1"/>
      <protection locked="0"/>
    </xf>
    <xf numFmtId="185" fontId="2" fillId="0" borderId="21" xfId="33" applyNumberFormat="1" applyFont="1" applyBorder="1" applyAlignment="1" applyProtection="1">
      <alignment horizontal="left" vertical="center" wrapText="1"/>
      <protection locked="0"/>
    </xf>
    <xf numFmtId="186" fontId="19" fillId="0" borderId="21" xfId="33" applyNumberFormat="1" applyFont="1" applyBorder="1" applyAlignment="1" applyProtection="1">
      <alignment horizontal="center" vertical="center"/>
      <protection locked="0"/>
    </xf>
    <xf numFmtId="9" fontId="9" fillId="0" borderId="21" xfId="12" applyNumberFormat="1" applyFont="1" applyBorder="1" applyAlignment="1" applyProtection="1">
      <alignment horizontal="center" vertical="center"/>
      <protection locked="0"/>
    </xf>
    <xf numFmtId="186" fontId="9" fillId="0" borderId="21" xfId="33" applyNumberFormat="1" applyFont="1" applyBorder="1" applyAlignment="1" applyProtection="1">
      <alignment horizontal="center" vertical="center"/>
      <protection locked="0"/>
    </xf>
    <xf numFmtId="10" fontId="9" fillId="0" borderId="21" xfId="58" applyNumberFormat="1" applyFont="1" applyBorder="1" applyAlignment="1" applyProtection="1">
      <alignment horizontal="center" vertical="center"/>
      <protection locked="0"/>
    </xf>
    <xf numFmtId="10" fontId="9" fillId="0" borderId="9" xfId="58" applyNumberFormat="1" applyFont="1" applyBorder="1" applyAlignment="1" applyProtection="1">
      <alignment horizontal="center" vertical="center"/>
      <protection locked="0"/>
    </xf>
    <xf numFmtId="0" fontId="19" fillId="0" borderId="10" xfId="33" applyFont="1" applyBorder="1" applyAlignment="1" applyProtection="1">
      <alignment horizontal="left" vertical="center" wrapText="1"/>
      <protection locked="0"/>
    </xf>
    <xf numFmtId="184" fontId="2" fillId="0" borderId="18" xfId="33" applyNumberFormat="1" applyFont="1" applyBorder="1" applyAlignment="1" applyProtection="1">
      <alignment horizontal="left" vertical="center" wrapText="1"/>
      <protection locked="0"/>
    </xf>
    <xf numFmtId="186" fontId="19" fillId="0" borderId="18" xfId="33" applyNumberFormat="1" applyFont="1" applyBorder="1" applyAlignment="1" applyProtection="1">
      <alignment horizontal="center" vertical="center"/>
      <protection locked="0"/>
    </xf>
    <xf numFmtId="9" fontId="9" fillId="0" borderId="18" xfId="12" applyNumberFormat="1" applyFont="1" applyBorder="1" applyAlignment="1" applyProtection="1">
      <alignment horizontal="center" vertical="center"/>
      <protection locked="0"/>
    </xf>
    <xf numFmtId="186" fontId="9" fillId="0" borderId="18" xfId="33" applyNumberFormat="1" applyFont="1" applyBorder="1" applyAlignment="1" applyProtection="1">
      <alignment horizontal="center" vertical="center"/>
      <protection locked="0"/>
    </xf>
    <xf numFmtId="10" fontId="9" fillId="0" borderId="18" xfId="58" applyNumberFormat="1" applyFont="1" applyBorder="1" applyAlignment="1" applyProtection="1">
      <alignment horizontal="center" vertical="center"/>
      <protection locked="0"/>
    </xf>
    <xf numFmtId="10" fontId="9" fillId="0" borderId="11" xfId="58" applyNumberFormat="1" applyFont="1" applyBorder="1" applyAlignment="1" applyProtection="1">
      <alignment horizontal="center" vertical="center"/>
      <protection locked="0"/>
    </xf>
    <xf numFmtId="0" fontId="19" fillId="0" borderId="0" xfId="33" applyFont="1" applyAlignment="1" applyProtection="1">
      <alignment horizontal="left" vertical="center" wrapText="1"/>
      <protection locked="0"/>
    </xf>
    <xf numFmtId="184" fontId="2" fillId="0" borderId="0" xfId="33" applyNumberFormat="1" applyFont="1" applyAlignment="1" applyProtection="1">
      <alignment horizontal="left" vertical="center" wrapText="1"/>
      <protection locked="0"/>
    </xf>
    <xf numFmtId="186" fontId="19" fillId="0" borderId="0" xfId="33" applyNumberFormat="1" applyFont="1" applyAlignment="1" applyProtection="1">
      <alignment horizontal="center" vertical="center"/>
      <protection locked="0"/>
    </xf>
    <xf numFmtId="9" fontId="9" fillId="0" borderId="0" xfId="12" applyNumberFormat="1" applyFont="1" applyBorder="1" applyAlignment="1" applyProtection="1">
      <alignment horizontal="center" vertical="center"/>
      <protection locked="0"/>
    </xf>
    <xf numFmtId="186" fontId="9" fillId="0" borderId="0" xfId="33" applyNumberFormat="1" applyFont="1" applyAlignment="1" applyProtection="1">
      <alignment horizontal="center" vertical="center"/>
      <protection locked="0"/>
    </xf>
    <xf numFmtId="10" fontId="9" fillId="0" borderId="0" xfId="58" applyNumberFormat="1" applyFont="1" applyBorder="1" applyAlignment="1" applyProtection="1">
      <alignment horizontal="center" vertical="center"/>
      <protection locked="0"/>
    </xf>
    <xf numFmtId="175" fontId="9" fillId="0" borderId="32" xfId="12" applyNumberFormat="1" applyFont="1" applyBorder="1" applyAlignment="1" applyProtection="1">
      <alignment horizontal="center" vertical="center"/>
      <protection locked="0"/>
    </xf>
    <xf numFmtId="0" fontId="3" fillId="0" borderId="0" xfId="35" applyFont="1" applyProtection="1">
      <protection locked="0"/>
    </xf>
    <xf numFmtId="0" fontId="9" fillId="0" borderId="0" xfId="29" applyFont="1" applyAlignment="1" applyProtection="1">
      <alignment horizontal="left" vertical="center" wrapText="1"/>
      <protection locked="0"/>
    </xf>
    <xf numFmtId="0" fontId="2" fillId="0" borderId="0" xfId="29" applyAlignment="1" applyProtection="1">
      <alignment horizontal="justify" vertical="center" wrapText="1"/>
      <protection locked="0"/>
    </xf>
    <xf numFmtId="0" fontId="3" fillId="0" borderId="0" xfId="35" applyFont="1" applyAlignment="1" applyProtection="1">
      <alignment vertical="center"/>
      <protection locked="0"/>
    </xf>
    <xf numFmtId="0" fontId="19" fillId="0" borderId="0" xfId="35" applyFont="1" applyAlignment="1" applyProtection="1">
      <alignment vertical="center"/>
      <protection locked="0"/>
    </xf>
    <xf numFmtId="0" fontId="3" fillId="11" borderId="21" xfId="35" applyFont="1" applyFill="1" applyBorder="1" applyAlignment="1" applyProtection="1">
      <alignment horizontal="center" vertical="center" wrapText="1"/>
      <protection locked="0"/>
    </xf>
    <xf numFmtId="0" fontId="3" fillId="5" borderId="21" xfId="35" applyFont="1" applyFill="1" applyBorder="1" applyAlignment="1" applyProtection="1">
      <alignment horizontal="center" vertical="center" wrapText="1"/>
      <protection locked="0"/>
    </xf>
    <xf numFmtId="0" fontId="20" fillId="0" borderId="21" xfId="35" applyFont="1" applyBorder="1" applyAlignment="1" applyProtection="1">
      <alignment horizontal="justify" vertical="center" wrapText="1"/>
      <protection locked="0"/>
    </xf>
    <xf numFmtId="0" fontId="3" fillId="0" borderId="21" xfId="35" applyFont="1" applyBorder="1" applyAlignment="1" applyProtection="1">
      <alignment vertical="center" wrapText="1"/>
      <protection locked="0"/>
    </xf>
    <xf numFmtId="0" fontId="3" fillId="0" borderId="21" xfId="35" applyFont="1" applyBorder="1" applyAlignment="1">
      <alignment vertical="center" wrapText="1"/>
    </xf>
    <xf numFmtId="0" fontId="3" fillId="0" borderId="21" xfId="35" applyFont="1" applyBorder="1" applyAlignment="1" applyProtection="1">
      <alignment horizontal="justify" vertical="center" wrapText="1"/>
      <protection locked="0"/>
    </xf>
    <xf numFmtId="0" fontId="2" fillId="0" borderId="21" xfId="35" applyFont="1" applyBorder="1" applyAlignment="1" applyProtection="1">
      <alignment horizontal="justify" vertical="center" wrapText="1"/>
      <protection locked="0"/>
    </xf>
    <xf numFmtId="0" fontId="3" fillId="0" borderId="0" xfId="35" applyFont="1" applyAlignment="1" applyProtection="1">
      <alignment horizontal="justify" vertical="center"/>
      <protection locked="0"/>
    </xf>
    <xf numFmtId="0" fontId="3" fillId="0" borderId="0" xfId="35" applyFont="1"/>
    <xf numFmtId="0" fontId="2" fillId="0" borderId="0" xfId="37" applyFont="1" applyAlignment="1">
      <alignment horizontal="center"/>
    </xf>
    <xf numFmtId="9" fontId="2" fillId="0" borderId="12" xfId="29" applyNumberFormat="1" applyBorder="1" applyAlignment="1">
      <alignment vertical="center" wrapText="1"/>
    </xf>
    <xf numFmtId="0" fontId="9" fillId="11" borderId="12" xfId="29" applyFont="1" applyFill="1" applyBorder="1" applyAlignment="1">
      <alignment horizontal="left" vertical="center" wrapText="1"/>
    </xf>
    <xf numFmtId="0" fontId="2" fillId="0" borderId="12" xfId="29" applyBorder="1" applyAlignment="1">
      <alignment vertical="center" wrapText="1"/>
    </xf>
    <xf numFmtId="173" fontId="19" fillId="11" borderId="21" xfId="26" applyFont="1" applyFill="1" applyBorder="1" applyProtection="1"/>
    <xf numFmtId="173" fontId="19" fillId="0" borderId="21" xfId="26" applyFont="1" applyBorder="1" applyProtection="1"/>
    <xf numFmtId="0" fontId="3" fillId="0" borderId="53" xfId="35" applyFont="1" applyBorder="1"/>
    <xf numFmtId="173" fontId="3" fillId="0" borderId="53" xfId="26" applyFont="1" applyBorder="1" applyProtection="1"/>
    <xf numFmtId="173" fontId="2" fillId="0" borderId="53" xfId="26" applyFont="1" applyBorder="1" applyProtection="1"/>
    <xf numFmtId="173" fontId="2" fillId="0" borderId="0" xfId="26" applyFont="1" applyBorder="1" applyProtection="1"/>
    <xf numFmtId="0" fontId="3" fillId="0" borderId="44" xfId="35" applyFont="1" applyBorder="1"/>
    <xf numFmtId="0" fontId="3" fillId="0" borderId="49" xfId="35" applyFont="1" applyBorder="1"/>
    <xf numFmtId="0" fontId="3" fillId="0" borderId="45" xfId="35" applyFont="1" applyBorder="1"/>
    <xf numFmtId="0" fontId="3" fillId="0" borderId="22" xfId="35" applyFont="1" applyBorder="1"/>
    <xf numFmtId="0" fontId="3" fillId="0" borderId="31" xfId="35" applyFont="1" applyBorder="1"/>
    <xf numFmtId="0" fontId="19" fillId="0" borderId="0" xfId="35" applyFont="1"/>
    <xf numFmtId="0" fontId="3" fillId="0" borderId="54" xfId="35" applyFont="1" applyBorder="1" applyAlignment="1">
      <alignment vertical="center"/>
    </xf>
    <xf numFmtId="0" fontId="3" fillId="0" borderId="54" xfId="35" applyFont="1" applyBorder="1"/>
    <xf numFmtId="0" fontId="29" fillId="0" borderId="54" xfId="35" applyFont="1" applyBorder="1" applyAlignment="1">
      <alignment horizontal="center" wrapText="1"/>
    </xf>
    <xf numFmtId="0" fontId="3" fillId="0" borderId="55" xfId="35" applyFont="1" applyBorder="1"/>
    <xf numFmtId="0" fontId="3" fillId="0" borderId="56" xfId="35" applyFont="1" applyBorder="1"/>
    <xf numFmtId="0" fontId="3" fillId="0" borderId="26" xfId="35" applyFont="1" applyBorder="1"/>
    <xf numFmtId="0" fontId="3" fillId="0" borderId="0" xfId="36" applyFont="1"/>
    <xf numFmtId="0" fontId="3" fillId="2" borderId="0" xfId="50" applyFont="1" applyFill="1" applyProtection="1">
      <protection locked="0"/>
    </xf>
    <xf numFmtId="0" fontId="3" fillId="0" borderId="0" xfId="45" applyFont="1" applyAlignment="1" applyProtection="1">
      <alignment horizontal="center" vertical="center"/>
      <protection locked="0"/>
    </xf>
    <xf numFmtId="0" fontId="19" fillId="11" borderId="21" xfId="45" applyFont="1" applyFill="1" applyBorder="1" applyAlignment="1" applyProtection="1">
      <alignment vertical="center"/>
      <protection locked="0"/>
    </xf>
    <xf numFmtId="0" fontId="26" fillId="3" borderId="21" xfId="48" applyFont="1" applyFill="1" applyBorder="1" applyAlignment="1">
      <alignment horizontal="center" vertical="center" wrapText="1"/>
    </xf>
    <xf numFmtId="0" fontId="3" fillId="2" borderId="21" xfId="48" applyFont="1" applyFill="1" applyBorder="1" applyAlignment="1">
      <alignment vertical="center"/>
    </xf>
    <xf numFmtId="180" fontId="3" fillId="2" borderId="21" xfId="48" applyNumberFormat="1" applyFont="1" applyFill="1" applyBorder="1" applyAlignment="1" applyProtection="1">
      <alignment vertical="center"/>
      <protection locked="0"/>
    </xf>
    <xf numFmtId="180" fontId="3" fillId="2" borderId="21" xfId="48" applyNumberFormat="1" applyFont="1" applyFill="1" applyBorder="1" applyAlignment="1" applyProtection="1">
      <alignment horizontal="right" vertical="center"/>
      <protection locked="0"/>
    </xf>
    <xf numFmtId="0" fontId="3" fillId="2" borderId="0" xfId="48" applyFont="1" applyFill="1" applyAlignment="1">
      <alignment vertical="center"/>
    </xf>
    <xf numFmtId="180" fontId="3" fillId="2" borderId="0" xfId="48" applyNumberFormat="1" applyFont="1" applyFill="1" applyAlignment="1">
      <alignment vertical="center"/>
    </xf>
    <xf numFmtId="0" fontId="8" fillId="2" borderId="21" xfId="48" applyFont="1" applyFill="1" applyBorder="1" applyAlignment="1">
      <alignment vertical="center"/>
    </xf>
    <xf numFmtId="180" fontId="8" fillId="2" borderId="21" xfId="48" applyNumberFormat="1" applyFont="1" applyFill="1" applyBorder="1" applyAlignment="1" applyProtection="1">
      <alignment vertical="center"/>
      <protection locked="0"/>
    </xf>
    <xf numFmtId="180" fontId="8" fillId="2" borderId="21" xfId="48" applyNumberFormat="1" applyFont="1" applyFill="1" applyBorder="1" applyAlignment="1" applyProtection="1">
      <alignment horizontal="right" vertical="center"/>
      <protection locked="0"/>
    </xf>
    <xf numFmtId="0" fontId="3" fillId="2" borderId="0" xfId="48" applyFont="1" applyFill="1"/>
    <xf numFmtId="0" fontId="3" fillId="0" borderId="0" xfId="48" applyFont="1"/>
    <xf numFmtId="0" fontId="19" fillId="2" borderId="0" xfId="48" applyFont="1" applyFill="1" applyAlignment="1">
      <alignment vertical="center" wrapText="1"/>
    </xf>
    <xf numFmtId="0" fontId="3" fillId="0" borderId="0" xfId="50" applyFont="1" applyProtection="1">
      <protection locked="0"/>
    </xf>
    <xf numFmtId="172" fontId="3" fillId="2" borderId="21" xfId="48" applyNumberFormat="1" applyFont="1" applyFill="1" applyBorder="1" applyProtection="1">
      <protection locked="0"/>
    </xf>
    <xf numFmtId="172" fontId="3" fillId="0" borderId="21" xfId="48" applyNumberFormat="1" applyFont="1" applyBorder="1" applyProtection="1">
      <protection locked="0"/>
    </xf>
    <xf numFmtId="0" fontId="15" fillId="0" borderId="0" xfId="48" applyFont="1" applyAlignment="1">
      <alignment wrapText="1"/>
    </xf>
    <xf numFmtId="0" fontId="30" fillId="0" borderId="0" xfId="48" applyFont="1" applyAlignment="1">
      <alignment wrapText="1"/>
    </xf>
    <xf numFmtId="0" fontId="3" fillId="0" borderId="0" xfId="45" applyFont="1" applyAlignment="1" applyProtection="1">
      <alignment horizontal="center" vertical="center" wrapText="1"/>
      <protection locked="0"/>
    </xf>
    <xf numFmtId="0" fontId="19" fillId="11" borderId="0" xfId="45" applyFont="1" applyFill="1" applyAlignment="1">
      <alignment vertical="center"/>
    </xf>
    <xf numFmtId="0" fontId="19" fillId="0" borderId="0" xfId="45" applyFont="1" applyAlignment="1" applyProtection="1">
      <alignment vertical="center"/>
      <protection locked="0"/>
    </xf>
    <xf numFmtId="0" fontId="19" fillId="0" borderId="0" xfId="45" applyFont="1" applyAlignment="1" applyProtection="1">
      <alignment horizontal="left" vertical="center"/>
      <protection locked="0"/>
    </xf>
    <xf numFmtId="0" fontId="9" fillId="5" borderId="16" xfId="37" applyFont="1" applyFill="1" applyBorder="1" applyAlignment="1">
      <alignment horizontal="center" vertical="center" wrapText="1"/>
    </xf>
    <xf numFmtId="0" fontId="2" fillId="0" borderId="8" xfId="37" applyFont="1" applyBorder="1" applyAlignment="1" applyProtection="1">
      <alignment vertical="center" wrapText="1"/>
      <protection locked="0"/>
    </xf>
    <xf numFmtId="169" fontId="2" fillId="0" borderId="0" xfId="37" applyNumberFormat="1" applyFont="1" applyProtection="1">
      <protection locked="0"/>
    </xf>
    <xf numFmtId="2" fontId="2" fillId="0" borderId="0" xfId="37" applyNumberFormat="1" applyFont="1" applyProtection="1">
      <protection locked="0"/>
    </xf>
    <xf numFmtId="169" fontId="2" fillId="0" borderId="0" xfId="1" applyFont="1" applyBorder="1" applyProtection="1">
      <protection locked="0"/>
    </xf>
    <xf numFmtId="10" fontId="2" fillId="0" borderId="0" xfId="2" applyNumberFormat="1" applyFont="1" applyBorder="1" applyProtection="1">
      <protection locked="0"/>
    </xf>
    <xf numFmtId="0" fontId="2" fillId="0" borderId="10" xfId="37" applyFont="1" applyBorder="1" applyAlignment="1" applyProtection="1">
      <alignment vertical="center" wrapText="1"/>
      <protection locked="0"/>
    </xf>
    <xf numFmtId="0" fontId="2" fillId="0" borderId="0" xfId="37" applyFont="1" applyAlignment="1" applyProtection="1">
      <alignment vertical="center" wrapText="1"/>
      <protection hidden="1"/>
    </xf>
    <xf numFmtId="187" fontId="2" fillId="0" borderId="0" xfId="15" applyNumberFormat="1" applyFont="1" applyBorder="1" applyAlignment="1" applyProtection="1">
      <alignment horizontal="right" vertical="center"/>
    </xf>
    <xf numFmtId="0" fontId="19" fillId="0" borderId="0" xfId="45" applyFont="1"/>
    <xf numFmtId="0" fontId="3" fillId="0" borderId="0" xfId="45" applyFont="1" applyProtection="1">
      <protection locked="0"/>
    </xf>
    <xf numFmtId="0" fontId="3" fillId="2" borderId="0" xfId="30" applyFont="1" applyFill="1" applyProtection="1">
      <protection locked="0"/>
    </xf>
    <xf numFmtId="182" fontId="3" fillId="2" borderId="0" xfId="18" applyNumberFormat="1" applyFont="1" applyFill="1" applyBorder="1" applyProtection="1">
      <protection locked="0"/>
    </xf>
    <xf numFmtId="0" fontId="3" fillId="0" borderId="0" xfId="30" applyFont="1" applyProtection="1">
      <protection locked="0"/>
    </xf>
    <xf numFmtId="0" fontId="3" fillId="0" borderId="0" xfId="45" applyFont="1" applyAlignment="1">
      <alignment vertical="center" wrapText="1"/>
    </xf>
    <xf numFmtId="0" fontId="3" fillId="0" borderId="0" xfId="30" applyFont="1"/>
    <xf numFmtId="0" fontId="19" fillId="0" borderId="0" xfId="45" applyFont="1" applyAlignment="1">
      <alignment horizontal="left" vertical="center"/>
    </xf>
    <xf numFmtId="180" fontId="19" fillId="0" borderId="0" xfId="1" applyNumberFormat="1" applyFont="1" applyBorder="1" applyAlignment="1" applyProtection="1">
      <alignment horizontal="left" vertical="center"/>
    </xf>
    <xf numFmtId="0" fontId="19" fillId="17" borderId="32" xfId="1" applyNumberFormat="1" applyFont="1" applyFill="1" applyBorder="1" applyAlignment="1" applyProtection="1">
      <alignment horizontal="right"/>
      <protection hidden="1"/>
    </xf>
    <xf numFmtId="0" fontId="19" fillId="18" borderId="32" xfId="1" applyNumberFormat="1" applyFont="1" applyFill="1" applyBorder="1" applyAlignment="1" applyProtection="1">
      <alignment horizontal="right"/>
      <protection hidden="1"/>
    </xf>
    <xf numFmtId="0" fontId="19" fillId="18" borderId="5" xfId="1" applyNumberFormat="1" applyFont="1" applyFill="1" applyBorder="1" applyAlignment="1" applyProtection="1">
      <alignment horizontal="right"/>
      <protection hidden="1"/>
    </xf>
    <xf numFmtId="180" fontId="3" fillId="17" borderId="21" xfId="1" applyNumberFormat="1" applyFont="1" applyFill="1" applyBorder="1" applyAlignment="1" applyProtection="1">
      <alignment horizontal="right"/>
      <protection locked="0" hidden="1"/>
    </xf>
    <xf numFmtId="180" fontId="3" fillId="18" borderId="21" xfId="1" applyNumberFormat="1" applyFont="1" applyFill="1" applyBorder="1" applyAlignment="1" applyProtection="1">
      <alignment horizontal="right"/>
      <protection locked="0" hidden="1"/>
    </xf>
    <xf numFmtId="180" fontId="3" fillId="18" borderId="9" xfId="1" applyNumberFormat="1" applyFont="1" applyFill="1" applyBorder="1" applyAlignment="1" applyProtection="1">
      <alignment horizontal="right"/>
      <protection locked="0" hidden="1"/>
    </xf>
    <xf numFmtId="182" fontId="19" fillId="17" borderId="21" xfId="1" applyNumberFormat="1" applyFont="1" applyFill="1" applyBorder="1" applyProtection="1">
      <protection locked="0" hidden="1"/>
    </xf>
    <xf numFmtId="182" fontId="19" fillId="18" borderId="21" xfId="1" applyNumberFormat="1" applyFont="1" applyFill="1" applyBorder="1" applyProtection="1">
      <protection locked="0" hidden="1"/>
    </xf>
    <xf numFmtId="182" fontId="19" fillId="18" borderId="9" xfId="1" applyNumberFormat="1" applyFont="1" applyFill="1" applyBorder="1" applyProtection="1">
      <protection locked="0" hidden="1"/>
    </xf>
    <xf numFmtId="0" fontId="19" fillId="3" borderId="8" xfId="0" applyFont="1" applyFill="1" applyBorder="1" applyAlignment="1">
      <alignment horizontal="center"/>
    </xf>
    <xf numFmtId="0" fontId="19" fillId="3" borderId="21" xfId="0" applyFont="1" applyFill="1" applyBorder="1" applyAlignment="1">
      <alignment horizontal="center"/>
    </xf>
    <xf numFmtId="182" fontId="19" fillId="3" borderId="21" xfId="1" applyNumberFormat="1" applyFont="1" applyFill="1" applyBorder="1" applyAlignment="1" applyProtection="1">
      <alignment horizontal="center"/>
      <protection hidden="1"/>
    </xf>
    <xf numFmtId="182" fontId="19" fillId="3" borderId="9" xfId="1" applyNumberFormat="1" applyFont="1" applyFill="1" applyBorder="1" applyAlignment="1" applyProtection="1">
      <alignment horizontal="center"/>
      <protection hidden="1"/>
    </xf>
    <xf numFmtId="0" fontId="19" fillId="3" borderId="21" xfId="0" applyFont="1" applyFill="1" applyBorder="1" applyProtection="1">
      <protection hidden="1"/>
    </xf>
    <xf numFmtId="0" fontId="19" fillId="3" borderId="9" xfId="0" applyFont="1" applyFill="1" applyBorder="1" applyProtection="1">
      <protection hidden="1"/>
    </xf>
    <xf numFmtId="0" fontId="3" fillId="0" borderId="8" xfId="0" applyFont="1" applyBorder="1" applyProtection="1">
      <protection hidden="1"/>
    </xf>
    <xf numFmtId="10" fontId="3" fillId="0" borderId="21" xfId="0" applyNumberFormat="1" applyFont="1" applyBorder="1" applyProtection="1">
      <protection locked="0" hidden="1"/>
    </xf>
    <xf numFmtId="182" fontId="3" fillId="0" borderId="21" xfId="1" applyNumberFormat="1" applyFont="1" applyBorder="1" applyProtection="1">
      <protection locked="0" hidden="1"/>
    </xf>
    <xf numFmtId="182" fontId="3" fillId="0" borderId="9" xfId="1" applyNumberFormat="1" applyFont="1" applyBorder="1" applyProtection="1">
      <protection locked="0" hidden="1"/>
    </xf>
    <xf numFmtId="10" fontId="3" fillId="0" borderId="21" xfId="2" applyNumberFormat="1" applyFont="1" applyBorder="1" applyProtection="1">
      <protection locked="0" hidden="1"/>
    </xf>
    <xf numFmtId="182" fontId="3" fillId="3" borderId="21" xfId="1" applyNumberFormat="1" applyFont="1" applyFill="1" applyBorder="1" applyProtection="1">
      <protection hidden="1"/>
    </xf>
    <xf numFmtId="182" fontId="3" fillId="3" borderId="9" xfId="1" applyNumberFormat="1" applyFont="1" applyFill="1" applyBorder="1" applyProtection="1">
      <protection hidden="1"/>
    </xf>
    <xf numFmtId="0" fontId="3" fillId="17" borderId="8" xfId="0" applyFont="1" applyFill="1" applyBorder="1" applyProtection="1">
      <protection hidden="1"/>
    </xf>
    <xf numFmtId="10" fontId="3" fillId="17" borderId="21" xfId="2" applyNumberFormat="1" applyFont="1" applyFill="1" applyBorder="1" applyProtection="1">
      <protection locked="0" hidden="1"/>
    </xf>
    <xf numFmtId="182" fontId="19" fillId="3" borderId="21" xfId="1" applyNumberFormat="1" applyFont="1" applyFill="1" applyBorder="1" applyProtection="1">
      <protection locked="0" hidden="1"/>
    </xf>
    <xf numFmtId="182" fontId="19" fillId="3" borderId="9" xfId="1" applyNumberFormat="1" applyFont="1" applyFill="1" applyBorder="1" applyProtection="1">
      <protection locked="0" hidden="1"/>
    </xf>
    <xf numFmtId="182" fontId="19" fillId="3" borderId="18" xfId="1" applyNumberFormat="1" applyFont="1" applyFill="1" applyBorder="1" applyProtection="1">
      <protection locked="0" hidden="1"/>
    </xf>
    <xf numFmtId="182" fontId="19" fillId="3" borderId="11" xfId="1" applyNumberFormat="1" applyFont="1" applyFill="1" applyBorder="1" applyProtection="1">
      <protection locked="0" hidden="1"/>
    </xf>
    <xf numFmtId="0" fontId="19" fillId="0" borderId="0" xfId="0" applyFont="1" applyAlignment="1">
      <alignment horizontal="left"/>
    </xf>
    <xf numFmtId="182" fontId="19" fillId="0" borderId="0" xfId="1" applyNumberFormat="1" applyFont="1" applyBorder="1" applyProtection="1"/>
    <xf numFmtId="9" fontId="19" fillId="0" borderId="0" xfId="2" applyFont="1" applyBorder="1" applyProtection="1"/>
    <xf numFmtId="2" fontId="3" fillId="0" borderId="21" xfId="2" applyNumberFormat="1" applyFont="1" applyBorder="1" applyProtection="1">
      <protection locked="0" hidden="1"/>
    </xf>
    <xf numFmtId="2" fontId="3" fillId="0" borderId="9" xfId="2" applyNumberFormat="1" applyFont="1" applyBorder="1" applyProtection="1">
      <protection locked="0" hidden="1"/>
    </xf>
    <xf numFmtId="182" fontId="3" fillId="3" borderId="21" xfId="18" applyNumberFormat="1" applyFont="1" applyFill="1" applyBorder="1" applyProtection="1">
      <protection locked="0" hidden="1"/>
    </xf>
    <xf numFmtId="182" fontId="3" fillId="3" borderId="9" xfId="18" applyNumberFormat="1" applyFont="1" applyFill="1" applyBorder="1" applyProtection="1">
      <protection locked="0" hidden="1"/>
    </xf>
    <xf numFmtId="182" fontId="3" fillId="0" borderId="18" xfId="18" applyNumberFormat="1" applyFont="1" applyBorder="1" applyProtection="1">
      <protection locked="0" hidden="1"/>
    </xf>
    <xf numFmtId="182" fontId="3" fillId="0" borderId="11" xfId="18" applyNumberFormat="1" applyFont="1" applyBorder="1" applyProtection="1">
      <protection locked="0" hidden="1"/>
    </xf>
    <xf numFmtId="0" fontId="19" fillId="0" borderId="0" xfId="30" applyFont="1"/>
    <xf numFmtId="10" fontId="3" fillId="0" borderId="0" xfId="55" applyNumberFormat="1" applyFont="1" applyBorder="1" applyProtection="1"/>
    <xf numFmtId="182" fontId="3" fillId="0" borderId="0" xfId="18" applyNumberFormat="1" applyFont="1" applyBorder="1" applyProtection="1"/>
    <xf numFmtId="0" fontId="3" fillId="0" borderId="4" xfId="30" applyFont="1" applyBorder="1" applyProtection="1">
      <protection hidden="1"/>
    </xf>
    <xf numFmtId="10" fontId="3" fillId="0" borderId="32" xfId="30" applyNumberFormat="1" applyFont="1" applyBorder="1" applyProtection="1">
      <protection locked="0" hidden="1"/>
    </xf>
    <xf numFmtId="182" fontId="3" fillId="0" borderId="32" xfId="18" applyNumberFormat="1" applyFont="1" applyBorder="1" applyProtection="1">
      <protection locked="0" hidden="1"/>
    </xf>
    <xf numFmtId="182" fontId="3" fillId="0" borderId="5" xfId="18" applyNumberFormat="1" applyFont="1" applyBorder="1" applyProtection="1">
      <protection locked="0" hidden="1"/>
    </xf>
    <xf numFmtId="0" fontId="3" fillId="0" borderId="8" xfId="30" applyFont="1" applyBorder="1" applyProtection="1">
      <protection hidden="1"/>
    </xf>
    <xf numFmtId="9" fontId="3" fillId="0" borderId="21" xfId="30" applyNumberFormat="1" applyFont="1" applyBorder="1" applyProtection="1">
      <protection locked="0" hidden="1"/>
    </xf>
    <xf numFmtId="182" fontId="3" fillId="0" borderId="21" xfId="18" applyNumberFormat="1" applyFont="1" applyBorder="1" applyProtection="1">
      <protection locked="0" hidden="1"/>
    </xf>
    <xf numFmtId="182" fontId="3" fillId="0" borderId="9" xfId="18" applyNumberFormat="1" applyFont="1" applyBorder="1" applyProtection="1">
      <protection locked="0" hidden="1"/>
    </xf>
    <xf numFmtId="10" fontId="3" fillId="0" borderId="21" xfId="30" applyNumberFormat="1" applyFont="1" applyBorder="1" applyProtection="1">
      <protection locked="0" hidden="1"/>
    </xf>
    <xf numFmtId="182" fontId="19" fillId="3" borderId="18" xfId="18" applyNumberFormat="1" applyFont="1" applyFill="1" applyBorder="1" applyProtection="1">
      <protection locked="0" hidden="1"/>
    </xf>
    <xf numFmtId="182" fontId="19" fillId="3" borderId="11" xfId="18" applyNumberFormat="1" applyFont="1" applyFill="1" applyBorder="1" applyProtection="1">
      <protection locked="0" hidden="1"/>
    </xf>
    <xf numFmtId="0" fontId="3" fillId="0" borderId="0" xfId="30" applyFont="1" applyAlignment="1">
      <alignment vertical="top" wrapText="1"/>
    </xf>
    <xf numFmtId="182" fontId="3" fillId="0" borderId="0" xfId="18" applyNumberFormat="1" applyFont="1" applyBorder="1" applyProtection="1">
      <protection locked="0"/>
    </xf>
    <xf numFmtId="0" fontId="3" fillId="0" borderId="0" xfId="36" applyFont="1" applyProtection="1">
      <protection locked="0"/>
    </xf>
    <xf numFmtId="0" fontId="19" fillId="11" borderId="0" xfId="45" applyFont="1" applyFill="1" applyAlignment="1" applyProtection="1">
      <alignment vertical="center"/>
      <protection locked="0"/>
    </xf>
    <xf numFmtId="0" fontId="19" fillId="11" borderId="0" xfId="45" applyFont="1" applyFill="1" applyAlignment="1" applyProtection="1">
      <alignment vertical="center" wrapText="1"/>
      <protection locked="0"/>
    </xf>
    <xf numFmtId="0" fontId="33" fillId="11" borderId="4" xfId="36" applyFont="1" applyFill="1" applyBorder="1" applyAlignment="1">
      <alignment horizontal="center" vertical="center"/>
    </xf>
    <xf numFmtId="0" fontId="33" fillId="5" borderId="32" xfId="36" applyFont="1" applyFill="1" applyBorder="1" applyAlignment="1">
      <alignment horizontal="center" vertical="center" wrapText="1"/>
    </xf>
    <xf numFmtId="0" fontId="33" fillId="5" borderId="5" xfId="36" applyFont="1" applyFill="1" applyBorder="1" applyAlignment="1">
      <alignment horizontal="center" vertical="center" wrapText="1"/>
    </xf>
    <xf numFmtId="0" fontId="34" fillId="0" borderId="8" xfId="36" applyFont="1" applyBorder="1" applyAlignment="1">
      <alignment horizontal="left" vertical="center" wrapText="1"/>
    </xf>
    <xf numFmtId="172" fontId="34" fillId="19" borderId="21" xfId="27" applyFont="1" applyFill="1" applyBorder="1" applyAlignment="1" applyProtection="1">
      <alignment horizontal="center" vertical="center" wrapText="1"/>
      <protection hidden="1"/>
    </xf>
    <xf numFmtId="172" fontId="34" fillId="0" borderId="21" xfId="27" applyFont="1" applyBorder="1" applyAlignment="1" applyProtection="1">
      <alignment horizontal="center" vertical="center" wrapText="1"/>
      <protection hidden="1"/>
    </xf>
    <xf numFmtId="172" fontId="34" fillId="0" borderId="21" xfId="36" applyNumberFormat="1" applyFont="1" applyBorder="1" applyAlignment="1" applyProtection="1">
      <alignment horizontal="center" vertical="center"/>
      <protection hidden="1"/>
    </xf>
    <xf numFmtId="172" fontId="34" fillId="0" borderId="9" xfId="36" applyNumberFormat="1" applyFont="1" applyBorder="1" applyAlignment="1" applyProtection="1">
      <alignment horizontal="center" vertical="center"/>
      <protection hidden="1"/>
    </xf>
    <xf numFmtId="0" fontId="34" fillId="0" borderId="14" xfId="36" applyFont="1" applyBorder="1" applyAlignment="1">
      <alignment horizontal="left" vertical="center" wrapText="1"/>
    </xf>
    <xf numFmtId="172" fontId="34" fillId="19" borderId="35" xfId="27" applyFont="1" applyFill="1" applyBorder="1" applyAlignment="1" applyProtection="1">
      <alignment horizontal="center" vertical="center" wrapText="1"/>
      <protection hidden="1"/>
    </xf>
    <xf numFmtId="172" fontId="34" fillId="0" borderId="35" xfId="27" applyFont="1" applyBorder="1" applyAlignment="1" applyProtection="1">
      <alignment horizontal="center" vertical="center" wrapText="1"/>
      <protection hidden="1"/>
    </xf>
    <xf numFmtId="172" fontId="34" fillId="0" borderId="35" xfId="36" applyNumberFormat="1" applyFont="1" applyBorder="1" applyAlignment="1" applyProtection="1">
      <alignment horizontal="center" vertical="center"/>
      <protection hidden="1"/>
    </xf>
    <xf numFmtId="172" fontId="34" fillId="0" borderId="15" xfId="36" applyNumberFormat="1" applyFont="1" applyBorder="1" applyAlignment="1" applyProtection="1">
      <alignment horizontal="center" vertical="center"/>
      <protection hidden="1"/>
    </xf>
    <xf numFmtId="0" fontId="34" fillId="0" borderId="16" xfId="36" applyFont="1" applyBorder="1" applyAlignment="1">
      <alignment horizontal="left" vertical="center"/>
    </xf>
    <xf numFmtId="172" fontId="34" fillId="19" borderId="34" xfId="27" applyFont="1" applyFill="1" applyBorder="1" applyAlignment="1" applyProtection="1">
      <alignment horizontal="center" vertical="center"/>
      <protection hidden="1"/>
    </xf>
    <xf numFmtId="172" fontId="34" fillId="0" borderId="34" xfId="27" applyFont="1" applyBorder="1" applyAlignment="1" applyProtection="1">
      <alignment horizontal="center" vertical="center" wrapText="1"/>
      <protection hidden="1"/>
    </xf>
    <xf numFmtId="172" fontId="34" fillId="0" borderId="34" xfId="36" applyNumberFormat="1" applyFont="1" applyBorder="1" applyAlignment="1" applyProtection="1">
      <alignment horizontal="center" vertical="center"/>
      <protection hidden="1"/>
    </xf>
    <xf numFmtId="172" fontId="34" fillId="0" borderId="17" xfId="36" applyNumberFormat="1" applyFont="1" applyBorder="1" applyAlignment="1" applyProtection="1">
      <alignment horizontal="center" vertical="center"/>
      <protection hidden="1"/>
    </xf>
    <xf numFmtId="0" fontId="34" fillId="0" borderId="8" xfId="36" applyFont="1" applyBorder="1" applyAlignment="1">
      <alignment horizontal="left" vertical="center"/>
    </xf>
    <xf numFmtId="172" fontId="34" fillId="19" borderId="21" xfId="27" applyFont="1" applyFill="1" applyBorder="1" applyAlignment="1" applyProtection="1">
      <alignment horizontal="center" vertical="center"/>
      <protection hidden="1"/>
    </xf>
    <xf numFmtId="0" fontId="34" fillId="0" borderId="10" xfId="36" applyFont="1" applyBorder="1" applyAlignment="1">
      <alignment horizontal="left" vertical="center"/>
    </xf>
    <xf numFmtId="172" fontId="34" fillId="19" borderId="18" xfId="27" applyFont="1" applyFill="1" applyBorder="1" applyAlignment="1" applyProtection="1">
      <alignment horizontal="center" vertical="center"/>
      <protection hidden="1"/>
    </xf>
    <xf numFmtId="172" fontId="34" fillId="0" borderId="18" xfId="27" applyFont="1" applyBorder="1" applyAlignment="1" applyProtection="1">
      <alignment horizontal="center" vertical="center" wrapText="1"/>
      <protection hidden="1"/>
    </xf>
    <xf numFmtId="172" fontId="34" fillId="0" borderId="18" xfId="36" applyNumberFormat="1" applyFont="1" applyBorder="1" applyAlignment="1" applyProtection="1">
      <alignment horizontal="center" vertical="center"/>
      <protection hidden="1"/>
    </xf>
    <xf numFmtId="172" fontId="34" fillId="0" borderId="11" xfId="36" applyNumberFormat="1" applyFont="1" applyBorder="1" applyAlignment="1" applyProtection="1">
      <alignment horizontal="center" vertical="center"/>
      <protection hidden="1"/>
    </xf>
    <xf numFmtId="0" fontId="34" fillId="0" borderId="4" xfId="36" applyFont="1" applyBorder="1" applyAlignment="1">
      <alignment horizontal="left" vertical="center"/>
    </xf>
    <xf numFmtId="172" fontId="34" fillId="19" borderId="32" xfId="27" applyFont="1" applyFill="1" applyBorder="1" applyAlignment="1" applyProtection="1">
      <alignment horizontal="center" vertical="center"/>
      <protection hidden="1"/>
    </xf>
    <xf numFmtId="172" fontId="34" fillId="0" borderId="32" xfId="27" applyFont="1" applyBorder="1" applyAlignment="1" applyProtection="1">
      <alignment horizontal="center" vertical="center" wrapText="1"/>
      <protection hidden="1"/>
    </xf>
    <xf numFmtId="172" fontId="34" fillId="0" borderId="32" xfId="36" applyNumberFormat="1" applyFont="1" applyBorder="1" applyAlignment="1" applyProtection="1">
      <alignment horizontal="center" vertical="center"/>
      <protection hidden="1"/>
    </xf>
    <xf numFmtId="172" fontId="34" fillId="0" borderId="5" xfId="36" applyNumberFormat="1" applyFont="1" applyBorder="1" applyAlignment="1" applyProtection="1">
      <alignment horizontal="center" vertical="center"/>
      <protection hidden="1"/>
    </xf>
    <xf numFmtId="0" fontId="34" fillId="0" borderId="21" xfId="36" applyFont="1" applyBorder="1" applyAlignment="1">
      <alignment horizontal="left" vertical="center"/>
    </xf>
    <xf numFmtId="0" fontId="3" fillId="2" borderId="0" xfId="28" applyFont="1" applyFill="1" applyProtection="1">
      <protection locked="0"/>
    </xf>
    <xf numFmtId="0" fontId="19" fillId="0" borderId="21" xfId="45" applyFont="1" applyBorder="1" applyAlignment="1" applyProtection="1">
      <alignment vertical="center"/>
      <protection locked="0"/>
    </xf>
    <xf numFmtId="0" fontId="19" fillId="0" borderId="0" xfId="28" applyFont="1" applyAlignment="1" applyProtection="1">
      <alignment horizontal="left" vertical="center" wrapText="1"/>
      <protection locked="0"/>
    </xf>
    <xf numFmtId="0" fontId="19" fillId="2" borderId="0" xfId="28" applyFont="1" applyFill="1" applyAlignment="1" applyProtection="1">
      <alignment horizontal="left" vertical="center"/>
      <protection locked="0"/>
    </xf>
    <xf numFmtId="0" fontId="19" fillId="0" borderId="21" xfId="45" applyFont="1" applyBorder="1" applyAlignment="1" applyProtection="1">
      <alignment vertical="center" wrapText="1"/>
      <protection locked="0"/>
    </xf>
    <xf numFmtId="0" fontId="19" fillId="0" borderId="0" xfId="45" applyFont="1" applyAlignment="1" applyProtection="1">
      <alignment vertical="center" wrapText="1"/>
      <protection locked="0"/>
    </xf>
    <xf numFmtId="0" fontId="19" fillId="0" borderId="0" xfId="45" applyFont="1" applyAlignment="1" applyProtection="1">
      <alignment horizontal="center" vertical="center"/>
      <protection locked="0"/>
    </xf>
    <xf numFmtId="0" fontId="19" fillId="11" borderId="12" xfId="45" applyFont="1" applyFill="1" applyBorder="1" applyAlignment="1" applyProtection="1">
      <alignment vertical="center"/>
      <protection locked="0"/>
    </xf>
    <xf numFmtId="0" fontId="19" fillId="11" borderId="52" xfId="45" applyFont="1" applyFill="1" applyBorder="1" applyAlignment="1" applyProtection="1">
      <alignment vertical="center"/>
      <protection locked="0"/>
    </xf>
    <xf numFmtId="0" fontId="19" fillId="3" borderId="4" xfId="44" applyFont="1" applyFill="1" applyBorder="1" applyAlignment="1" applyProtection="1">
      <alignment horizontal="center" vertical="center"/>
      <protection locked="0"/>
    </xf>
    <xf numFmtId="0" fontId="19" fillId="3" borderId="32" xfId="44" applyFont="1" applyFill="1" applyBorder="1" applyAlignment="1" applyProtection="1">
      <alignment horizontal="center" vertical="center"/>
      <protection locked="0"/>
    </xf>
    <xf numFmtId="0" fontId="3" fillId="0" borderId="21" xfId="44" applyFont="1" applyBorder="1" applyAlignment="1" applyProtection="1">
      <alignment vertical="center"/>
      <protection locked="0"/>
    </xf>
    <xf numFmtId="180" fontId="3" fillId="20" borderId="21" xfId="1" applyNumberFormat="1" applyFont="1" applyFill="1" applyBorder="1" applyAlignment="1" applyProtection="1">
      <alignment vertical="center"/>
      <protection locked="0"/>
    </xf>
    <xf numFmtId="0" fontId="3" fillId="0" borderId="21" xfId="44" applyFont="1" applyBorder="1" applyAlignment="1" applyProtection="1">
      <alignment horizontal="justify" vertical="center"/>
      <protection locked="0"/>
    </xf>
    <xf numFmtId="180" fontId="3" fillId="20" borderId="21" xfId="1" applyNumberFormat="1" applyFont="1" applyFill="1" applyBorder="1" applyAlignment="1" applyProtection="1">
      <alignment horizontal="right" vertical="center"/>
      <protection locked="0"/>
    </xf>
    <xf numFmtId="174" fontId="6" fillId="2" borderId="0" xfId="0" applyNumberFormat="1" applyFont="1" applyFill="1" applyAlignment="1" applyProtection="1">
      <alignment vertical="center" wrapText="1"/>
      <protection locked="0"/>
    </xf>
    <xf numFmtId="174" fontId="7" fillId="2" borderId="0" xfId="0" applyNumberFormat="1" applyFont="1" applyFill="1" applyAlignment="1" applyProtection="1">
      <alignment vertical="center" wrapText="1"/>
      <protection locked="0"/>
    </xf>
    <xf numFmtId="0" fontId="19" fillId="3" borderId="5" xfId="44" applyFont="1" applyFill="1" applyBorder="1" applyAlignment="1" applyProtection="1">
      <alignment horizontal="center" vertical="center"/>
      <protection locked="0"/>
    </xf>
    <xf numFmtId="0" fontId="3" fillId="0" borderId="8" xfId="44" applyFont="1" applyBorder="1" applyAlignment="1" applyProtection="1">
      <alignment horizontal="justify" vertical="center"/>
      <protection locked="0"/>
    </xf>
    <xf numFmtId="185" fontId="3" fillId="0" borderId="21" xfId="44" applyNumberFormat="1" applyFont="1" applyBorder="1" applyAlignment="1" applyProtection="1">
      <alignment horizontal="right" vertical="center"/>
      <protection locked="0"/>
    </xf>
    <xf numFmtId="0" fontId="3" fillId="0" borderId="9" xfId="44" applyFont="1" applyBorder="1" applyAlignment="1" applyProtection="1">
      <alignment horizontal="justify" vertical="center"/>
      <protection locked="0"/>
    </xf>
    <xf numFmtId="0" fontId="3" fillId="0" borderId="9" xfId="44" applyFont="1" applyBorder="1" applyAlignment="1" applyProtection="1">
      <alignment horizontal="justify" vertical="center" wrapText="1"/>
      <protection locked="0"/>
    </xf>
    <xf numFmtId="0" fontId="3" fillId="0" borderId="10" xfId="44" applyFont="1" applyBorder="1" applyAlignment="1" applyProtection="1">
      <alignment horizontal="justify" vertical="center"/>
      <protection locked="0"/>
    </xf>
    <xf numFmtId="185" fontId="3" fillId="0" borderId="18" xfId="44" applyNumberFormat="1" applyFont="1" applyBorder="1" applyAlignment="1" applyProtection="1">
      <alignment horizontal="right" vertical="center"/>
      <protection locked="0"/>
    </xf>
    <xf numFmtId="0" fontId="3" fillId="0" borderId="11" xfId="44" applyFont="1" applyBorder="1" applyAlignment="1" applyProtection="1">
      <alignment horizontal="justify" vertical="center" wrapText="1"/>
      <protection locked="0"/>
    </xf>
    <xf numFmtId="0" fontId="10" fillId="0" borderId="9" xfId="3" applyFont="1" applyBorder="1" applyAlignment="1" applyProtection="1">
      <alignment vertical="center"/>
      <protection locked="0"/>
    </xf>
    <xf numFmtId="0" fontId="10" fillId="0" borderId="11" xfId="3" applyFont="1" applyBorder="1" applyAlignment="1" applyProtection="1">
      <alignment vertical="center"/>
      <protection locked="0"/>
    </xf>
    <xf numFmtId="0" fontId="3" fillId="0" borderId="8" xfId="44" applyFont="1" applyBorder="1" applyAlignment="1" applyProtection="1">
      <alignment vertical="center" wrapText="1"/>
      <protection locked="0"/>
    </xf>
    <xf numFmtId="185" fontId="3" fillId="0" borderId="21" xfId="44" applyNumberFormat="1" applyFont="1" applyBorder="1" applyAlignment="1" applyProtection="1">
      <alignment vertical="center"/>
      <protection locked="0"/>
    </xf>
    <xf numFmtId="0" fontId="3" fillId="0" borderId="10" xfId="44" applyFont="1" applyBorder="1" applyAlignment="1" applyProtection="1">
      <alignment vertical="center"/>
      <protection locked="0"/>
    </xf>
    <xf numFmtId="185" fontId="3" fillId="0" borderId="18" xfId="44" applyNumberFormat="1" applyFont="1" applyBorder="1" applyAlignment="1" applyProtection="1">
      <alignment vertical="center"/>
      <protection locked="0"/>
    </xf>
    <xf numFmtId="0" fontId="3" fillId="0" borderId="18" xfId="44" applyFont="1" applyBorder="1" applyAlignment="1" applyProtection="1">
      <alignment vertical="center"/>
      <protection locked="0"/>
    </xf>
    <xf numFmtId="0" fontId="3" fillId="0" borderId="8" xfId="44" applyFont="1" applyBorder="1" applyAlignment="1" applyProtection="1">
      <alignment vertical="center"/>
      <protection locked="0"/>
    </xf>
    <xf numFmtId="0" fontId="3" fillId="0" borderId="9" xfId="44" applyFont="1" applyBorder="1" applyAlignment="1" applyProtection="1">
      <alignment vertical="center"/>
      <protection locked="0"/>
    </xf>
    <xf numFmtId="0" fontId="3" fillId="0" borderId="21" xfId="44" applyFont="1" applyBorder="1" applyAlignment="1" applyProtection="1">
      <alignment horizontal="right" vertical="center"/>
      <protection locked="0"/>
    </xf>
    <xf numFmtId="0" fontId="3" fillId="0" borderId="11" xfId="44" applyFont="1" applyBorder="1" applyAlignment="1" applyProtection="1">
      <alignment vertical="center"/>
      <protection locked="0"/>
    </xf>
    <xf numFmtId="0" fontId="3" fillId="0" borderId="0" xfId="44" applyFont="1" applyAlignment="1" applyProtection="1">
      <alignment horizontal="justify" vertical="center" wrapText="1"/>
      <protection locked="0"/>
    </xf>
    <xf numFmtId="0" fontId="3" fillId="0" borderId="0" xfId="44" applyFont="1" applyAlignment="1" applyProtection="1">
      <alignment horizontal="justify" vertical="center"/>
      <protection locked="0"/>
    </xf>
    <xf numFmtId="182" fontId="19" fillId="0" borderId="12" xfId="44" applyNumberFormat="1" applyFont="1" applyBorder="1" applyAlignment="1" applyProtection="1">
      <alignment vertical="center"/>
      <protection locked="0"/>
    </xf>
    <xf numFmtId="0" fontId="18" fillId="5" borderId="5" xfId="37" applyFont="1" applyFill="1" applyBorder="1" applyAlignment="1" applyProtection="1">
      <alignment horizontal="center" vertical="center" wrapText="1"/>
      <protection locked="0"/>
    </xf>
    <xf numFmtId="0" fontId="20" fillId="2" borderId="8" xfId="44" applyFont="1" applyFill="1" applyBorder="1" applyAlignment="1" applyProtection="1">
      <alignment horizontal="left" vertical="center" wrapText="1"/>
      <protection locked="0"/>
    </xf>
    <xf numFmtId="0" fontId="3" fillId="2" borderId="21" xfId="44" applyFont="1" applyFill="1" applyBorder="1" applyAlignment="1" applyProtection="1">
      <alignment horizontal="justify" vertical="center" wrapText="1"/>
      <protection locked="0"/>
    </xf>
    <xf numFmtId="10" fontId="20" fillId="2" borderId="21" xfId="44" applyNumberFormat="1" applyFont="1" applyFill="1" applyBorder="1" applyAlignment="1" applyProtection="1">
      <alignment horizontal="left" vertical="center"/>
      <protection locked="0"/>
    </xf>
    <xf numFmtId="0" fontId="20" fillId="0" borderId="21" xfId="44" applyFont="1" applyBorder="1" applyAlignment="1" applyProtection="1">
      <alignment horizontal="left" vertical="center"/>
      <protection locked="0"/>
    </xf>
    <xf numFmtId="169" fontId="20" fillId="0" borderId="9" xfId="1" applyFont="1" applyBorder="1" applyAlignment="1" applyProtection="1">
      <alignment horizontal="left" vertical="center"/>
      <protection hidden="1"/>
    </xf>
    <xf numFmtId="10" fontId="20" fillId="0" borderId="21" xfId="44" applyNumberFormat="1" applyFont="1" applyBorder="1" applyAlignment="1" applyProtection="1">
      <alignment horizontal="left" vertical="center"/>
      <protection locked="0"/>
    </xf>
    <xf numFmtId="176" fontId="18" fillId="3" borderId="9" xfId="16" applyNumberFormat="1" applyFont="1" applyFill="1" applyBorder="1" applyAlignment="1" applyProtection="1">
      <alignment horizontal="center" vertical="center" wrapText="1"/>
      <protection hidden="1"/>
    </xf>
    <xf numFmtId="0" fontId="20" fillId="2" borderId="8" xfId="44" applyFont="1" applyFill="1" applyBorder="1" applyAlignment="1" applyProtection="1">
      <alignment horizontal="left" vertical="center"/>
      <protection locked="0"/>
    </xf>
    <xf numFmtId="176" fontId="18" fillId="3" borderId="11" xfId="16" applyNumberFormat="1" applyFont="1" applyFill="1" applyBorder="1" applyAlignment="1" applyProtection="1">
      <alignment horizontal="center" vertical="center" wrapText="1"/>
      <protection hidden="1"/>
    </xf>
    <xf numFmtId="0" fontId="2" fillId="0" borderId="22" xfId="0" applyFont="1" applyBorder="1" applyAlignment="1">
      <alignment horizontal="justify" vertical="top" wrapText="1"/>
    </xf>
    <xf numFmtId="169" fontId="3" fillId="0" borderId="31" xfId="1" applyFont="1" applyBorder="1" applyAlignment="1" applyProtection="1">
      <alignment horizontal="justify" vertical="center" wrapText="1"/>
      <protection locked="0"/>
    </xf>
    <xf numFmtId="0" fontId="2" fillId="0" borderId="0" xfId="0" applyFont="1"/>
    <xf numFmtId="0" fontId="10" fillId="0" borderId="0" xfId="3" applyFont="1" applyBorder="1" applyAlignment="1" applyProtection="1">
      <alignment horizontal="center" vertical="center"/>
      <protection locked="0"/>
    </xf>
    <xf numFmtId="0" fontId="10" fillId="0" borderId="0" xfId="3" applyFont="1" applyBorder="1" applyAlignment="1" applyProtection="1">
      <alignment horizontal="center" vertical="center"/>
    </xf>
    <xf numFmtId="0" fontId="2" fillId="0" borderId="0" xfId="0" applyFont="1" applyAlignment="1">
      <alignment horizontal="center" vertical="center"/>
    </xf>
    <xf numFmtId="0" fontId="9" fillId="0" borderId="0" xfId="0" applyFont="1" applyAlignment="1">
      <alignment horizontal="left"/>
    </xf>
    <xf numFmtId="0" fontId="9" fillId="3" borderId="21" xfId="0" applyFont="1" applyFill="1" applyBorder="1" applyAlignment="1">
      <alignment horizontal="center" vertical="center" wrapText="1" readingOrder="1"/>
    </xf>
    <xf numFmtId="0" fontId="9" fillId="3" borderId="21" xfId="0" applyFont="1" applyFill="1" applyBorder="1" applyAlignment="1">
      <alignment horizontal="justify" vertical="center" wrapText="1" readingOrder="1"/>
    </xf>
    <xf numFmtId="0" fontId="2" fillId="0" borderId="0" xfId="44" applyFont="1" applyAlignment="1" applyProtection="1">
      <alignment vertical="center"/>
      <protection locked="0"/>
    </xf>
    <xf numFmtId="0" fontId="9" fillId="5" borderId="46" xfId="37" applyFont="1" applyFill="1" applyBorder="1" applyAlignment="1">
      <alignment horizontal="center" vertical="center" wrapText="1"/>
    </xf>
    <xf numFmtId="0" fontId="9" fillId="5" borderId="59" xfId="37" applyFont="1" applyFill="1" applyBorder="1" applyAlignment="1">
      <alignment horizontal="center" vertical="center" wrapText="1"/>
    </xf>
    <xf numFmtId="0" fontId="9" fillId="5" borderId="60" xfId="37" applyFont="1" applyFill="1" applyBorder="1" applyAlignment="1">
      <alignment horizontal="center" vertical="center" wrapText="1"/>
    </xf>
    <xf numFmtId="0" fontId="2" fillId="0" borderId="8" xfId="37" applyFont="1" applyBorder="1"/>
    <xf numFmtId="180" fontId="2" fillId="0" borderId="21" xfId="15" applyNumberFormat="1" applyFont="1" applyBorder="1" applyAlignment="1" applyProtection="1">
      <alignment horizontal="center"/>
    </xf>
    <xf numFmtId="2" fontId="2" fillId="0" borderId="21" xfId="52" applyNumberFormat="1" applyFont="1" applyBorder="1" applyAlignment="1" applyProtection="1">
      <alignment horizontal="center"/>
    </xf>
    <xf numFmtId="180" fontId="2" fillId="0" borderId="9" xfId="15" applyNumberFormat="1" applyFont="1" applyBorder="1" applyAlignment="1" applyProtection="1">
      <alignment horizontal="center"/>
    </xf>
    <xf numFmtId="0" fontId="2" fillId="0" borderId="10" xfId="37" applyFont="1" applyBorder="1"/>
    <xf numFmtId="180" fontId="2" fillId="0" borderId="18" xfId="15" applyNumberFormat="1" applyFont="1" applyBorder="1" applyAlignment="1" applyProtection="1">
      <alignment horizontal="center"/>
    </xf>
    <xf numFmtId="2" fontId="2" fillId="0" borderId="18" xfId="52" applyNumberFormat="1" applyFont="1" applyBorder="1" applyAlignment="1" applyProtection="1">
      <alignment horizontal="center"/>
    </xf>
    <xf numFmtId="180" fontId="2" fillId="0" borderId="11" xfId="15" applyNumberFormat="1" applyFont="1" applyBorder="1" applyAlignment="1" applyProtection="1">
      <alignment horizontal="center"/>
    </xf>
    <xf numFmtId="0" fontId="19" fillId="5" borderId="0" xfId="45" applyFont="1" applyFill="1" applyAlignment="1" applyProtection="1">
      <alignment vertical="center"/>
      <protection locked="0"/>
    </xf>
    <xf numFmtId="0" fontId="3" fillId="0" borderId="0" xfId="32" applyFont="1" applyProtection="1">
      <protection locked="0"/>
    </xf>
    <xf numFmtId="0" fontId="19" fillId="17" borderId="16" xfId="32" applyFont="1" applyFill="1" applyBorder="1" applyAlignment="1">
      <alignment horizontal="center" vertical="center"/>
    </xf>
    <xf numFmtId="0" fontId="19" fillId="17" borderId="34" xfId="32" applyFont="1" applyFill="1" applyBorder="1" applyAlignment="1">
      <alignment horizontal="center" vertical="center" wrapText="1"/>
    </xf>
    <xf numFmtId="0" fontId="19" fillId="3" borderId="8" xfId="32" applyFont="1" applyFill="1" applyBorder="1"/>
    <xf numFmtId="0" fontId="19" fillId="3" borderId="21" xfId="32" applyFont="1" applyFill="1" applyBorder="1"/>
    <xf numFmtId="0" fontId="3" fillId="2" borderId="8" xfId="32" applyFont="1" applyFill="1" applyBorder="1"/>
    <xf numFmtId="10" fontId="3" fillId="2" borderId="21" xfId="32" applyNumberFormat="1" applyFont="1" applyFill="1" applyBorder="1"/>
    <xf numFmtId="10" fontId="3" fillId="2" borderId="21" xfId="57" applyNumberFormat="1" applyFont="1" applyFill="1" applyBorder="1" applyProtection="1"/>
    <xf numFmtId="0" fontId="19" fillId="0" borderId="10" xfId="32" applyFont="1" applyBorder="1"/>
    <xf numFmtId="10" fontId="19" fillId="17" borderId="18" xfId="57" applyNumberFormat="1" applyFont="1" applyFill="1" applyBorder="1" applyProtection="1"/>
    <xf numFmtId="0" fontId="3" fillId="0" borderId="0" xfId="32" applyFont="1"/>
    <xf numFmtId="10" fontId="3" fillId="0" borderId="0" xfId="57" applyNumberFormat="1" applyFont="1" applyBorder="1" applyProtection="1"/>
    <xf numFmtId="0" fontId="36" fillId="17" borderId="25" xfId="32" applyFont="1" applyFill="1" applyBorder="1"/>
    <xf numFmtId="0" fontId="36" fillId="17" borderId="42" xfId="32" applyFont="1" applyFill="1" applyBorder="1" applyAlignment="1">
      <alignment horizontal="center"/>
    </xf>
    <xf numFmtId="0" fontId="36" fillId="17" borderId="3" xfId="32" applyFont="1" applyFill="1" applyBorder="1" applyAlignment="1">
      <alignment horizontal="center"/>
    </xf>
    <xf numFmtId="0" fontId="4" fillId="0" borderId="32" xfId="37" applyBorder="1" applyProtection="1">
      <protection locked="0"/>
    </xf>
    <xf numFmtId="0" fontId="37" fillId="0" borderId="5" xfId="32" applyFont="1" applyBorder="1"/>
    <xf numFmtId="0" fontId="37" fillId="2" borderId="29" xfId="32" applyFont="1" applyFill="1" applyBorder="1" applyProtection="1">
      <protection locked="0"/>
    </xf>
    <xf numFmtId="10" fontId="4" fillId="0" borderId="21" xfId="57" applyNumberFormat="1" applyFont="1" applyBorder="1" applyProtection="1">
      <protection locked="0"/>
    </xf>
    <xf numFmtId="10" fontId="4" fillId="0" borderId="9" xfId="57" applyNumberFormat="1" applyFont="1" applyBorder="1" applyProtection="1">
      <protection locked="0"/>
    </xf>
    <xf numFmtId="0" fontId="37" fillId="2" borderId="30" xfId="32" applyFont="1" applyFill="1" applyBorder="1" applyProtection="1">
      <protection locked="0"/>
    </xf>
    <xf numFmtId="10" fontId="38" fillId="17" borderId="18" xfId="57" applyNumberFormat="1" applyFont="1" applyFill="1" applyBorder="1" applyProtection="1">
      <protection locked="0"/>
    </xf>
    <xf numFmtId="10" fontId="38" fillId="17" borderId="11" xfId="57" applyNumberFormat="1" applyFont="1" applyFill="1" applyBorder="1" applyProtection="1">
      <protection locked="0"/>
    </xf>
    <xf numFmtId="0" fontId="2" fillId="3" borderId="23" xfId="47" applyFill="1" applyBorder="1" applyAlignment="1" applyProtection="1">
      <alignment horizontal="justify" vertical="center" wrapText="1"/>
      <protection locked="0"/>
    </xf>
    <xf numFmtId="0" fontId="9" fillId="11" borderId="20" xfId="47" applyFont="1" applyFill="1" applyBorder="1" applyAlignment="1" applyProtection="1">
      <alignment horizontal="center" vertical="center" wrapText="1"/>
      <protection locked="0"/>
    </xf>
    <xf numFmtId="0" fontId="9" fillId="11" borderId="9" xfId="47" applyFont="1" applyFill="1" applyBorder="1" applyAlignment="1" applyProtection="1">
      <alignment horizontal="center" vertical="center" wrapText="1"/>
      <protection locked="0"/>
    </xf>
    <xf numFmtId="0" fontId="7" fillId="0" borderId="25" xfId="47" applyFont="1" applyBorder="1" applyAlignment="1" applyProtection="1">
      <alignment horizontal="justify" vertical="center" wrapText="1"/>
      <protection locked="0"/>
    </xf>
    <xf numFmtId="0" fontId="9" fillId="11" borderId="13" xfId="47" applyFont="1" applyFill="1" applyBorder="1" applyAlignment="1" applyProtection="1">
      <alignment horizontal="center" vertical="center" wrapText="1"/>
      <protection locked="0"/>
    </xf>
    <xf numFmtId="0" fontId="6" fillId="0" borderId="0" xfId="47" applyFont="1" applyAlignment="1" applyProtection="1">
      <alignment horizontal="center" vertical="center" wrapText="1"/>
      <protection locked="0"/>
    </xf>
    <xf numFmtId="175" fontId="6" fillId="11" borderId="8" xfId="47" applyNumberFormat="1" applyFont="1" applyFill="1" applyBorder="1" applyAlignment="1" applyProtection="1">
      <alignment horizontal="center" vertical="center" wrapText="1"/>
      <protection locked="0"/>
    </xf>
    <xf numFmtId="0" fontId="6" fillId="11" borderId="21" xfId="47" applyFont="1" applyFill="1" applyBorder="1" applyAlignment="1" applyProtection="1">
      <alignment horizontal="center" vertical="center" wrapText="1"/>
      <protection locked="0"/>
    </xf>
    <xf numFmtId="176" fontId="2" fillId="0" borderId="0" xfId="47" applyNumberFormat="1" applyAlignment="1" applyProtection="1">
      <alignment horizontal="center" vertical="center"/>
      <protection locked="0"/>
    </xf>
    <xf numFmtId="176" fontId="2" fillId="0" borderId="10" xfId="47" applyNumberFormat="1" applyBorder="1" applyAlignment="1" applyProtection="1">
      <alignment horizontal="center" vertical="center"/>
      <protection locked="0"/>
    </xf>
    <xf numFmtId="176" fontId="2" fillId="0" borderId="18" xfId="47" applyNumberFormat="1" applyBorder="1" applyAlignment="1" applyProtection="1">
      <alignment horizontal="center" vertical="center"/>
      <protection locked="0"/>
    </xf>
    <xf numFmtId="0" fontId="9" fillId="3" borderId="6" xfId="47" applyFont="1" applyFill="1" applyBorder="1" applyAlignment="1" applyProtection="1">
      <alignment horizontal="right" vertical="center"/>
      <protection locked="0"/>
    </xf>
    <xf numFmtId="0" fontId="9" fillId="0" borderId="27" xfId="38" applyFont="1" applyBorder="1" applyAlignment="1" applyProtection="1">
      <alignment horizontal="center" vertical="center" wrapText="1"/>
      <protection locked="0"/>
    </xf>
    <xf numFmtId="0" fontId="9" fillId="0" borderId="0" xfId="38" applyFont="1" applyAlignment="1" applyProtection="1">
      <alignment horizontal="center" vertical="center" wrapText="1"/>
      <protection locked="0"/>
    </xf>
    <xf numFmtId="0" fontId="2" fillId="0" borderId="0" xfId="38" applyAlignment="1" applyProtection="1">
      <alignment horizontal="center" vertical="center" wrapText="1"/>
      <protection locked="0"/>
    </xf>
    <xf numFmtId="3" fontId="2" fillId="0" borderId="0" xfId="38" applyNumberFormat="1" applyAlignment="1" applyProtection="1">
      <alignment horizontal="center" vertical="center" wrapText="1"/>
      <protection locked="0"/>
    </xf>
    <xf numFmtId="174" fontId="5" fillId="2" borderId="1" xfId="0" applyNumberFormat="1" applyFont="1" applyFill="1" applyBorder="1" applyAlignment="1" applyProtection="1">
      <alignment horizontal="left" vertical="center" wrapText="1"/>
      <protection locked="0"/>
    </xf>
    <xf numFmtId="0" fontId="2" fillId="3" borderId="12" xfId="0" applyFont="1" applyFill="1" applyBorder="1" applyAlignment="1" applyProtection="1">
      <alignment horizontal="justify" vertical="center" wrapText="1"/>
      <protection locked="0"/>
    </xf>
    <xf numFmtId="0" fontId="9" fillId="4" borderId="13" xfId="0" applyFont="1" applyFill="1" applyBorder="1" applyAlignment="1" applyProtection="1">
      <alignment horizontal="center" vertical="center"/>
      <protection locked="0"/>
    </xf>
    <xf numFmtId="0" fontId="9" fillId="4" borderId="14" xfId="0" applyFont="1" applyFill="1" applyBorder="1" applyAlignment="1" applyProtection="1">
      <alignment horizontal="center" vertical="center"/>
      <protection locked="0"/>
    </xf>
    <xf numFmtId="0" fontId="9" fillId="4" borderId="15" xfId="0" applyFont="1" applyFill="1" applyBorder="1" applyAlignment="1" applyProtection="1">
      <alignment horizontal="center" vertical="center"/>
      <protection locked="0"/>
    </xf>
    <xf numFmtId="0" fontId="10" fillId="0" borderId="8" xfId="3" applyFont="1" applyBorder="1" applyAlignment="1" applyProtection="1">
      <alignment horizontal="justify" vertical="center"/>
      <protection locked="0"/>
    </xf>
    <xf numFmtId="0" fontId="2" fillId="0" borderId="9" xfId="0" applyFont="1" applyBorder="1" applyAlignment="1" applyProtection="1">
      <alignment horizontal="justify" vertical="center" wrapText="1"/>
      <protection locked="0"/>
    </xf>
    <xf numFmtId="0" fontId="10" fillId="0" borderId="8" xfId="3" applyFont="1" applyBorder="1" applyAlignment="1" applyProtection="1">
      <alignment horizontal="justify" vertical="center" wrapText="1"/>
      <protection locked="0"/>
    </xf>
    <xf numFmtId="0" fontId="10" fillId="0" borderId="10" xfId="3" applyFont="1" applyBorder="1" applyAlignment="1" applyProtection="1">
      <alignment horizontal="justify" vertical="center" wrapText="1"/>
      <protection locked="0"/>
    </xf>
    <xf numFmtId="0" fontId="2" fillId="0" borderId="11" xfId="0" applyFont="1" applyBorder="1" applyAlignment="1" applyProtection="1">
      <alignment horizontal="justify" vertical="center" wrapText="1"/>
      <protection locked="0"/>
    </xf>
    <xf numFmtId="0" fontId="9" fillId="8" borderId="16" xfId="0" applyFont="1" applyFill="1" applyBorder="1" applyAlignment="1" applyProtection="1">
      <alignment horizontal="center" vertical="center"/>
      <protection locked="0"/>
    </xf>
    <xf numFmtId="0" fontId="9" fillId="8" borderId="17"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18" xfId="0" applyFont="1" applyFill="1" applyBorder="1" applyAlignment="1" applyProtection="1">
      <alignment horizontal="center" vertical="center"/>
      <protection locked="0"/>
    </xf>
    <xf numFmtId="0" fontId="9" fillId="9" borderId="19" xfId="0" applyFont="1" applyFill="1" applyBorder="1" applyAlignment="1" applyProtection="1">
      <alignment horizontal="left" vertical="center"/>
      <protection locked="0"/>
    </xf>
    <xf numFmtId="0" fontId="2" fillId="3" borderId="20" xfId="0" applyFont="1" applyFill="1" applyBorder="1" applyAlignment="1" applyProtection="1">
      <alignment horizontal="justify" vertical="center" wrapText="1"/>
      <protection locked="0"/>
    </xf>
    <xf numFmtId="0" fontId="10" fillId="0" borderId="8" xfId="3" applyFont="1" applyBorder="1" applyAlignment="1" applyProtection="1">
      <alignment horizontal="left" vertical="center" wrapText="1"/>
      <protection locked="0"/>
    </xf>
    <xf numFmtId="0" fontId="2" fillId="0" borderId="21" xfId="0" applyFont="1" applyBorder="1" applyAlignment="1" applyProtection="1">
      <alignment horizontal="justify" vertical="center" wrapText="1"/>
      <protection locked="0"/>
    </xf>
    <xf numFmtId="0" fontId="10" fillId="0" borderId="21" xfId="3" applyFont="1" applyBorder="1" applyAlignment="1" applyProtection="1">
      <alignment horizontal="justify" vertical="center" wrapText="1"/>
      <protection locked="0"/>
    </xf>
    <xf numFmtId="0" fontId="2" fillId="0" borderId="15" xfId="0" applyFont="1" applyBorder="1" applyAlignment="1" applyProtection="1">
      <alignment vertical="center" wrapText="1"/>
      <protection locked="0"/>
    </xf>
    <xf numFmtId="0" fontId="9" fillId="9" borderId="20" xfId="0" applyFont="1" applyFill="1" applyBorder="1" applyAlignment="1" applyProtection="1">
      <alignment horizontal="left" vertical="center"/>
      <protection locked="0"/>
    </xf>
    <xf numFmtId="0" fontId="10" fillId="0" borderId="10" xfId="3" applyFont="1" applyBorder="1" applyAlignment="1" applyProtection="1">
      <alignment horizontal="left" vertical="center" wrapText="1"/>
      <protection locked="0"/>
    </xf>
    <xf numFmtId="0" fontId="2" fillId="0" borderId="18" xfId="0" applyFont="1" applyBorder="1" applyAlignment="1" applyProtection="1">
      <alignment horizontal="justify" vertical="center" wrapText="1"/>
      <protection locked="0"/>
    </xf>
    <xf numFmtId="0" fontId="9" fillId="10" borderId="13" xfId="0" applyFont="1" applyFill="1" applyBorder="1" applyAlignment="1" applyProtection="1">
      <alignment horizontal="center" vertical="center"/>
      <protection locked="0"/>
    </xf>
    <xf numFmtId="0" fontId="9" fillId="10" borderId="10" xfId="0" applyFont="1" applyFill="1" applyBorder="1" applyAlignment="1" applyProtection="1">
      <alignment horizontal="center" vertical="center"/>
      <protection locked="0"/>
    </xf>
    <xf numFmtId="0" fontId="9" fillId="10" borderId="11" xfId="0" applyFont="1" applyFill="1" applyBorder="1" applyAlignment="1" applyProtection="1">
      <alignment horizontal="center" vertical="center"/>
      <protection locked="0"/>
    </xf>
    <xf numFmtId="0" fontId="10" fillId="0" borderId="4" xfId="3" applyFont="1" applyBorder="1" applyAlignment="1" applyProtection="1">
      <alignment horizontal="left" vertical="center" wrapText="1"/>
      <protection locked="0"/>
    </xf>
    <xf numFmtId="0" fontId="2" fillId="0" borderId="5" xfId="0" applyFont="1" applyBorder="1" applyAlignment="1" applyProtection="1">
      <alignment horizontal="justify" vertical="center" wrapText="1"/>
      <protection locked="0"/>
    </xf>
    <xf numFmtId="0" fontId="12" fillId="3" borderId="12" xfId="0" applyFont="1" applyFill="1" applyBorder="1" applyAlignment="1" applyProtection="1">
      <alignment horizontal="justify" vertical="center" wrapText="1"/>
      <protection locked="0"/>
    </xf>
    <xf numFmtId="0" fontId="9" fillId="11" borderId="22" xfId="29" applyFont="1" applyFill="1" applyBorder="1" applyAlignment="1">
      <alignment horizontal="left" vertical="center" wrapText="1"/>
    </xf>
    <xf numFmtId="0" fontId="9" fillId="11" borderId="0" xfId="47" applyFont="1" applyFill="1" applyAlignment="1">
      <alignment horizontal="left" vertical="center"/>
    </xf>
    <xf numFmtId="0" fontId="2" fillId="0" borderId="12" xfId="47" applyBorder="1" applyAlignment="1" applyProtection="1">
      <alignment horizontal="left" vertical="center" wrapText="1"/>
      <protection locked="0"/>
    </xf>
    <xf numFmtId="0" fontId="9" fillId="11" borderId="0" xfId="47" applyFont="1" applyFill="1" applyAlignment="1">
      <alignment horizontal="left" vertical="center" wrapText="1"/>
    </xf>
    <xf numFmtId="0" fontId="2" fillId="0" borderId="12" xfId="47" applyBorder="1" applyAlignment="1" applyProtection="1">
      <alignment horizontal="left" vertical="center"/>
      <protection locked="0"/>
    </xf>
    <xf numFmtId="0" fontId="9" fillId="11" borderId="23" xfId="47" applyFont="1" applyFill="1" applyBorder="1" applyAlignment="1">
      <alignment horizontal="center" vertical="center"/>
    </xf>
    <xf numFmtId="0" fontId="9" fillId="11" borderId="8" xfId="47" applyFont="1" applyFill="1" applyBorder="1" applyAlignment="1">
      <alignment horizontal="center" vertical="center"/>
    </xf>
    <xf numFmtId="0" fontId="9" fillId="11" borderId="21" xfId="47" applyFont="1" applyFill="1" applyBorder="1" applyAlignment="1">
      <alignment horizontal="center" vertical="center"/>
    </xf>
    <xf numFmtId="0" fontId="9" fillId="11" borderId="21" xfId="47" applyFont="1" applyFill="1" applyBorder="1" applyAlignment="1">
      <alignment horizontal="center" vertical="center" wrapText="1"/>
    </xf>
    <xf numFmtId="175" fontId="9" fillId="5" borderId="21" xfId="47" applyNumberFormat="1" applyFont="1" applyFill="1" applyBorder="1" applyAlignment="1">
      <alignment horizontal="center" vertical="center" wrapText="1"/>
    </xf>
    <xf numFmtId="0" fontId="9" fillId="11" borderId="9" xfId="47" applyFont="1" applyFill="1" applyBorder="1" applyAlignment="1">
      <alignment horizontal="center" vertical="center"/>
    </xf>
    <xf numFmtId="0" fontId="9" fillId="5" borderId="8" xfId="47" applyFont="1" applyFill="1" applyBorder="1" applyAlignment="1">
      <alignment horizontal="right" vertical="center" wrapText="1"/>
    </xf>
    <xf numFmtId="0" fontId="9" fillId="3" borderId="10" xfId="47" applyFont="1" applyFill="1" applyBorder="1" applyAlignment="1">
      <alignment horizontal="right" vertical="center" wrapText="1"/>
    </xf>
    <xf numFmtId="0" fontId="2" fillId="3" borderId="12" xfId="47" applyFill="1" applyBorder="1" applyAlignment="1">
      <alignment horizontal="left" vertical="center"/>
    </xf>
    <xf numFmtId="0" fontId="2" fillId="3" borderId="12" xfId="47" applyFill="1" applyBorder="1" applyAlignment="1">
      <alignment horizontal="center" vertical="center"/>
    </xf>
    <xf numFmtId="0" fontId="9" fillId="11" borderId="13" xfId="47" applyFont="1" applyFill="1" applyBorder="1" applyAlignment="1">
      <alignment horizontal="center" vertical="center" wrapText="1"/>
    </xf>
    <xf numFmtId="0" fontId="9" fillId="11" borderId="8" xfId="47" applyFont="1" applyFill="1" applyBorder="1" applyAlignment="1">
      <alignment horizontal="center" vertical="center" wrapText="1"/>
    </xf>
    <xf numFmtId="0" fontId="9" fillId="11" borderId="9" xfId="47" applyFont="1" applyFill="1" applyBorder="1" applyAlignment="1">
      <alignment horizontal="center" vertical="center" wrapText="1"/>
    </xf>
    <xf numFmtId="0" fontId="2" fillId="3" borderId="8" xfId="47" applyFill="1" applyBorder="1" applyAlignment="1">
      <alignment horizontal="right" vertical="center"/>
    </xf>
    <xf numFmtId="0" fontId="7" fillId="0" borderId="25" xfId="47" applyFont="1" applyBorder="1" applyAlignment="1">
      <alignment horizontal="justify" vertical="center" wrapText="1"/>
    </xf>
    <xf numFmtId="0" fontId="9" fillId="4" borderId="8" xfId="47" applyFont="1" applyFill="1" applyBorder="1" applyAlignment="1">
      <alignment horizontal="right" vertical="center" wrapText="1"/>
    </xf>
    <xf numFmtId="0" fontId="2" fillId="4" borderId="8" xfId="47" applyFill="1" applyBorder="1" applyAlignment="1">
      <alignment horizontal="right" vertical="center"/>
    </xf>
    <xf numFmtId="0" fontId="2" fillId="4" borderId="10" xfId="47" applyFill="1" applyBorder="1" applyAlignment="1">
      <alignment horizontal="right" vertical="center" wrapText="1"/>
    </xf>
    <xf numFmtId="0" fontId="6" fillId="11" borderId="8" xfId="47" applyFont="1" applyFill="1" applyBorder="1" applyAlignment="1">
      <alignment horizontal="center" vertical="center" wrapText="1"/>
    </xf>
    <xf numFmtId="175" fontId="6" fillId="11" borderId="21" xfId="47" applyNumberFormat="1" applyFont="1" applyFill="1" applyBorder="1" applyAlignment="1">
      <alignment horizontal="center" vertical="center" wrapText="1"/>
    </xf>
    <xf numFmtId="0" fontId="6" fillId="11" borderId="21" xfId="47" applyFont="1" applyFill="1" applyBorder="1" applyAlignment="1">
      <alignment horizontal="center" vertical="center" wrapText="1"/>
    </xf>
    <xf numFmtId="176" fontId="2" fillId="0" borderId="8" xfId="47" applyNumberFormat="1" applyBorder="1" applyAlignment="1">
      <alignment horizontal="center" vertical="center"/>
    </xf>
    <xf numFmtId="176" fontId="2" fillId="0" borderId="21" xfId="47" applyNumberFormat="1" applyBorder="1" applyAlignment="1" applyProtection="1">
      <alignment horizontal="center" vertical="center"/>
      <protection locked="0"/>
    </xf>
    <xf numFmtId="176" fontId="2" fillId="0" borderId="21" xfId="47" applyNumberFormat="1" applyBorder="1" applyAlignment="1">
      <alignment horizontal="center" vertical="center"/>
    </xf>
    <xf numFmtId="0" fontId="9" fillId="3" borderId="10" xfId="47" applyFont="1" applyFill="1" applyBorder="1" applyAlignment="1">
      <alignment horizontal="right" vertical="center"/>
    </xf>
    <xf numFmtId="0" fontId="2" fillId="0" borderId="27" xfId="38" applyBorder="1" applyAlignment="1" applyProtection="1">
      <alignment horizontal="center" vertical="center" wrapText="1"/>
      <protection locked="0"/>
    </xf>
    <xf numFmtId="0" fontId="9" fillId="0" borderId="0" xfId="38" applyFont="1" applyAlignment="1">
      <alignment horizontal="center" vertical="center" wrapText="1"/>
    </xf>
    <xf numFmtId="0" fontId="2" fillId="0" borderId="0" xfId="38" applyAlignment="1">
      <alignment horizontal="center" vertical="center" wrapText="1"/>
    </xf>
    <xf numFmtId="3" fontId="2" fillId="0" borderId="0" xfId="38" applyNumberFormat="1" applyAlignment="1">
      <alignment horizontal="center" vertical="center" wrapText="1"/>
    </xf>
    <xf numFmtId="0" fontId="2" fillId="0" borderId="0" xfId="37" applyFont="1" applyAlignment="1" applyProtection="1">
      <alignment horizontal="center" vertical="center"/>
      <protection locked="0"/>
    </xf>
    <xf numFmtId="0" fontId="9" fillId="11" borderId="0" xfId="29" applyFont="1" applyFill="1" applyAlignment="1">
      <alignment horizontal="left" vertical="center" wrapText="1"/>
    </xf>
    <xf numFmtId="0" fontId="2" fillId="5" borderId="12" xfId="29" applyFill="1" applyBorder="1" applyAlignment="1" applyProtection="1">
      <alignment horizontal="left" vertical="center" wrapText="1"/>
      <protection hidden="1"/>
    </xf>
    <xf numFmtId="0" fontId="18" fillId="11" borderId="13" xfId="37" applyFont="1" applyFill="1" applyBorder="1" applyAlignment="1">
      <alignment horizontal="center" vertical="center"/>
    </xf>
    <xf numFmtId="0" fontId="9" fillId="11" borderId="13" xfId="37" applyFont="1" applyFill="1" applyBorder="1" applyAlignment="1">
      <alignment horizontal="center" vertical="center" wrapText="1"/>
    </xf>
    <xf numFmtId="0" fontId="18" fillId="3" borderId="20" xfId="37" applyFont="1" applyFill="1" applyBorder="1" applyAlignment="1">
      <alignment horizontal="left" vertical="center"/>
    </xf>
    <xf numFmtId="0" fontId="18" fillId="11" borderId="29" xfId="37" applyFont="1" applyFill="1" applyBorder="1" applyAlignment="1">
      <alignment horizontal="right" vertical="center"/>
    </xf>
    <xf numFmtId="0" fontId="18" fillId="11" borderId="30" xfId="37" applyFont="1" applyFill="1" applyBorder="1" applyAlignment="1">
      <alignment horizontal="right" vertical="center"/>
    </xf>
    <xf numFmtId="0" fontId="18" fillId="11" borderId="8" xfId="37" applyFont="1" applyFill="1" applyBorder="1" applyAlignment="1">
      <alignment horizontal="center" vertical="center" wrapText="1"/>
    </xf>
    <xf numFmtId="0" fontId="20" fillId="0" borderId="8" xfId="37" applyFont="1" applyBorder="1" applyAlignment="1" applyProtection="1">
      <alignment horizontal="left" vertical="center" wrapText="1"/>
      <protection locked="0"/>
    </xf>
    <xf numFmtId="0" fontId="18" fillId="3" borderId="4" xfId="37" applyFont="1" applyFill="1" applyBorder="1" applyAlignment="1">
      <alignment horizontal="right" vertical="center" wrapText="1"/>
    </xf>
    <xf numFmtId="0" fontId="18" fillId="3" borderId="8" xfId="37" applyFont="1" applyFill="1" applyBorder="1" applyAlignment="1">
      <alignment horizontal="right" vertical="center" wrapText="1"/>
    </xf>
    <xf numFmtId="0" fontId="18" fillId="11" borderId="14" xfId="37" applyFont="1" applyFill="1" applyBorder="1" applyAlignment="1">
      <alignment horizontal="right" vertical="center"/>
    </xf>
    <xf numFmtId="0" fontId="18" fillId="11" borderId="12" xfId="37" applyFont="1" applyFill="1" applyBorder="1" applyAlignment="1">
      <alignment horizontal="center" vertical="center"/>
    </xf>
    <xf numFmtId="0" fontId="18" fillId="3" borderId="4" xfId="37" applyFont="1" applyFill="1" applyBorder="1" applyAlignment="1">
      <alignment horizontal="center" vertical="center" wrapText="1"/>
    </xf>
    <xf numFmtId="0" fontId="20" fillId="5" borderId="8" xfId="37" applyFont="1" applyFill="1" applyBorder="1" applyAlignment="1">
      <alignment horizontal="left" vertical="center" wrapText="1"/>
    </xf>
    <xf numFmtId="0" fontId="20" fillId="5" borderId="8" xfId="37" applyFont="1" applyFill="1" applyBorder="1" applyAlignment="1">
      <alignment horizontal="left" vertical="center"/>
    </xf>
    <xf numFmtId="0" fontId="20" fillId="5" borderId="10" xfId="37" applyFont="1" applyFill="1" applyBorder="1" applyAlignment="1">
      <alignment horizontal="left" vertical="center"/>
    </xf>
    <xf numFmtId="0" fontId="18" fillId="11" borderId="22" xfId="37" applyFont="1" applyFill="1" applyBorder="1" applyAlignment="1">
      <alignment horizontal="center" vertical="center"/>
    </xf>
    <xf numFmtId="0" fontId="2" fillId="5" borderId="33" xfId="29" applyFill="1" applyBorder="1" applyAlignment="1" applyProtection="1">
      <alignment horizontal="left" vertical="center" wrapText="1"/>
      <protection hidden="1"/>
    </xf>
    <xf numFmtId="0" fontId="18" fillId="3" borderId="8" xfId="37" applyFont="1" applyFill="1" applyBorder="1" applyAlignment="1" applyProtection="1">
      <alignment horizontal="right" vertical="center"/>
      <protection locked="0"/>
    </xf>
    <xf numFmtId="0" fontId="18" fillId="11" borderId="10" xfId="37" applyFont="1" applyFill="1" applyBorder="1" applyAlignment="1" applyProtection="1">
      <alignment horizontal="right" vertical="center"/>
      <protection locked="0"/>
    </xf>
    <xf numFmtId="0" fontId="9" fillId="11" borderId="0" xfId="29" applyFont="1" applyFill="1" applyAlignment="1" applyProtection="1">
      <alignment horizontal="left" vertical="center" wrapText="1"/>
      <protection locked="0"/>
    </xf>
    <xf numFmtId="0" fontId="18" fillId="11" borderId="16" xfId="37" applyFont="1" applyFill="1" applyBorder="1" applyAlignment="1" applyProtection="1">
      <alignment horizontal="left" vertical="center"/>
      <protection locked="0"/>
    </xf>
    <xf numFmtId="0" fontId="9" fillId="11" borderId="17" xfId="0" applyFont="1" applyFill="1" applyBorder="1" applyAlignment="1" applyProtection="1">
      <alignment horizontal="center" vertical="center"/>
      <protection locked="0"/>
    </xf>
    <xf numFmtId="0" fontId="9" fillId="11" borderId="13" xfId="37" applyFont="1" applyFill="1" applyBorder="1" applyAlignment="1" applyProtection="1">
      <alignment horizontal="center" vertical="center" wrapText="1"/>
      <protection locked="0"/>
    </xf>
    <xf numFmtId="0" fontId="19" fillId="11" borderId="8" xfId="37" applyFont="1" applyFill="1" applyBorder="1" applyAlignment="1" applyProtection="1">
      <alignment horizontal="center" vertical="center" wrapText="1"/>
      <protection locked="0"/>
    </xf>
    <xf numFmtId="0" fontId="19" fillId="11" borderId="21" xfId="37" applyFont="1" applyFill="1" applyBorder="1" applyAlignment="1" applyProtection="1">
      <alignment horizontal="center" vertical="center" wrapText="1"/>
      <protection locked="0"/>
    </xf>
    <xf numFmtId="0" fontId="19" fillId="5" borderId="21" xfId="37" applyFont="1" applyFill="1" applyBorder="1" applyAlignment="1" applyProtection="1">
      <alignment horizontal="center" vertical="center" wrapText="1"/>
      <protection locked="0"/>
    </xf>
    <xf numFmtId="0" fontId="9" fillId="11" borderId="21" xfId="0" applyFont="1" applyFill="1" applyBorder="1" applyAlignment="1" applyProtection="1">
      <alignment horizontal="center" vertical="center"/>
      <protection locked="0"/>
    </xf>
    <xf numFmtId="0" fontId="9" fillId="11" borderId="9" xfId="0" applyFont="1" applyFill="1" applyBorder="1" applyAlignment="1" applyProtection="1">
      <alignment horizontal="center" vertical="center"/>
      <protection locked="0"/>
    </xf>
    <xf numFmtId="0" fontId="18" fillId="3" borderId="20" xfId="37" applyFont="1" applyFill="1" applyBorder="1" applyAlignment="1" applyProtection="1">
      <alignment horizontal="left" vertical="center"/>
      <protection locked="0"/>
    </xf>
    <xf numFmtId="0" fontId="18" fillId="11" borderId="8" xfId="37" applyFont="1" applyFill="1" applyBorder="1" applyAlignment="1" applyProtection="1">
      <alignment horizontal="right" vertical="center"/>
      <protection locked="0"/>
    </xf>
    <xf numFmtId="0" fontId="18" fillId="11" borderId="37" xfId="37" applyFont="1" applyFill="1" applyBorder="1" applyAlignment="1" applyProtection="1">
      <alignment horizontal="left" vertical="center"/>
      <protection locked="0"/>
    </xf>
    <xf numFmtId="180" fontId="9" fillId="11" borderId="17" xfId="0" applyNumberFormat="1" applyFont="1" applyFill="1" applyBorder="1" applyAlignment="1" applyProtection="1">
      <alignment horizontal="center" vertical="center"/>
      <protection locked="0"/>
    </xf>
    <xf numFmtId="0" fontId="18" fillId="11" borderId="8" xfId="37" applyFont="1" applyFill="1" applyBorder="1" applyAlignment="1" applyProtection="1">
      <alignment horizontal="center" vertical="center" wrapText="1"/>
      <protection locked="0"/>
    </xf>
    <xf numFmtId="0" fontId="18" fillId="11" borderId="21" xfId="37" applyFont="1" applyFill="1" applyBorder="1" applyAlignment="1" applyProtection="1">
      <alignment horizontal="center" vertical="center" wrapText="1"/>
      <protection locked="0"/>
    </xf>
    <xf numFmtId="0" fontId="18" fillId="11" borderId="24" xfId="37" applyFont="1" applyFill="1" applyBorder="1" applyAlignment="1" applyProtection="1">
      <alignment horizontal="center" vertical="center" wrapText="1"/>
      <protection locked="0"/>
    </xf>
    <xf numFmtId="0" fontId="19" fillId="5" borderId="21" xfId="37" applyFont="1" applyFill="1" applyBorder="1" applyAlignment="1">
      <alignment horizontal="center" vertical="center" wrapText="1"/>
    </xf>
    <xf numFmtId="180" fontId="9" fillId="11" borderId="21" xfId="0" applyNumberFormat="1" applyFont="1" applyFill="1" applyBorder="1" applyAlignment="1" applyProtection="1">
      <alignment horizontal="center" vertical="center"/>
      <protection locked="0"/>
    </xf>
    <xf numFmtId="180" fontId="9" fillId="11" borderId="9" xfId="0" applyNumberFormat="1" applyFont="1" applyFill="1" applyBorder="1" applyAlignment="1" applyProtection="1">
      <alignment horizontal="center" vertical="center"/>
      <protection locked="0"/>
    </xf>
    <xf numFmtId="0" fontId="18" fillId="11" borderId="30" xfId="37" applyFont="1" applyFill="1" applyBorder="1" applyAlignment="1" applyProtection="1">
      <alignment horizontal="right" vertical="center"/>
      <protection locked="0"/>
    </xf>
    <xf numFmtId="180" fontId="9" fillId="11" borderId="13" xfId="0" applyNumberFormat="1" applyFont="1" applyFill="1" applyBorder="1" applyAlignment="1" applyProtection="1">
      <alignment horizontal="center" vertical="center"/>
      <protection locked="0"/>
    </xf>
    <xf numFmtId="180" fontId="9" fillId="11" borderId="8" xfId="0" applyNumberFormat="1" applyFont="1" applyFill="1" applyBorder="1" applyAlignment="1" applyProtection="1">
      <alignment horizontal="center" vertical="center"/>
      <protection locked="0"/>
    </xf>
    <xf numFmtId="176" fontId="18" fillId="0" borderId="0" xfId="15" applyNumberFormat="1" applyFont="1" applyBorder="1" applyAlignment="1" applyProtection="1">
      <alignment horizontal="right" vertical="center"/>
    </xf>
    <xf numFmtId="0" fontId="18" fillId="11" borderId="16" xfId="37" applyFont="1" applyFill="1" applyBorder="1" applyAlignment="1">
      <alignment horizontal="right" vertical="center" wrapText="1"/>
    </xf>
    <xf numFmtId="0" fontId="18" fillId="11" borderId="8" xfId="37" applyFont="1" applyFill="1" applyBorder="1" applyAlignment="1">
      <alignment horizontal="right" vertical="center" wrapText="1"/>
    </xf>
    <xf numFmtId="0" fontId="18" fillId="11" borderId="10" xfId="37" applyFont="1" applyFill="1" applyBorder="1" applyAlignment="1">
      <alignment horizontal="right" vertical="center" wrapText="1"/>
    </xf>
    <xf numFmtId="180" fontId="2" fillId="3" borderId="4" xfId="37" applyNumberFormat="1" applyFont="1" applyFill="1" applyBorder="1" applyAlignment="1" applyProtection="1">
      <alignment horizontal="center" vertical="center"/>
      <protection locked="0"/>
    </xf>
    <xf numFmtId="180" fontId="2" fillId="3" borderId="5" xfId="37" applyNumberFormat="1" applyFont="1" applyFill="1" applyBorder="1" applyAlignment="1" applyProtection="1">
      <alignment horizontal="center" vertical="center"/>
      <protection locked="0"/>
    </xf>
    <xf numFmtId="9" fontId="2" fillId="0" borderId="10" xfId="2" applyFont="1" applyBorder="1" applyAlignment="1" applyProtection="1">
      <alignment horizontal="right" vertical="center"/>
      <protection locked="0"/>
    </xf>
    <xf numFmtId="9" fontId="2" fillId="0" borderId="11" xfId="2" applyFont="1" applyBorder="1" applyAlignment="1" applyProtection="1">
      <alignment horizontal="right" vertical="center"/>
      <protection locked="0"/>
    </xf>
    <xf numFmtId="0" fontId="18" fillId="11" borderId="12" xfId="37" applyFont="1" applyFill="1" applyBorder="1" applyAlignment="1" applyProtection="1">
      <alignment horizontal="center" vertical="center"/>
      <protection locked="0"/>
    </xf>
    <xf numFmtId="0" fontId="18" fillId="3" borderId="8" xfId="37" applyFont="1" applyFill="1" applyBorder="1" applyAlignment="1" applyProtection="1">
      <alignment horizontal="center" vertical="center" wrapText="1"/>
      <protection locked="0"/>
    </xf>
    <xf numFmtId="0" fontId="2" fillId="3" borderId="12" xfId="37" applyFont="1" applyFill="1" applyBorder="1" applyAlignment="1" applyProtection="1">
      <alignment horizontal="left" vertical="center" wrapText="1"/>
      <protection locked="0"/>
    </xf>
    <xf numFmtId="0" fontId="23" fillId="3" borderId="12" xfId="3" applyFont="1" applyFill="1" applyBorder="1" applyAlignment="1" applyProtection="1">
      <alignment horizontal="center" vertical="center"/>
      <protection locked="0"/>
    </xf>
    <xf numFmtId="0" fontId="2" fillId="5" borderId="12" xfId="29" applyFill="1" applyBorder="1" applyAlignment="1" applyProtection="1">
      <alignment horizontal="justify" vertical="center" wrapText="1"/>
      <protection hidden="1"/>
    </xf>
    <xf numFmtId="0" fontId="2" fillId="0" borderId="12" xfId="29" applyBorder="1" applyAlignment="1" applyProtection="1">
      <alignment horizontal="justify" vertical="center" wrapText="1"/>
      <protection locked="0"/>
    </xf>
    <xf numFmtId="0" fontId="9" fillId="11" borderId="16" xfId="29" applyFont="1" applyFill="1" applyBorder="1" applyAlignment="1" applyProtection="1">
      <alignment horizontal="right" vertical="center" wrapText="1"/>
      <protection locked="0"/>
    </xf>
    <xf numFmtId="0" fontId="9" fillId="11" borderId="8" xfId="29" applyFont="1" applyFill="1" applyBorder="1" applyAlignment="1" applyProtection="1">
      <alignment horizontal="right" vertical="center" wrapText="1"/>
      <protection locked="0"/>
    </xf>
    <xf numFmtId="0" fontId="9" fillId="11" borderId="10" xfId="29" applyFont="1" applyFill="1" applyBorder="1" applyAlignment="1" applyProtection="1">
      <alignment horizontal="right" vertical="center" wrapText="1"/>
      <protection locked="0"/>
    </xf>
    <xf numFmtId="0" fontId="9" fillId="0" borderId="0" xfId="29" applyFont="1" applyAlignment="1" applyProtection="1">
      <alignment horizontal="center" vertical="center" wrapText="1"/>
      <protection locked="0"/>
    </xf>
    <xf numFmtId="0" fontId="9" fillId="11" borderId="43" xfId="29" applyFont="1" applyFill="1" applyBorder="1" applyAlignment="1" applyProtection="1">
      <alignment horizontal="left" vertical="center" wrapText="1"/>
      <protection locked="0"/>
    </xf>
    <xf numFmtId="0" fontId="9" fillId="11" borderId="21" xfId="29" applyFont="1" applyFill="1" applyBorder="1" applyAlignment="1" applyProtection="1">
      <alignment horizontal="left" vertical="center" wrapText="1"/>
      <protection locked="0"/>
    </xf>
    <xf numFmtId="169" fontId="9" fillId="11" borderId="21" xfId="1" applyFont="1" applyFill="1" applyBorder="1" applyAlignment="1" applyProtection="1">
      <alignment horizontal="center" vertical="center"/>
      <protection locked="0"/>
    </xf>
    <xf numFmtId="0" fontId="9" fillId="3" borderId="21" xfId="37" applyFont="1" applyFill="1" applyBorder="1" applyAlignment="1" applyProtection="1">
      <alignment horizontal="left" vertical="center" wrapText="1"/>
      <protection locked="0"/>
    </xf>
    <xf numFmtId="0" fontId="9" fillId="3" borderId="21" xfId="37" applyFont="1" applyFill="1" applyBorder="1" applyAlignment="1" applyProtection="1">
      <alignment horizontal="right" vertical="center" wrapText="1"/>
      <protection locked="0"/>
    </xf>
    <xf numFmtId="0" fontId="2" fillId="0" borderId="21" xfId="37" applyFont="1" applyBorder="1" applyAlignment="1" applyProtection="1">
      <alignment horizontal="left" vertical="center" wrapText="1"/>
      <protection locked="0"/>
    </xf>
    <xf numFmtId="0" fontId="9" fillId="0" borderId="22" xfId="37" applyFont="1" applyBorder="1" applyAlignment="1" applyProtection="1">
      <alignment horizontal="center" vertical="center" wrapText="1"/>
      <protection locked="0"/>
    </xf>
    <xf numFmtId="176" fontId="18" fillId="11" borderId="44" xfId="15" applyNumberFormat="1" applyFont="1" applyFill="1" applyBorder="1" applyAlignment="1" applyProtection="1">
      <alignment horizontal="right" vertical="center"/>
      <protection locked="0"/>
    </xf>
    <xf numFmtId="169" fontId="9" fillId="0" borderId="45" xfId="1" applyFont="1" applyBorder="1" applyAlignment="1" applyProtection="1">
      <alignment horizontal="center" vertical="center" wrapText="1"/>
      <protection locked="0"/>
    </xf>
    <xf numFmtId="0" fontId="9" fillId="5" borderId="37" xfId="37" applyFont="1" applyFill="1" applyBorder="1" applyAlignment="1">
      <alignment horizontal="right" vertical="center" wrapText="1"/>
    </xf>
    <xf numFmtId="0" fontId="9" fillId="5" borderId="8" xfId="37" applyFont="1" applyFill="1" applyBorder="1" applyAlignment="1">
      <alignment horizontal="right" vertical="center" wrapText="1"/>
    </xf>
    <xf numFmtId="0" fontId="9" fillId="12" borderId="29" xfId="37" applyFont="1" applyFill="1" applyBorder="1" applyAlignment="1" applyProtection="1">
      <alignment horizontal="right" vertical="center" wrapText="1"/>
      <protection locked="0"/>
    </xf>
    <xf numFmtId="0" fontId="9" fillId="0" borderId="11" xfId="37" applyFont="1" applyBorder="1" applyAlignment="1" applyProtection="1">
      <alignment horizontal="justify" vertical="top" wrapText="1"/>
      <protection locked="0"/>
    </xf>
    <xf numFmtId="0" fontId="9" fillId="12" borderId="12" xfId="37" applyFont="1" applyFill="1" applyBorder="1" applyAlignment="1" applyProtection="1">
      <alignment horizontal="center" vertical="center" wrapText="1"/>
      <protection locked="0"/>
    </xf>
    <xf numFmtId="0" fontId="9" fillId="0" borderId="7" xfId="37" applyFont="1" applyBorder="1" applyAlignment="1" applyProtection="1">
      <alignment horizontal="justify" vertical="top" wrapText="1"/>
      <protection locked="0"/>
    </xf>
    <xf numFmtId="174" fontId="8" fillId="2" borderId="1" xfId="0" applyNumberFormat="1" applyFont="1" applyFill="1" applyBorder="1" applyAlignment="1" applyProtection="1">
      <alignment horizontal="left" vertical="center"/>
      <protection locked="0"/>
    </xf>
    <xf numFmtId="0" fontId="9" fillId="11" borderId="46" xfId="29" applyFont="1" applyFill="1" applyBorder="1" applyAlignment="1" applyProtection="1">
      <alignment horizontal="left" vertical="center" wrapText="1"/>
      <protection locked="0"/>
    </xf>
    <xf numFmtId="169" fontId="9" fillId="11" borderId="17" xfId="1" applyFont="1" applyFill="1" applyBorder="1" applyAlignment="1" applyProtection="1">
      <alignment horizontal="center" vertical="center"/>
      <protection locked="0"/>
    </xf>
    <xf numFmtId="169" fontId="9" fillId="11" borderId="35" xfId="1" applyFont="1" applyFill="1" applyBorder="1" applyAlignment="1" applyProtection="1">
      <alignment horizontal="center" vertical="center"/>
      <protection locked="0"/>
    </xf>
    <xf numFmtId="169" fontId="9" fillId="11" borderId="15" xfId="1" applyFont="1" applyFill="1" applyBorder="1" applyAlignment="1" applyProtection="1">
      <alignment horizontal="center" vertical="center"/>
      <protection locked="0"/>
    </xf>
    <xf numFmtId="0" fontId="9" fillId="4" borderId="13" xfId="29" applyFont="1" applyFill="1" applyBorder="1" applyAlignment="1" applyProtection="1">
      <alignment horizontal="center" vertical="center" wrapText="1"/>
      <protection locked="0"/>
    </xf>
    <xf numFmtId="0" fontId="9" fillId="3" borderId="20" xfId="37" applyFont="1" applyFill="1" applyBorder="1" applyAlignment="1" applyProtection="1">
      <alignment horizontal="left" vertical="center" wrapText="1"/>
      <protection locked="0"/>
    </xf>
    <xf numFmtId="0" fontId="9" fillId="3" borderId="8" xfId="37" applyFont="1" applyFill="1" applyBorder="1" applyAlignment="1" applyProtection="1">
      <alignment horizontal="right" vertical="center" wrapText="1"/>
      <protection locked="0"/>
    </xf>
    <xf numFmtId="0" fontId="2" fillId="0" borderId="8" xfId="37" applyFont="1" applyBorder="1" applyAlignment="1" applyProtection="1">
      <alignment horizontal="left" vertical="center" wrapText="1"/>
      <protection locked="0"/>
    </xf>
    <xf numFmtId="0" fontId="9" fillId="4" borderId="8" xfId="37" applyFont="1" applyFill="1" applyBorder="1" applyAlignment="1" applyProtection="1">
      <alignment horizontal="right" vertical="center" wrapText="1"/>
      <protection locked="0"/>
    </xf>
    <xf numFmtId="176" fontId="18" fillId="3" borderId="25" xfId="15" applyNumberFormat="1" applyFont="1" applyFill="1" applyBorder="1" applyAlignment="1" applyProtection="1">
      <alignment horizontal="right" vertical="center"/>
      <protection locked="0"/>
    </xf>
    <xf numFmtId="180" fontId="9" fillId="0" borderId="39" xfId="1" applyNumberFormat="1" applyFont="1" applyBorder="1" applyAlignment="1" applyProtection="1">
      <alignment horizontal="center" vertical="center" wrapText="1"/>
      <protection locked="0"/>
    </xf>
    <xf numFmtId="0" fontId="9" fillId="5" borderId="16" xfId="37" applyFont="1" applyFill="1" applyBorder="1" applyAlignment="1">
      <alignment horizontal="right" vertical="center" wrapText="1"/>
    </xf>
    <xf numFmtId="0" fontId="9" fillId="5" borderId="30" xfId="37" applyFont="1" applyFill="1" applyBorder="1" applyAlignment="1">
      <alignment horizontal="right" vertical="center" wrapText="1"/>
    </xf>
    <xf numFmtId="0" fontId="9" fillId="0" borderId="12" xfId="37" applyFont="1" applyBorder="1" applyAlignment="1" applyProtection="1">
      <alignment horizontal="justify" vertical="top" wrapText="1"/>
      <protection locked="0"/>
    </xf>
    <xf numFmtId="0" fontId="2" fillId="0" borderId="0" xfId="37" applyFont="1" applyAlignment="1" applyProtection="1">
      <alignment horizontal="center" vertical="top" wrapText="1"/>
      <protection locked="0"/>
    </xf>
    <xf numFmtId="0" fontId="9" fillId="11" borderId="21" xfId="37" applyFont="1" applyFill="1" applyBorder="1" applyAlignment="1" applyProtection="1">
      <alignment horizontal="left" vertical="center"/>
      <protection locked="0"/>
    </xf>
    <xf numFmtId="0" fontId="2" fillId="3" borderId="12" xfId="37" applyFont="1" applyFill="1" applyBorder="1" applyAlignment="1" applyProtection="1">
      <alignment horizontal="justify" vertical="top" wrapText="1"/>
      <protection locked="0"/>
    </xf>
    <xf numFmtId="0" fontId="18" fillId="11" borderId="13" xfId="37" applyFont="1" applyFill="1" applyBorder="1" applyAlignment="1" applyProtection="1">
      <alignment horizontal="left" vertical="center"/>
      <protection locked="0"/>
    </xf>
    <xf numFmtId="0" fontId="18" fillId="11" borderId="10" xfId="44" applyFont="1" applyFill="1" applyBorder="1" applyAlignment="1" applyProtection="1">
      <alignment horizontal="right" vertical="center"/>
      <protection locked="0"/>
    </xf>
    <xf numFmtId="0" fontId="18" fillId="3" borderId="12" xfId="44" applyFont="1" applyFill="1" applyBorder="1" applyAlignment="1" applyProtection="1">
      <alignment horizontal="left" vertical="center"/>
      <protection locked="0"/>
    </xf>
    <xf numFmtId="0" fontId="18" fillId="11" borderId="4" xfId="37" applyFont="1" applyFill="1" applyBorder="1" applyAlignment="1">
      <alignment horizontal="right" vertical="center" wrapText="1"/>
    </xf>
    <xf numFmtId="0" fontId="19" fillId="11" borderId="12" xfId="44" applyFont="1" applyFill="1" applyBorder="1" applyAlignment="1" applyProtection="1">
      <alignment horizontal="justify" vertical="top" wrapText="1"/>
      <protection locked="0"/>
    </xf>
    <xf numFmtId="0" fontId="3" fillId="0" borderId="12" xfId="44" applyFont="1" applyBorder="1" applyAlignment="1" applyProtection="1">
      <alignment horizontal="justify" vertical="top" wrapText="1"/>
      <protection locked="0"/>
    </xf>
    <xf numFmtId="0" fontId="3" fillId="0" borderId="0" xfId="44" applyFont="1" applyAlignment="1" applyProtection="1">
      <alignment horizontal="center" vertical="center"/>
      <protection locked="0"/>
    </xf>
    <xf numFmtId="0" fontId="19" fillId="0" borderId="12" xfId="44" applyFont="1" applyBorder="1" applyAlignment="1" applyProtection="1">
      <alignment horizontal="justify" vertical="top" wrapText="1"/>
      <protection locked="0"/>
    </xf>
    <xf numFmtId="0" fontId="19" fillId="11" borderId="13" xfId="44" applyFont="1" applyFill="1" applyBorder="1" applyAlignment="1" applyProtection="1">
      <alignment horizontal="center" vertical="center"/>
      <protection locked="0"/>
    </xf>
    <xf numFmtId="180" fontId="2" fillId="0" borderId="21" xfId="15" applyNumberFormat="1" applyFont="1" applyBorder="1" applyAlignment="1" applyProtection="1">
      <alignment horizontal="left" vertical="center" wrapText="1"/>
      <protection locked="0"/>
    </xf>
    <xf numFmtId="0" fontId="19" fillId="11" borderId="10" xfId="44" applyFont="1" applyFill="1" applyBorder="1" applyAlignment="1" applyProtection="1">
      <alignment horizontal="right" vertical="center"/>
      <protection locked="0"/>
    </xf>
    <xf numFmtId="0" fontId="19" fillId="11" borderId="21" xfId="44" applyFont="1" applyFill="1" applyBorder="1" applyAlignment="1" applyProtection="1">
      <alignment horizontal="center" vertical="center"/>
      <protection locked="0"/>
    </xf>
    <xf numFmtId="0" fontId="18" fillId="5" borderId="21" xfId="37" applyFont="1" applyFill="1" applyBorder="1" applyAlignment="1" applyProtection="1">
      <alignment horizontal="center" vertical="center" wrapText="1"/>
      <protection hidden="1"/>
    </xf>
    <xf numFmtId="0" fontId="3" fillId="0" borderId="21" xfId="44" applyFont="1" applyBorder="1" applyAlignment="1" applyProtection="1">
      <alignment horizontal="left" vertical="center"/>
      <protection hidden="1"/>
    </xf>
    <xf numFmtId="180" fontId="3" fillId="0" borderId="21" xfId="1" applyNumberFormat="1" applyFont="1" applyBorder="1" applyAlignment="1" applyProtection="1">
      <alignment horizontal="center" vertical="center"/>
      <protection hidden="1"/>
    </xf>
    <xf numFmtId="0" fontId="19" fillId="11" borderId="21" xfId="44" applyFont="1" applyFill="1" applyBorder="1" applyAlignment="1" applyProtection="1">
      <alignment horizontal="right" vertical="center"/>
      <protection hidden="1"/>
    </xf>
    <xf numFmtId="0" fontId="3" fillId="11" borderId="21" xfId="44" applyFont="1" applyFill="1" applyBorder="1" applyAlignment="1" applyProtection="1">
      <alignment horizontal="center" vertical="center"/>
      <protection hidden="1"/>
    </xf>
    <xf numFmtId="0" fontId="19" fillId="11" borderId="21" xfId="44" applyFont="1" applyFill="1" applyBorder="1" applyAlignment="1" applyProtection="1">
      <alignment horizontal="left" vertical="center"/>
      <protection locked="0"/>
    </xf>
    <xf numFmtId="0" fontId="11" fillId="11" borderId="21" xfId="3" applyFill="1" applyBorder="1" applyAlignment="1" applyProtection="1">
      <alignment horizontal="left" vertical="center"/>
      <protection locked="0"/>
    </xf>
    <xf numFmtId="169" fontId="3" fillId="0" borderId="21" xfId="1" applyFont="1" applyBorder="1" applyAlignment="1" applyProtection="1">
      <alignment horizontal="center" vertical="center"/>
      <protection locked="0"/>
    </xf>
    <xf numFmtId="0" fontId="19" fillId="11" borderId="21" xfId="34" applyFont="1" applyFill="1" applyBorder="1" applyAlignment="1" applyProtection="1">
      <alignment horizontal="center" vertical="center"/>
      <protection locked="0"/>
    </xf>
    <xf numFmtId="0" fontId="19" fillId="11" borderId="21" xfId="34" applyFont="1" applyFill="1" applyBorder="1" applyAlignment="1" applyProtection="1">
      <alignment horizontal="right" vertical="center" wrapText="1"/>
      <protection locked="0"/>
    </xf>
    <xf numFmtId="0" fontId="19" fillId="4" borderId="21" xfId="34" applyFont="1" applyFill="1" applyBorder="1" applyAlignment="1" applyProtection="1">
      <alignment horizontal="right" vertical="center" wrapText="1"/>
      <protection locked="0"/>
    </xf>
    <xf numFmtId="0" fontId="19" fillId="0" borderId="0" xfId="34" applyFont="1" applyAlignment="1" applyProtection="1">
      <alignment horizontal="center" wrapText="1"/>
      <protection locked="0"/>
    </xf>
    <xf numFmtId="0" fontId="19" fillId="11" borderId="12" xfId="34" applyFont="1" applyFill="1" applyBorder="1" applyAlignment="1" applyProtection="1">
      <alignment horizontal="justify" vertical="center" wrapText="1"/>
      <protection locked="0"/>
    </xf>
    <xf numFmtId="174" fontId="6" fillId="2" borderId="1" xfId="0" applyNumberFormat="1" applyFont="1" applyFill="1" applyBorder="1" applyAlignment="1" applyProtection="1">
      <alignment horizontal="left" vertical="center" wrapText="1"/>
      <protection locked="0"/>
    </xf>
    <xf numFmtId="180" fontId="2" fillId="0" borderId="21" xfId="1" applyNumberFormat="1" applyFont="1" applyBorder="1" applyAlignment="1" applyProtection="1">
      <alignment horizontal="left" vertical="center" wrapText="1"/>
      <protection locked="0"/>
    </xf>
    <xf numFmtId="169" fontId="2" fillId="0" borderId="21" xfId="1" applyFont="1" applyBorder="1" applyAlignment="1" applyProtection="1">
      <alignment horizontal="left" vertical="center" wrapText="1"/>
      <protection locked="0"/>
    </xf>
    <xf numFmtId="0" fontId="9" fillId="0" borderId="48" xfId="37" applyFont="1" applyBorder="1" applyAlignment="1" applyProtection="1">
      <alignment horizontal="center" vertical="center" wrapText="1"/>
      <protection locked="0"/>
    </xf>
    <xf numFmtId="0" fontId="9" fillId="11" borderId="21" xfId="37" applyFont="1" applyFill="1" applyBorder="1" applyAlignment="1" applyProtection="1">
      <alignment horizontal="right" vertical="center" wrapText="1"/>
      <protection locked="0"/>
    </xf>
    <xf numFmtId="0" fontId="9" fillId="12" borderId="21" xfId="37" applyFont="1" applyFill="1" applyBorder="1" applyAlignment="1" applyProtection="1">
      <alignment horizontal="right" vertical="center" wrapText="1"/>
      <protection locked="0"/>
    </xf>
    <xf numFmtId="0" fontId="19" fillId="11" borderId="12" xfId="34" applyFont="1" applyFill="1" applyBorder="1" applyAlignment="1" applyProtection="1">
      <alignment horizontal="left" vertical="center" wrapText="1"/>
      <protection locked="0"/>
    </xf>
    <xf numFmtId="0" fontId="9" fillId="4" borderId="21" xfId="29" applyFont="1" applyFill="1" applyBorder="1" applyAlignment="1" applyProtection="1">
      <alignment horizontal="center" vertical="center" wrapText="1"/>
      <protection locked="0"/>
    </xf>
    <xf numFmtId="0" fontId="9" fillId="4" borderId="21" xfId="37" applyFont="1" applyFill="1" applyBorder="1" applyAlignment="1" applyProtection="1">
      <alignment horizontal="right" vertical="center" wrapText="1"/>
      <protection locked="0"/>
    </xf>
    <xf numFmtId="0" fontId="2" fillId="3" borderId="12" xfId="37" applyFont="1" applyFill="1" applyBorder="1" applyAlignment="1" applyProtection="1">
      <alignment horizontal="justify" vertical="center" wrapText="1"/>
      <protection locked="0"/>
    </xf>
    <xf numFmtId="0" fontId="2" fillId="0" borderId="0" xfId="37" applyFont="1" applyAlignment="1" applyProtection="1">
      <alignment horizontal="center" wrapText="1"/>
      <protection locked="0"/>
    </xf>
    <xf numFmtId="0" fontId="2" fillId="0" borderId="49" xfId="37" applyFont="1" applyBorder="1" applyAlignment="1" applyProtection="1">
      <alignment horizontal="center" vertical="center"/>
      <protection locked="0"/>
    </xf>
    <xf numFmtId="0" fontId="9" fillId="11" borderId="13" xfId="29" applyFont="1" applyFill="1" applyBorder="1" applyAlignment="1" applyProtection="1">
      <alignment horizontal="center" vertical="center" wrapText="1"/>
      <protection locked="0"/>
    </xf>
    <xf numFmtId="0" fontId="9" fillId="11" borderId="9" xfId="29" applyFont="1" applyFill="1" applyBorder="1" applyAlignment="1" applyProtection="1">
      <alignment horizontal="left" vertical="center" wrapText="1"/>
      <protection locked="0"/>
    </xf>
    <xf numFmtId="0" fontId="2" fillId="0" borderId="12" xfId="29" applyBorder="1" applyAlignment="1" applyProtection="1">
      <alignment horizontal="center" vertical="center" wrapText="1"/>
      <protection locked="0"/>
    </xf>
    <xf numFmtId="0" fontId="9" fillId="11" borderId="17" xfId="29" applyFont="1" applyFill="1" applyBorder="1" applyAlignment="1" applyProtection="1">
      <alignment horizontal="left" vertical="center" wrapText="1"/>
      <protection locked="0"/>
    </xf>
    <xf numFmtId="0" fontId="9" fillId="11" borderId="12" xfId="29" applyFont="1" applyFill="1" applyBorder="1" applyAlignment="1" applyProtection="1">
      <alignment horizontal="center" vertical="center" wrapText="1"/>
      <protection locked="0"/>
    </xf>
    <xf numFmtId="180" fontId="9" fillId="5" borderId="16" xfId="1" applyNumberFormat="1" applyFont="1" applyFill="1" applyBorder="1" applyAlignment="1" applyProtection="1">
      <alignment horizontal="right" vertical="center" wrapText="1"/>
      <protection locked="0"/>
    </xf>
    <xf numFmtId="180" fontId="9" fillId="5" borderId="8" xfId="1" applyNumberFormat="1" applyFont="1" applyFill="1" applyBorder="1" applyAlignment="1" applyProtection="1">
      <alignment horizontal="right" vertical="center" wrapText="1"/>
      <protection locked="0"/>
    </xf>
    <xf numFmtId="180" fontId="9" fillId="5" borderId="10" xfId="1" applyNumberFormat="1" applyFont="1" applyFill="1" applyBorder="1" applyAlignment="1" applyProtection="1">
      <alignment horizontal="right" vertical="center" wrapText="1"/>
      <protection locked="0"/>
    </xf>
    <xf numFmtId="0" fontId="9" fillId="4" borderId="12" xfId="29" applyFont="1" applyFill="1" applyBorder="1" applyAlignment="1" applyProtection="1">
      <alignment horizontal="center" vertical="center" wrapText="1"/>
      <protection locked="0"/>
    </xf>
    <xf numFmtId="0" fontId="9" fillId="4" borderId="23" xfId="29" applyFont="1" applyFill="1" applyBorder="1" applyAlignment="1" applyProtection="1">
      <alignment horizontal="center" vertical="center" wrapText="1"/>
      <protection locked="0"/>
    </xf>
    <xf numFmtId="0" fontId="9" fillId="11" borderId="16" xfId="29" applyFont="1" applyFill="1" applyBorder="1" applyAlignment="1">
      <alignment horizontal="right" vertical="center" wrapText="1"/>
    </xf>
    <xf numFmtId="0" fontId="2" fillId="0" borderId="12" xfId="37" applyFont="1" applyBorder="1" applyAlignment="1" applyProtection="1">
      <alignment horizontal="center"/>
      <protection locked="0"/>
    </xf>
    <xf numFmtId="184" fontId="9" fillId="3" borderId="12" xfId="33" applyNumberFormat="1" applyFont="1" applyFill="1" applyBorder="1" applyAlignment="1" applyProtection="1">
      <alignment horizontal="center" vertical="center" wrapText="1"/>
      <protection locked="0"/>
    </xf>
    <xf numFmtId="0" fontId="19" fillId="3" borderId="12" xfId="33" applyFont="1" applyFill="1" applyBorder="1" applyAlignment="1" applyProtection="1">
      <alignment horizontal="center" vertical="center" wrapText="1"/>
      <protection locked="0"/>
    </xf>
    <xf numFmtId="184" fontId="27" fillId="3" borderId="42" xfId="33" applyNumberFormat="1" applyFont="1" applyFill="1" applyBorder="1" applyAlignment="1" applyProtection="1">
      <alignment horizontal="center" vertical="center" wrapText="1"/>
      <protection locked="0"/>
    </xf>
    <xf numFmtId="0" fontId="19" fillId="3" borderId="42" xfId="33" applyFont="1" applyFill="1" applyBorder="1" applyAlignment="1" applyProtection="1">
      <alignment horizontal="center" vertical="center" wrapText="1"/>
      <protection locked="0"/>
    </xf>
    <xf numFmtId="0" fontId="19" fillId="3" borderId="3" xfId="33" applyFont="1" applyFill="1" applyBorder="1" applyAlignment="1" applyProtection="1">
      <alignment horizontal="center" vertical="center" wrapText="1"/>
      <protection locked="0"/>
    </xf>
    <xf numFmtId="0" fontId="19" fillId="0" borderId="0" xfId="33" applyFont="1" applyAlignment="1" applyProtection="1">
      <alignment horizontal="center" vertical="center" wrapText="1"/>
      <protection locked="0"/>
    </xf>
    <xf numFmtId="0" fontId="18" fillId="0" borderId="13" xfId="33" applyFont="1" applyBorder="1" applyAlignment="1" applyProtection="1">
      <alignment horizontal="left" vertical="center"/>
      <protection locked="0"/>
    </xf>
    <xf numFmtId="0" fontId="18" fillId="0" borderId="20" xfId="33" applyFont="1" applyBorder="1" applyAlignment="1" applyProtection="1">
      <alignment horizontal="left" vertical="center" wrapText="1"/>
      <protection locked="0"/>
    </xf>
    <xf numFmtId="0" fontId="19" fillId="0" borderId="43" xfId="33" applyFont="1" applyBorder="1" applyAlignment="1" applyProtection="1">
      <alignment horizontal="center"/>
      <protection locked="0"/>
    </xf>
    <xf numFmtId="0" fontId="19" fillId="0" borderId="52" xfId="33" applyFont="1" applyBorder="1" applyAlignment="1" applyProtection="1">
      <alignment horizontal="center"/>
      <protection locked="0"/>
    </xf>
    <xf numFmtId="0" fontId="19" fillId="12" borderId="21" xfId="35" applyFont="1" applyFill="1" applyBorder="1" applyAlignment="1" applyProtection="1">
      <alignment horizontal="center" vertical="center" wrapText="1"/>
      <protection locked="0"/>
    </xf>
    <xf numFmtId="0" fontId="19" fillId="11" borderId="21" xfId="35" applyFont="1" applyFill="1" applyBorder="1" applyAlignment="1" applyProtection="1">
      <alignment horizontal="center" vertical="center" wrapText="1"/>
      <protection locked="0"/>
    </xf>
    <xf numFmtId="174" fontId="7" fillId="2" borderId="1" xfId="0" applyNumberFormat="1" applyFont="1" applyFill="1" applyBorder="1" applyAlignment="1">
      <alignment horizontal="left" vertical="center" wrapText="1"/>
    </xf>
    <xf numFmtId="0" fontId="2" fillId="0" borderId="12" xfId="29" applyBorder="1" applyAlignment="1">
      <alignment horizontal="justify" vertical="center" wrapText="1"/>
    </xf>
    <xf numFmtId="0" fontId="19" fillId="4" borderId="21" xfId="35" applyFont="1" applyFill="1" applyBorder="1" applyAlignment="1">
      <alignment horizontal="center" vertical="center" wrapText="1"/>
    </xf>
    <xf numFmtId="0" fontId="19" fillId="0" borderId="21" xfId="35" applyFont="1" applyBorder="1" applyAlignment="1">
      <alignment horizontal="left"/>
    </xf>
    <xf numFmtId="0" fontId="19" fillId="0" borderId="0" xfId="35" applyFont="1" applyAlignment="1">
      <alignment horizontal="center"/>
    </xf>
    <xf numFmtId="0" fontId="19" fillId="0" borderId="0" xfId="35" applyFont="1" applyAlignment="1">
      <alignment horizontal="center" wrapText="1"/>
    </xf>
    <xf numFmtId="0" fontId="3" fillId="0" borderId="0" xfId="35" applyFont="1" applyAlignment="1">
      <alignment horizontal="left" vertical="center"/>
    </xf>
    <xf numFmtId="0" fontId="29" fillId="0" borderId="54" xfId="35" applyFont="1" applyBorder="1" applyAlignment="1">
      <alignment horizontal="center" wrapText="1"/>
    </xf>
    <xf numFmtId="174" fontId="7" fillId="2" borderId="1" xfId="0" applyNumberFormat="1" applyFont="1" applyFill="1" applyBorder="1" applyAlignment="1" applyProtection="1">
      <alignment horizontal="left" vertical="center" wrapText="1"/>
      <protection locked="0"/>
    </xf>
    <xf numFmtId="0" fontId="3" fillId="3" borderId="21" xfId="45" applyFont="1" applyFill="1" applyBorder="1" applyAlignment="1" applyProtection="1">
      <alignment horizontal="left" vertical="center"/>
      <protection locked="0"/>
    </xf>
    <xf numFmtId="0" fontId="19" fillId="3" borderId="21" xfId="48" applyFont="1" applyFill="1" applyBorder="1" applyAlignment="1">
      <alignment horizontal="center" vertical="center" wrapText="1"/>
    </xf>
    <xf numFmtId="0" fontId="15" fillId="16" borderId="32" xfId="48" applyFont="1" applyFill="1" applyBorder="1" applyAlignment="1" applyProtection="1">
      <alignment horizontal="justify" vertical="center" wrapText="1"/>
      <protection locked="0"/>
    </xf>
    <xf numFmtId="0" fontId="30" fillId="16" borderId="21" xfId="48" applyFont="1" applyFill="1" applyBorder="1" applyAlignment="1" applyProtection="1">
      <alignment horizontal="justify" vertical="center" wrapText="1"/>
      <protection locked="0"/>
    </xf>
    <xf numFmtId="0" fontId="30" fillId="16" borderId="21" xfId="48" applyFont="1" applyFill="1" applyBorder="1" applyAlignment="1" applyProtection="1">
      <alignment horizontal="left" vertical="center" wrapText="1"/>
      <protection locked="0"/>
    </xf>
    <xf numFmtId="0" fontId="15" fillId="16" borderId="21" xfId="48" applyFont="1" applyFill="1" applyBorder="1" applyAlignment="1" applyProtection="1">
      <alignment horizontal="justify" wrapText="1"/>
      <protection locked="0"/>
    </xf>
    <xf numFmtId="0" fontId="30" fillId="16" borderId="21" xfId="48" applyFont="1" applyFill="1" applyBorder="1" applyAlignment="1" applyProtection="1">
      <alignment horizontal="justify" wrapText="1"/>
      <protection locked="0"/>
    </xf>
    <xf numFmtId="0" fontId="3" fillId="0" borderId="0" xfId="45" applyFont="1" applyAlignment="1" applyProtection="1">
      <alignment horizontal="center" vertical="center" wrapText="1"/>
      <protection locked="0"/>
    </xf>
    <xf numFmtId="0" fontId="3" fillId="3" borderId="12" xfId="45" applyFont="1" applyFill="1" applyBorder="1" applyAlignment="1" applyProtection="1">
      <alignment horizontal="left" vertical="center"/>
      <protection locked="0"/>
    </xf>
    <xf numFmtId="0" fontId="9" fillId="5" borderId="17" xfId="37" applyFont="1" applyFill="1" applyBorder="1" applyAlignment="1">
      <alignment horizontal="center" vertical="center" wrapText="1"/>
    </xf>
    <xf numFmtId="187" fontId="2" fillId="0" borderId="9" xfId="15" applyNumberFormat="1" applyFont="1" applyBorder="1" applyAlignment="1" applyProtection="1">
      <alignment horizontal="right" vertical="center"/>
      <protection locked="0"/>
    </xf>
    <xf numFmtId="187" fontId="2" fillId="0" borderId="11" xfId="15" applyNumberFormat="1" applyFont="1" applyBorder="1" applyAlignment="1" applyProtection="1">
      <alignment horizontal="right" vertical="center"/>
      <protection locked="0"/>
    </xf>
    <xf numFmtId="0" fontId="3" fillId="0" borderId="12" xfId="45" applyFont="1" applyBorder="1" applyAlignment="1" applyProtection="1">
      <alignment horizontal="justify" vertical="center" wrapText="1"/>
      <protection locked="0"/>
    </xf>
    <xf numFmtId="0" fontId="19" fillId="11" borderId="21" xfId="45" applyFont="1" applyFill="1" applyBorder="1" applyAlignment="1">
      <alignment horizontal="left" vertical="center"/>
    </xf>
    <xf numFmtId="0" fontId="3" fillId="3" borderId="21" xfId="45" applyFont="1" applyFill="1" applyBorder="1" applyAlignment="1" applyProtection="1">
      <alignment horizontal="right" vertical="center"/>
      <protection locked="0"/>
    </xf>
    <xf numFmtId="0" fontId="19" fillId="5" borderId="21" xfId="45" applyFont="1" applyFill="1" applyBorder="1" applyAlignment="1">
      <alignment horizontal="left" vertical="center"/>
    </xf>
    <xf numFmtId="180" fontId="3" fillId="3" borderId="21" xfId="1" applyNumberFormat="1" applyFont="1" applyFill="1" applyBorder="1" applyAlignment="1" applyProtection="1">
      <alignment horizontal="right" vertical="center"/>
      <protection locked="0"/>
    </xf>
    <xf numFmtId="0" fontId="19" fillId="5" borderId="12" xfId="30" applyFont="1" applyFill="1" applyBorder="1" applyAlignment="1">
      <alignment horizontal="center" vertical="center"/>
    </xf>
    <xf numFmtId="0" fontId="19" fillId="11" borderId="4" xfId="0" applyFont="1" applyFill="1" applyBorder="1" applyAlignment="1">
      <alignment horizontal="left"/>
    </xf>
    <xf numFmtId="0" fontId="19" fillId="11" borderId="8" xfId="0" applyFont="1" applyFill="1" applyBorder="1" applyAlignment="1">
      <alignment horizontal="left"/>
    </xf>
    <xf numFmtId="0" fontId="19" fillId="3" borderId="8" xfId="0" applyFont="1" applyFill="1" applyBorder="1" applyAlignment="1">
      <alignment horizontal="left"/>
    </xf>
    <xf numFmtId="0" fontId="19" fillId="3" borderId="8" xfId="0" applyFont="1" applyFill="1" applyBorder="1" applyAlignment="1" applyProtection="1">
      <alignment horizontal="left"/>
      <protection hidden="1"/>
    </xf>
    <xf numFmtId="0" fontId="19" fillId="3" borderId="10" xfId="0" applyFont="1" applyFill="1" applyBorder="1" applyAlignment="1">
      <alignment horizontal="left"/>
    </xf>
    <xf numFmtId="0" fontId="19" fillId="5" borderId="13" xfId="0" applyFont="1" applyFill="1" applyBorder="1" applyAlignment="1">
      <alignment horizontal="center" vertical="center"/>
    </xf>
    <xf numFmtId="0" fontId="19" fillId="3" borderId="8" xfId="30" applyFont="1" applyFill="1" applyBorder="1" applyAlignment="1">
      <alignment horizontal="left"/>
    </xf>
    <xf numFmtId="0" fontId="19" fillId="3" borderId="10" xfId="30" applyFont="1" applyFill="1" applyBorder="1" applyAlignment="1">
      <alignment horizontal="left"/>
    </xf>
    <xf numFmtId="0" fontId="19" fillId="0" borderId="23" xfId="30" applyFont="1" applyBorder="1" applyAlignment="1">
      <alignment horizontal="left"/>
    </xf>
    <xf numFmtId="0" fontId="3" fillId="0" borderId="43" xfId="30" applyFont="1" applyBorder="1" applyAlignment="1">
      <alignment horizontal="left" vertical="top" wrapText="1"/>
    </xf>
    <xf numFmtId="0" fontId="3" fillId="0" borderId="52" xfId="30" applyFont="1" applyBorder="1" applyAlignment="1">
      <alignment horizontal="left" vertical="top" wrapText="1"/>
    </xf>
    <xf numFmtId="0" fontId="19" fillId="3" borderId="10" xfId="30" applyFont="1" applyFill="1" applyBorder="1" applyAlignment="1" applyProtection="1">
      <alignment horizontal="right"/>
      <protection hidden="1"/>
    </xf>
    <xf numFmtId="0" fontId="19" fillId="3" borderId="12" xfId="45" applyFont="1" applyFill="1" applyBorder="1" applyAlignment="1" applyProtection="1">
      <alignment horizontal="left" vertical="center"/>
      <protection locked="0"/>
    </xf>
    <xf numFmtId="0" fontId="11" fillId="3" borderId="12" xfId="3" applyFill="1" applyBorder="1" applyAlignment="1" applyProtection="1">
      <alignment horizontal="left" vertical="center"/>
      <protection locked="0"/>
    </xf>
    <xf numFmtId="0" fontId="3" fillId="3" borderId="12" xfId="36" applyFont="1" applyFill="1" applyBorder="1" applyAlignment="1" applyProtection="1">
      <alignment horizontal="justify"/>
      <protection locked="0"/>
    </xf>
    <xf numFmtId="0" fontId="19" fillId="11" borderId="12" xfId="36" applyFont="1" applyFill="1" applyBorder="1" applyAlignment="1">
      <alignment horizontal="center" vertical="center"/>
    </xf>
    <xf numFmtId="0" fontId="2" fillId="2" borderId="0" xfId="37" applyFont="1" applyFill="1" applyAlignment="1" applyProtection="1">
      <alignment horizontal="center"/>
      <protection locked="0"/>
    </xf>
    <xf numFmtId="0" fontId="2" fillId="2" borderId="0" xfId="37" applyFont="1" applyFill="1" applyAlignment="1" applyProtection="1">
      <alignment horizontal="center" vertical="center"/>
      <protection locked="0"/>
    </xf>
    <xf numFmtId="0" fontId="3" fillId="2" borderId="0" xfId="45" applyFont="1" applyFill="1" applyAlignment="1" applyProtection="1">
      <alignment horizontal="center" vertical="center" wrapText="1"/>
      <protection locked="0"/>
    </xf>
    <xf numFmtId="0" fontId="3" fillId="0" borderId="21" xfId="45" applyFont="1" applyBorder="1" applyAlignment="1" applyProtection="1">
      <alignment horizontal="left" vertical="center"/>
      <protection locked="0"/>
    </xf>
    <xf numFmtId="0" fontId="3" fillId="0" borderId="21" xfId="28" applyFont="1" applyBorder="1" applyAlignment="1" applyProtection="1">
      <alignment horizontal="left" vertical="center" wrapText="1"/>
      <protection locked="0"/>
    </xf>
    <xf numFmtId="0" fontId="3" fillId="0" borderId="21" xfId="45" applyFont="1" applyBorder="1" applyAlignment="1" applyProtection="1">
      <alignment horizontal="left" vertical="center" wrapText="1"/>
      <protection locked="0"/>
    </xf>
    <xf numFmtId="0" fontId="3" fillId="0" borderId="21" xfId="45" applyFont="1" applyBorder="1" applyAlignment="1" applyProtection="1">
      <alignment vertical="center" wrapText="1"/>
      <protection locked="0"/>
    </xf>
    <xf numFmtId="0" fontId="19" fillId="3" borderId="52" xfId="45" applyFont="1" applyFill="1" applyBorder="1" applyAlignment="1" applyProtection="1">
      <alignment horizontal="left" vertical="center"/>
      <protection locked="0"/>
    </xf>
    <xf numFmtId="180" fontId="19" fillId="3" borderId="12" xfId="1" applyNumberFormat="1" applyFont="1" applyFill="1" applyBorder="1" applyAlignment="1" applyProtection="1">
      <alignment horizontal="left" vertical="center"/>
      <protection hidden="1"/>
    </xf>
    <xf numFmtId="0" fontId="3" fillId="0" borderId="12" xfId="44" applyFont="1" applyBorder="1" applyAlignment="1" applyProtection="1">
      <alignment horizontal="justify" vertical="center" wrapText="1"/>
      <protection locked="0"/>
    </xf>
    <xf numFmtId="0" fontId="18" fillId="11" borderId="2" xfId="37" applyFont="1" applyFill="1" applyBorder="1" applyAlignment="1" applyProtection="1">
      <alignment horizontal="center" vertical="center"/>
      <protection locked="0"/>
    </xf>
    <xf numFmtId="0" fontId="19" fillId="3" borderId="4" xfId="44" applyFont="1" applyFill="1" applyBorder="1" applyAlignment="1" applyProtection="1">
      <alignment horizontal="center" vertical="center"/>
      <protection locked="0"/>
    </xf>
    <xf numFmtId="0" fontId="3" fillId="0" borderId="8" xfId="44" applyFont="1" applyBorder="1" applyAlignment="1" applyProtection="1">
      <alignment horizontal="justify" vertical="center" wrapText="1"/>
      <protection locked="0"/>
    </xf>
    <xf numFmtId="0" fontId="3" fillId="0" borderId="8" xfId="44" applyFont="1" applyBorder="1" applyAlignment="1" applyProtection="1">
      <alignment horizontal="justify" vertical="center"/>
      <protection locked="0"/>
    </xf>
    <xf numFmtId="0" fontId="3" fillId="0" borderId="10" xfId="44" applyFont="1" applyBorder="1" applyAlignment="1" applyProtection="1">
      <alignment horizontal="justify" vertical="center" wrapText="1"/>
      <protection locked="0"/>
    </xf>
    <xf numFmtId="0" fontId="3" fillId="9" borderId="12" xfId="44" applyFont="1" applyFill="1" applyBorder="1" applyAlignment="1" applyProtection="1">
      <alignment horizontal="left" vertical="center" wrapText="1"/>
      <protection locked="0"/>
    </xf>
    <xf numFmtId="0" fontId="18" fillId="11" borderId="25" xfId="37" applyFont="1" applyFill="1" applyBorder="1" applyAlignment="1" applyProtection="1">
      <alignment horizontal="center" vertical="center"/>
      <protection locked="0"/>
    </xf>
    <xf numFmtId="0" fontId="19" fillId="0" borderId="23" xfId="44" applyFont="1" applyBorder="1" applyAlignment="1" applyProtection="1">
      <alignment horizontal="justify" vertical="center"/>
      <protection locked="0"/>
    </xf>
    <xf numFmtId="0" fontId="3" fillId="0" borderId="43" xfId="44" applyFont="1" applyBorder="1" applyAlignment="1" applyProtection="1">
      <alignment horizontal="justify" vertical="center" wrapText="1"/>
      <protection locked="0"/>
    </xf>
    <xf numFmtId="0" fontId="3" fillId="0" borderId="52" xfId="44" applyFont="1" applyBorder="1" applyAlignment="1" applyProtection="1">
      <alignment horizontal="justify" vertical="center" wrapText="1"/>
      <protection locked="0"/>
    </xf>
    <xf numFmtId="0" fontId="3" fillId="0" borderId="43" xfId="44" applyFont="1" applyBorder="1" applyAlignment="1" applyProtection="1">
      <alignment horizontal="justify" vertical="top" wrapText="1"/>
      <protection locked="0"/>
    </xf>
    <xf numFmtId="0" fontId="19" fillId="0" borderId="43" xfId="44" applyFont="1" applyBorder="1" applyAlignment="1" applyProtection="1">
      <alignment horizontal="justify" vertical="top" wrapText="1"/>
      <protection locked="0"/>
    </xf>
    <xf numFmtId="0" fontId="19" fillId="0" borderId="52" xfId="44" applyFont="1" applyBorder="1" applyAlignment="1" applyProtection="1">
      <alignment horizontal="justify" vertical="top" wrapText="1"/>
      <protection locked="0"/>
    </xf>
    <xf numFmtId="0" fontId="3" fillId="0" borderId="0" xfId="44" applyFont="1" applyAlignment="1" applyProtection="1">
      <alignment horizontal="justify" vertical="center"/>
      <protection locked="0"/>
    </xf>
    <xf numFmtId="0" fontId="3" fillId="0" borderId="52" xfId="44" applyFont="1" applyBorder="1" applyAlignment="1" applyProtection="1">
      <alignment horizontal="left" vertical="center" wrapText="1"/>
      <protection locked="0"/>
    </xf>
    <xf numFmtId="0" fontId="3" fillId="0" borderId="0" xfId="44" applyFont="1" applyAlignment="1" applyProtection="1">
      <alignment horizontal="justify" vertical="center" wrapText="1"/>
      <protection locked="0"/>
    </xf>
    <xf numFmtId="0" fontId="19" fillId="0" borderId="43" xfId="44" applyFont="1" applyBorder="1" applyAlignment="1" applyProtection="1">
      <alignment horizontal="justify" vertical="center" wrapText="1"/>
      <protection locked="0"/>
    </xf>
    <xf numFmtId="0" fontId="19" fillId="0" borderId="52" xfId="44" applyFont="1" applyBorder="1" applyAlignment="1" applyProtection="1">
      <alignment horizontal="justify" vertical="center" wrapText="1"/>
      <protection locked="0"/>
    </xf>
    <xf numFmtId="0" fontId="2" fillId="0" borderId="19" xfId="0" applyFont="1" applyBorder="1" applyAlignment="1" applyProtection="1">
      <alignment horizontal="justify" vertical="center" wrapText="1"/>
      <protection locked="0"/>
    </xf>
    <xf numFmtId="0" fontId="18" fillId="3" borderId="29" xfId="44" applyFont="1" applyFill="1" applyBorder="1" applyAlignment="1" applyProtection="1">
      <alignment horizontal="right" vertical="center"/>
      <protection locked="0"/>
    </xf>
    <xf numFmtId="0" fontId="18" fillId="3" borderId="20" xfId="44" applyFont="1" applyFill="1" applyBorder="1" applyAlignment="1" applyProtection="1">
      <alignment horizontal="left" vertical="center"/>
      <protection locked="0"/>
    </xf>
    <xf numFmtId="0" fontId="18" fillId="3" borderId="8" xfId="44" applyFont="1" applyFill="1" applyBorder="1" applyAlignment="1" applyProtection="1">
      <alignment horizontal="right" vertical="center"/>
      <protection locked="0"/>
    </xf>
    <xf numFmtId="0" fontId="18" fillId="3" borderId="10" xfId="44" applyFont="1" applyFill="1" applyBorder="1" applyAlignment="1" applyProtection="1">
      <alignment horizontal="right" vertical="center"/>
      <protection locked="0"/>
    </xf>
    <xf numFmtId="0" fontId="18" fillId="0" borderId="57" xfId="44" applyFont="1" applyBorder="1" applyAlignment="1" applyProtection="1">
      <alignment horizontal="center" vertical="center"/>
      <protection locked="0"/>
    </xf>
    <xf numFmtId="0" fontId="20" fillId="0" borderId="19" xfId="37" applyFont="1" applyBorder="1" applyAlignment="1" applyProtection="1">
      <alignment horizontal="justify" vertical="center" wrapText="1"/>
      <protection locked="0"/>
    </xf>
    <xf numFmtId="0" fontId="18" fillId="11" borderId="9" xfId="37" applyFont="1" applyFill="1" applyBorder="1" applyAlignment="1" applyProtection="1">
      <alignment horizontal="center" vertical="center" wrapText="1"/>
      <protection locked="0"/>
    </xf>
    <xf numFmtId="0" fontId="20" fillId="2" borderId="8" xfId="44" applyFont="1" applyFill="1" applyBorder="1" applyAlignment="1" applyProtection="1">
      <alignment vertical="center"/>
      <protection locked="0"/>
    </xf>
    <xf numFmtId="0" fontId="20" fillId="0" borderId="9" xfId="44" applyFont="1" applyBorder="1" applyAlignment="1" applyProtection="1">
      <alignment horizontal="justify" vertical="center"/>
      <protection locked="0"/>
    </xf>
    <xf numFmtId="0" fontId="20" fillId="2" borderId="8" xfId="44" applyFont="1" applyFill="1" applyBorder="1" applyAlignment="1" applyProtection="1">
      <alignment vertical="center" wrapText="1"/>
      <protection locked="0"/>
    </xf>
    <xf numFmtId="0" fontId="20" fillId="2" borderId="10" xfId="44" applyFont="1" applyFill="1" applyBorder="1" applyAlignment="1" applyProtection="1">
      <alignment vertical="center" wrapText="1"/>
      <protection locked="0"/>
    </xf>
    <xf numFmtId="0" fontId="20" fillId="0" borderId="11" xfId="44" applyFont="1" applyBorder="1" applyAlignment="1" applyProtection="1">
      <alignment horizontal="justify" vertical="center"/>
      <protection locked="0"/>
    </xf>
    <xf numFmtId="0" fontId="19" fillId="0" borderId="12" xfId="44" applyFont="1" applyBorder="1" applyAlignment="1" applyProtection="1">
      <alignment horizontal="justify" vertical="center" wrapText="1"/>
      <protection locked="0"/>
    </xf>
    <xf numFmtId="0" fontId="3" fillId="0" borderId="52" xfId="44" applyFont="1" applyBorder="1" applyAlignment="1" applyProtection="1">
      <alignment horizontal="justify" vertical="center"/>
      <protection locked="0"/>
    </xf>
    <xf numFmtId="0" fontId="19" fillId="0" borderId="23" xfId="44" applyFont="1" applyBorder="1" applyAlignment="1" applyProtection="1">
      <alignment horizontal="left" vertical="center"/>
      <protection locked="0"/>
    </xf>
    <xf numFmtId="0" fontId="3" fillId="0" borderId="52" xfId="44" applyFont="1" applyBorder="1" applyAlignment="1" applyProtection="1">
      <alignment horizontal="left" vertical="center"/>
      <protection locked="0"/>
    </xf>
    <xf numFmtId="0" fontId="3" fillId="0" borderId="52" xfId="44" applyFont="1" applyBorder="1" applyAlignment="1" applyProtection="1">
      <alignment horizontal="justify" vertical="top" wrapText="1"/>
      <protection locked="0"/>
    </xf>
    <xf numFmtId="0" fontId="3" fillId="0" borderId="43" xfId="44" applyFont="1" applyBorder="1" applyAlignment="1" applyProtection="1">
      <alignment horizontal="left" vertical="center"/>
      <protection locked="0"/>
    </xf>
    <xf numFmtId="0" fontId="3" fillId="0" borderId="52" xfId="44" applyFont="1" applyBorder="1" applyAlignment="1" applyProtection="1">
      <alignment horizontal="left" wrapText="1"/>
      <protection locked="0"/>
    </xf>
    <xf numFmtId="0" fontId="3" fillId="0" borderId="0" xfId="44" applyFont="1" applyAlignment="1" applyProtection="1">
      <alignment horizontal="left" vertical="center"/>
      <protection locked="0"/>
    </xf>
    <xf numFmtId="0" fontId="35" fillId="0" borderId="43" xfId="44" applyFont="1" applyBorder="1" applyAlignment="1" applyProtection="1">
      <alignment horizontal="justify" vertical="top" wrapText="1"/>
      <protection locked="0"/>
    </xf>
    <xf numFmtId="0" fontId="19" fillId="0" borderId="23" xfId="44" applyFont="1" applyBorder="1" applyAlignment="1" applyProtection="1">
      <alignment horizontal="left" vertical="center" wrapText="1"/>
      <protection locked="0"/>
    </xf>
    <xf numFmtId="0" fontId="2" fillId="0" borderId="21" xfId="0" applyFont="1" applyBorder="1" applyAlignment="1">
      <alignment horizontal="justify" vertical="center" wrapText="1"/>
    </xf>
    <xf numFmtId="0" fontId="9" fillId="11" borderId="21" xfId="0" applyFont="1" applyFill="1" applyBorder="1" applyAlignment="1">
      <alignment horizontal="left"/>
    </xf>
    <xf numFmtId="0" fontId="2" fillId="0" borderId="21" xfId="0" applyFont="1" applyBorder="1" applyAlignment="1">
      <alignment horizontal="justify" vertical="top"/>
    </xf>
    <xf numFmtId="0" fontId="2" fillId="0" borderId="21" xfId="0" applyFont="1" applyBorder="1" applyAlignment="1">
      <alignment horizontal="justify" vertical="top" wrapText="1"/>
    </xf>
    <xf numFmtId="0" fontId="9" fillId="3" borderId="21" xfId="0" applyFont="1" applyFill="1" applyBorder="1" applyAlignment="1">
      <alignment horizontal="center" vertical="center" wrapText="1" readingOrder="1"/>
    </xf>
    <xf numFmtId="0" fontId="2" fillId="0" borderId="21" xfId="0" applyFont="1" applyBorder="1" applyAlignment="1">
      <alignment horizontal="justify" vertical="center" wrapText="1" readingOrder="1"/>
    </xf>
    <xf numFmtId="0" fontId="9" fillId="11" borderId="21" xfId="44" applyFont="1" applyFill="1" applyBorder="1" applyAlignment="1" applyProtection="1">
      <alignment horizontal="center" vertical="center"/>
      <protection locked="0"/>
    </xf>
    <xf numFmtId="0" fontId="19" fillId="11" borderId="35" xfId="44" applyFont="1" applyFill="1" applyBorder="1" applyAlignment="1" applyProtection="1">
      <alignment horizontal="center" vertical="center"/>
      <protection locked="0"/>
    </xf>
    <xf numFmtId="0" fontId="3" fillId="2" borderId="35" xfId="44" applyFont="1" applyFill="1" applyBorder="1" applyAlignment="1" applyProtection="1">
      <alignment horizontal="justify" vertical="top" wrapText="1"/>
      <protection locked="0"/>
    </xf>
    <xf numFmtId="0" fontId="19" fillId="2" borderId="58" xfId="44" applyFont="1" applyFill="1" applyBorder="1" applyAlignment="1" applyProtection="1">
      <alignment horizontal="justify" vertical="top" wrapText="1"/>
      <protection locked="0"/>
    </xf>
    <xf numFmtId="0" fontId="3" fillId="2" borderId="58" xfId="44" applyFont="1" applyFill="1" applyBorder="1" applyAlignment="1" applyProtection="1">
      <alignment horizontal="justify" vertical="top" wrapText="1"/>
      <protection locked="0"/>
    </xf>
    <xf numFmtId="0" fontId="3" fillId="2" borderId="32" xfId="44" applyFont="1" applyFill="1" applyBorder="1" applyAlignment="1" applyProtection="1">
      <alignment horizontal="justify" vertical="center" wrapText="1"/>
      <protection locked="0"/>
    </xf>
    <xf numFmtId="0" fontId="19" fillId="11" borderId="21" xfId="44" applyFont="1" applyFill="1" applyBorder="1" applyAlignment="1" applyProtection="1">
      <alignment horizontal="center" vertical="center" wrapText="1"/>
      <protection locked="0"/>
    </xf>
    <xf numFmtId="0" fontId="3" fillId="2" borderId="35" xfId="44" applyFont="1" applyFill="1" applyBorder="1" applyAlignment="1" applyProtection="1">
      <alignment horizontal="justify" wrapText="1"/>
      <protection locked="0"/>
    </xf>
    <xf numFmtId="0" fontId="3" fillId="2" borderId="32" xfId="44" applyFont="1" applyFill="1" applyBorder="1" applyAlignment="1" applyProtection="1">
      <alignment horizontal="justify" wrapText="1"/>
      <protection locked="0"/>
    </xf>
    <xf numFmtId="0" fontId="19" fillId="21" borderId="0" xfId="45" applyFont="1" applyFill="1" applyAlignment="1" applyProtection="1">
      <alignment horizontal="left" vertical="top" wrapText="1"/>
      <protection locked="0"/>
    </xf>
    <xf numFmtId="0" fontId="3" fillId="0" borderId="12" xfId="45" applyFont="1" applyBorder="1" applyAlignment="1" applyProtection="1">
      <alignment horizontal="justify" vertical="top" wrapText="1"/>
      <protection locked="0"/>
    </xf>
    <xf numFmtId="0" fontId="19" fillId="11" borderId="12" xfId="45" applyFont="1" applyFill="1" applyBorder="1" applyAlignment="1" applyProtection="1">
      <alignment horizontal="center"/>
      <protection locked="0"/>
    </xf>
    <xf numFmtId="180" fontId="19" fillId="3" borderId="12" xfId="15" applyNumberFormat="1" applyFont="1" applyFill="1" applyBorder="1" applyAlignment="1" applyProtection="1">
      <alignment horizontal="left" vertical="center"/>
    </xf>
    <xf numFmtId="0" fontId="19" fillId="17" borderId="17" xfId="32" applyFont="1" applyFill="1" applyBorder="1" applyAlignment="1" applyProtection="1">
      <alignment horizontal="center" vertical="center" wrapText="1"/>
      <protection locked="0"/>
    </xf>
    <xf numFmtId="0" fontId="3" fillId="3" borderId="9" xfId="32" applyFont="1" applyFill="1" applyBorder="1" applyAlignment="1" applyProtection="1">
      <alignment horizontal="center"/>
      <protection locked="0"/>
    </xf>
    <xf numFmtId="0" fontId="3" fillId="2" borderId="9" xfId="32" applyFont="1" applyFill="1" applyBorder="1" applyAlignment="1" applyProtection="1">
      <alignment horizontal="center"/>
      <protection locked="0"/>
    </xf>
    <xf numFmtId="0" fontId="3" fillId="2" borderId="9" xfId="32" applyFont="1" applyFill="1" applyBorder="1" applyAlignment="1" applyProtection="1">
      <alignment horizontal="left"/>
      <protection locked="0"/>
    </xf>
    <xf numFmtId="0" fontId="3" fillId="3" borderId="11" xfId="32" applyFont="1" applyFill="1" applyBorder="1" applyAlignment="1" applyProtection="1">
      <alignment horizontal="center"/>
      <protection locked="0"/>
    </xf>
    <xf numFmtId="0" fontId="37" fillId="0" borderId="12" xfId="32" applyFont="1" applyBorder="1" applyAlignment="1">
      <alignment horizontal="left" wrapText="1"/>
    </xf>
  </cellXfs>
  <cellStyles count="60">
    <cellStyle name="Hipervínculo" xfId="3" builtinId="8"/>
    <cellStyle name="Millares [0] 2" xfId="13" xr:uid="{00000000-0005-0000-0000-00000F000000}"/>
    <cellStyle name="Millares [0] 3" xfId="14" xr:uid="{00000000-0005-0000-0000-000010000000}"/>
    <cellStyle name="Millares 2" xfId="4" xr:uid="{00000000-0005-0000-0000-000006000000}"/>
    <cellStyle name="Millares 2 2" xfId="5" xr:uid="{00000000-0005-0000-0000-000007000000}"/>
    <cellStyle name="Millares 2 3" xfId="6" xr:uid="{00000000-0005-0000-0000-000008000000}"/>
    <cellStyle name="Millares 2 5 2" xfId="7" xr:uid="{00000000-0005-0000-0000-000009000000}"/>
    <cellStyle name="Millares 3" xfId="8" xr:uid="{00000000-0005-0000-0000-00000A000000}"/>
    <cellStyle name="Millares 3 2" xfId="9" xr:uid="{00000000-0005-0000-0000-00000B000000}"/>
    <cellStyle name="Millares 4" xfId="10" xr:uid="{00000000-0005-0000-0000-00000C000000}"/>
    <cellStyle name="Millares 4 2" xfId="11" xr:uid="{00000000-0005-0000-0000-00000D000000}"/>
    <cellStyle name="Millares 5" xfId="12" xr:uid="{00000000-0005-0000-0000-00000E000000}"/>
    <cellStyle name="Moneda" xfId="1" builtinId="4"/>
    <cellStyle name="Moneda [0] 2" xfId="21" xr:uid="{00000000-0005-0000-0000-000017000000}"/>
    <cellStyle name="Moneda [0] 3" xfId="22" xr:uid="{00000000-0005-0000-0000-000018000000}"/>
    <cellStyle name="Moneda [0] 3 2" xfId="23" xr:uid="{00000000-0005-0000-0000-000019000000}"/>
    <cellStyle name="Moneda [0] 4" xfId="24" xr:uid="{00000000-0005-0000-0000-00001A000000}"/>
    <cellStyle name="Moneda [0] 5" xfId="25" xr:uid="{00000000-0005-0000-0000-00001B000000}"/>
    <cellStyle name="Moneda [0] 6" xfId="26" xr:uid="{00000000-0005-0000-0000-00001C000000}"/>
    <cellStyle name="Moneda [0] 7" xfId="27" xr:uid="{00000000-0005-0000-0000-00001D000000}"/>
    <cellStyle name="Moneda 2" xfId="15" xr:uid="{00000000-0005-0000-0000-000011000000}"/>
    <cellStyle name="Moneda 3" xfId="16" xr:uid="{00000000-0005-0000-0000-000012000000}"/>
    <cellStyle name="Moneda 4" xfId="17" xr:uid="{00000000-0005-0000-0000-000013000000}"/>
    <cellStyle name="Moneda 5" xfId="18" xr:uid="{00000000-0005-0000-0000-000014000000}"/>
    <cellStyle name="Moneda 6" xfId="19" xr:uid="{00000000-0005-0000-0000-000015000000}"/>
    <cellStyle name="Moneda 7" xfId="20" xr:uid="{00000000-0005-0000-0000-000016000000}"/>
    <cellStyle name="Normal" xfId="0" builtinId="0"/>
    <cellStyle name="Normal 10" xfId="28" xr:uid="{00000000-0005-0000-0000-00001E000000}"/>
    <cellStyle name="Normal 10 2 2" xfId="29" xr:uid="{00000000-0005-0000-0000-00001F000000}"/>
    <cellStyle name="Normal 11" xfId="30" xr:uid="{00000000-0005-0000-0000-000020000000}"/>
    <cellStyle name="Normal 11 2" xfId="31" xr:uid="{00000000-0005-0000-0000-000021000000}"/>
    <cellStyle name="Normal 11 3" xfId="32" xr:uid="{00000000-0005-0000-0000-000022000000}"/>
    <cellStyle name="Normal 12" xfId="33" xr:uid="{00000000-0005-0000-0000-000023000000}"/>
    <cellStyle name="Normal 13" xfId="34" xr:uid="{00000000-0005-0000-0000-000024000000}"/>
    <cellStyle name="Normal 14" xfId="35" xr:uid="{00000000-0005-0000-0000-000025000000}"/>
    <cellStyle name="Normal 15" xfId="36" xr:uid="{00000000-0005-0000-0000-000026000000}"/>
    <cellStyle name="Normal 2" xfId="37" xr:uid="{00000000-0005-0000-0000-000027000000}"/>
    <cellStyle name="Normal 2 2" xfId="38" xr:uid="{00000000-0005-0000-0000-000028000000}"/>
    <cellStyle name="Normal 2 3" xfId="39" xr:uid="{00000000-0005-0000-0000-000029000000}"/>
    <cellStyle name="Normal 3" xfId="40" xr:uid="{00000000-0005-0000-0000-00002A000000}"/>
    <cellStyle name="Normal 4" xfId="41" xr:uid="{00000000-0005-0000-0000-00002B000000}"/>
    <cellStyle name="Normal 4 2" xfId="42" xr:uid="{00000000-0005-0000-0000-00002C000000}"/>
    <cellStyle name="Normal 5" xfId="43" xr:uid="{00000000-0005-0000-0000-00002D000000}"/>
    <cellStyle name="Normal 5 2" xfId="44" xr:uid="{00000000-0005-0000-0000-00002E000000}"/>
    <cellStyle name="Normal 5 3" xfId="45" xr:uid="{00000000-0005-0000-0000-00002F000000}"/>
    <cellStyle name="Normal 6" xfId="46" xr:uid="{00000000-0005-0000-0000-000030000000}"/>
    <cellStyle name="Normal 7" xfId="47" xr:uid="{00000000-0005-0000-0000-000031000000}"/>
    <cellStyle name="Normal 8" xfId="48" xr:uid="{00000000-0005-0000-0000-000032000000}"/>
    <cellStyle name="Normal 8 2" xfId="49" xr:uid="{00000000-0005-0000-0000-000033000000}"/>
    <cellStyle name="Normal 8 3" xfId="50" xr:uid="{00000000-0005-0000-0000-000034000000}"/>
    <cellStyle name="Normal 9" xfId="51" xr:uid="{00000000-0005-0000-0000-000035000000}"/>
    <cellStyle name="Porcentaje" xfId="2" builtinId="5"/>
    <cellStyle name="Porcentaje 2" xfId="52" xr:uid="{00000000-0005-0000-0000-000036000000}"/>
    <cellStyle name="Porcentaje 2 3" xfId="53" xr:uid="{00000000-0005-0000-0000-000037000000}"/>
    <cellStyle name="Porcentaje 3" xfId="54" xr:uid="{00000000-0005-0000-0000-000038000000}"/>
    <cellStyle name="Porcentaje 4" xfId="55" xr:uid="{00000000-0005-0000-0000-000039000000}"/>
    <cellStyle name="Porcentaje 4 2" xfId="56" xr:uid="{00000000-0005-0000-0000-00003A000000}"/>
    <cellStyle name="Porcentaje 4 3" xfId="57" xr:uid="{00000000-0005-0000-0000-00003B000000}"/>
    <cellStyle name="Porcentaje 5" xfId="58" xr:uid="{00000000-0005-0000-0000-00003C000000}"/>
    <cellStyle name="Porcentaje 6" xfId="59" xr:uid="{00000000-0005-0000-0000-00003D000000}"/>
  </cellStyles>
  <dxfs count="43">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FFFFCC"/>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F2F2F2"/>
      <rgbColor rgb="FF9C0006"/>
      <rgbColor rgb="FF006100"/>
      <rgbColor rgb="FF000080"/>
      <rgbColor rgb="FF808000"/>
      <rgbColor rgb="FF800080"/>
      <rgbColor rgb="FF008080"/>
      <rgbColor rgb="FFBFBFBF"/>
      <rgbColor rgb="FF595959"/>
      <rgbColor rgb="FF95B3D7"/>
      <rgbColor rgb="FF993366"/>
      <rgbColor rgb="FFFFFFCC"/>
      <rgbColor rgb="FFDBEEF4"/>
      <rgbColor rgb="FF660066"/>
      <rgbColor rgb="FFD99694"/>
      <rgbColor rgb="FF0070C0"/>
      <rgbColor rgb="FFCCC1DA"/>
      <rgbColor rgb="FF000080"/>
      <rgbColor rgb="FFFF00FF"/>
      <rgbColor rgb="FFEBF1DE"/>
      <rgbColor rgb="FF00FFFF"/>
      <rgbColor rgb="FF800080"/>
      <rgbColor rgb="FF800000"/>
      <rgbColor rgb="FF008080"/>
      <rgbColor rgb="FF0000FF"/>
      <rgbColor rgb="FF00CCFF"/>
      <rgbColor rgb="FFDCE6F2"/>
      <rgbColor rgb="FFC6EFCE"/>
      <rgbColor rgb="FFFDEADA"/>
      <rgbColor rgb="FF93CDDD"/>
      <rgbColor rgb="FFE6B9B8"/>
      <rgbColor rgb="FFB3A2C7"/>
      <rgbColor rgb="FFFFC7CE"/>
      <rgbColor rgb="FF3366FF"/>
      <rgbColor rgb="FFB7DEE8"/>
      <rgbColor rgb="FFD9D9D9"/>
      <rgbColor rgb="FFFFC000"/>
      <rgbColor rgb="FFF2DCDB"/>
      <rgbColor rgb="FFE46C0A"/>
      <rgbColor rgb="FF8064A2"/>
      <rgbColor rgb="FFA6A6A6"/>
      <rgbColor rgb="FF003366"/>
      <rgbColor rgb="FF339966"/>
      <rgbColor rgb="FF003300"/>
      <rgbColor rgb="FF333300"/>
      <rgbColor rgb="FF993300"/>
      <rgbColor rgb="FF993366"/>
      <rgbColor rgb="FF376092"/>
      <rgbColor rgb="FF26262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emf"/></Relationships>
</file>

<file path=xl/drawings/_rels/drawing26.xml.rels><?xml version="1.0" encoding="UTF-8" standalone="yes"?>
<Relationships xmlns="http://schemas.openxmlformats.org/package/2006/relationships"><Relationship Id="rId1" Type="http://schemas.openxmlformats.org/officeDocument/2006/relationships/image" Target="../media/image1.emf"/></Relationships>
</file>

<file path=xl/drawings/_rels/drawing27.xml.rels><?xml version="1.0" encoding="UTF-8" standalone="yes"?>
<Relationships xmlns="http://schemas.openxmlformats.org/package/2006/relationships"><Relationship Id="rId1" Type="http://schemas.openxmlformats.org/officeDocument/2006/relationships/image" Target="../media/image1.emf"/></Relationships>
</file>

<file path=xl/drawings/_rels/drawing28.xml.rels><?xml version="1.0" encoding="UTF-8" standalone="yes"?>
<Relationships xmlns="http://schemas.openxmlformats.org/package/2006/relationships"><Relationship Id="rId1" Type="http://schemas.openxmlformats.org/officeDocument/2006/relationships/image" Target="../media/image1.emf"/></Relationships>
</file>

<file path=xl/drawings/_rels/drawing29.xml.rels><?xml version="1.0" encoding="UTF-8" standalone="yes"?>
<Relationships xmlns="http://schemas.openxmlformats.org/package/2006/relationships"><Relationship Id="rId1" Type="http://schemas.openxmlformats.org/officeDocument/2006/relationships/image" Target="../media/image1.emf"/></Relationships>
</file>

<file path=xl/drawings/_rels/drawing30.xml.rels><?xml version="1.0" encoding="UTF-8" standalone="yes"?>
<Relationships xmlns="http://schemas.openxmlformats.org/package/2006/relationships"><Relationship Id="rId1" Type="http://schemas.openxmlformats.org/officeDocument/2006/relationships/image" Target="../media/image1.emf"/></Relationships>
</file>

<file path=xl/drawings/_rels/drawing3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_rels/drawing34.xml.rels><?xml version="1.0" encoding="UTF-8" standalone="yes"?>
<Relationships xmlns="http://schemas.openxmlformats.org/package/2006/relationships"><Relationship Id="rId1" Type="http://schemas.openxmlformats.org/officeDocument/2006/relationships/image" Target="../media/image1.emf"/></Relationships>
</file>

<file path=xl/drawings/_rels/drawing35.xml.rels><?xml version="1.0" encoding="UTF-8" standalone="yes"?>
<Relationships xmlns="http://schemas.openxmlformats.org/package/2006/relationships"><Relationship Id="rId1" Type="http://schemas.openxmlformats.org/officeDocument/2006/relationships/image" Target="../media/image1.emf"/></Relationships>
</file>

<file path=xl/drawings/_rels/drawing3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123840</xdr:colOff>
      <xdr:row>0</xdr:row>
      <xdr:rowOff>0</xdr:rowOff>
    </xdr:from>
    <xdr:to>
      <xdr:col>1</xdr:col>
      <xdr:colOff>94320</xdr:colOff>
      <xdr:row>1</xdr:row>
      <xdr:rowOff>180720</xdr:rowOff>
    </xdr:to>
    <xdr:pic>
      <xdr:nvPicPr>
        <xdr:cNvPr id="2" name="Imagen 2" descr="Logo Corantioquia">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r="46055"/>
        <a:stretch/>
      </xdr:blipFill>
      <xdr:spPr>
        <a:xfrm>
          <a:off x="123840" y="0"/>
          <a:ext cx="837720" cy="67608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78480</xdr:colOff>
      <xdr:row>0</xdr:row>
      <xdr:rowOff>0</xdr:rowOff>
    </xdr:from>
    <xdr:to>
      <xdr:col>0</xdr:col>
      <xdr:colOff>995760</xdr:colOff>
      <xdr:row>1</xdr:row>
      <xdr:rowOff>130320</xdr:rowOff>
    </xdr:to>
    <xdr:pic>
      <xdr:nvPicPr>
        <xdr:cNvPr id="2" name="Imagen 2" descr="Logo Corantioquia">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r="41653"/>
        <a:stretch/>
      </xdr:blipFill>
      <xdr:spPr>
        <a:xfrm>
          <a:off x="78480" y="0"/>
          <a:ext cx="917280" cy="625680"/>
        </a:xfrm>
        <a:prstGeom prst="rect">
          <a:avLst/>
        </a:prstGeom>
        <a:noFill/>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987120</xdr:colOff>
      <xdr:row>1</xdr:row>
      <xdr:rowOff>141480</xdr:rowOff>
    </xdr:to>
    <xdr:pic>
      <xdr:nvPicPr>
        <xdr:cNvPr id="3" name="Imagen 2" descr="Logo Corantioquia">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a:srcRect r="45203"/>
        <a:stretch/>
      </xdr:blipFill>
      <xdr:spPr>
        <a:xfrm>
          <a:off x="0" y="0"/>
          <a:ext cx="987120" cy="636840"/>
        </a:xfrm>
        <a:prstGeom prst="rect">
          <a:avLst/>
        </a:prstGeom>
        <a:noFill/>
        <a:ln w="0">
          <a:noFill/>
        </a:ln>
      </xdr:spPr>
    </xdr:pic>
    <xdr:clientData/>
  </xdr:twoCellAnchor>
  <xdr:twoCellAnchor editAs="oneCell">
    <xdr:from>
      <xdr:col>5</xdr:col>
      <xdr:colOff>1053360</xdr:colOff>
      <xdr:row>40</xdr:row>
      <xdr:rowOff>111960</xdr:rowOff>
    </xdr:from>
    <xdr:to>
      <xdr:col>7</xdr:col>
      <xdr:colOff>135360</xdr:colOff>
      <xdr:row>45</xdr:row>
      <xdr:rowOff>16560</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a:stretch/>
      </xdr:blipFill>
      <xdr:spPr>
        <a:xfrm>
          <a:off x="8883720" y="11217960"/>
          <a:ext cx="1981080" cy="1047600"/>
        </a:xfrm>
        <a:prstGeom prst="rect">
          <a:avLst/>
        </a:prstGeom>
        <a:noFill/>
        <a:ln w="0">
          <a:noFill/>
        </a:ln>
      </xdr:spPr>
    </xdr:pic>
    <xdr:clientData/>
  </xdr:twoCellAnchor>
  <xdr:twoCellAnchor editAs="oneCell">
    <xdr:from>
      <xdr:col>1</xdr:col>
      <xdr:colOff>481680</xdr:colOff>
      <xdr:row>41</xdr:row>
      <xdr:rowOff>134640</xdr:rowOff>
    </xdr:from>
    <xdr:to>
      <xdr:col>2</xdr:col>
      <xdr:colOff>588960</xdr:colOff>
      <xdr:row>45</xdr:row>
      <xdr:rowOff>138240</xdr:rowOff>
    </xdr:to>
    <xdr:pic>
      <xdr:nvPicPr>
        <xdr:cNvPr id="5" name="Imagen 2">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a:stretch/>
      </xdr:blipFill>
      <xdr:spPr>
        <a:xfrm>
          <a:off x="2396880" y="11469240"/>
          <a:ext cx="1736640" cy="918000"/>
        </a:xfrm>
        <a:prstGeom prst="rect">
          <a:avLst/>
        </a:prstGeom>
        <a:noFill/>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919440</xdr:colOff>
      <xdr:row>1</xdr:row>
      <xdr:rowOff>104400</xdr:rowOff>
    </xdr:to>
    <xdr:pic>
      <xdr:nvPicPr>
        <xdr:cNvPr id="6" name="Imagen 2" descr="Logo Corantioquia">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1"/>
        <a:srcRect r="42712"/>
        <a:stretch/>
      </xdr:blipFill>
      <xdr:spPr>
        <a:xfrm>
          <a:off x="0" y="0"/>
          <a:ext cx="919440" cy="599760"/>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793080</xdr:colOff>
      <xdr:row>1</xdr:row>
      <xdr:rowOff>66240</xdr:rowOff>
    </xdr:to>
    <xdr:pic>
      <xdr:nvPicPr>
        <xdr:cNvPr id="7" name="Imagen 2" descr="Logo Corantioquia">
          <a:extLst>
            <a:ext uri="{FF2B5EF4-FFF2-40B4-BE49-F238E27FC236}">
              <a16:creationId xmlns:a16="http://schemas.microsoft.com/office/drawing/2014/main" id="{00000000-0008-0000-0400-000007000000}"/>
            </a:ext>
          </a:extLst>
        </xdr:cNvPr>
        <xdr:cNvPicPr/>
      </xdr:nvPicPr>
      <xdr:blipFill>
        <a:blip xmlns:r="http://schemas.openxmlformats.org/officeDocument/2006/relationships" r:embed="rId1"/>
        <a:srcRect r="43106"/>
        <a:stretch/>
      </xdr:blipFill>
      <xdr:spPr>
        <a:xfrm>
          <a:off x="0" y="0"/>
          <a:ext cx="793080" cy="561600"/>
        </a:xfrm>
        <a:prstGeom prst="rect">
          <a:avLst/>
        </a:prstGeom>
        <a:noFill/>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844920</xdr:colOff>
      <xdr:row>1</xdr:row>
      <xdr:rowOff>111600</xdr:rowOff>
    </xdr:to>
    <xdr:pic>
      <xdr:nvPicPr>
        <xdr:cNvPr id="8" name="Imagen 2" descr="Logo Corantioquia">
          <a:extLst>
            <a:ext uri="{FF2B5EF4-FFF2-40B4-BE49-F238E27FC236}">
              <a16:creationId xmlns:a16="http://schemas.microsoft.com/office/drawing/2014/main" id="{00000000-0008-0000-0500-000008000000}"/>
            </a:ext>
          </a:extLst>
        </xdr:cNvPr>
        <xdr:cNvPicPr/>
      </xdr:nvPicPr>
      <xdr:blipFill>
        <a:blip xmlns:r="http://schemas.openxmlformats.org/officeDocument/2006/relationships" r:embed="rId1"/>
        <a:srcRect r="43335"/>
        <a:stretch/>
      </xdr:blipFill>
      <xdr:spPr>
        <a:xfrm>
          <a:off x="0" y="0"/>
          <a:ext cx="844920" cy="606960"/>
        </a:xfrm>
        <a:prstGeom prst="rect">
          <a:avLst/>
        </a:prstGeom>
        <a:noFill/>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838800</xdr:colOff>
      <xdr:row>1</xdr:row>
      <xdr:rowOff>47160</xdr:rowOff>
    </xdr:to>
    <xdr:pic>
      <xdr:nvPicPr>
        <xdr:cNvPr id="9" name="Imagen 2" descr="Logo Corantioquia">
          <a:extLst>
            <a:ext uri="{FF2B5EF4-FFF2-40B4-BE49-F238E27FC236}">
              <a16:creationId xmlns:a16="http://schemas.microsoft.com/office/drawing/2014/main" id="{00000000-0008-0000-0600-000009000000}"/>
            </a:ext>
          </a:extLst>
        </xdr:cNvPr>
        <xdr:cNvPicPr/>
      </xdr:nvPicPr>
      <xdr:blipFill>
        <a:blip xmlns:r="http://schemas.openxmlformats.org/officeDocument/2006/relationships" r:embed="rId1"/>
        <a:srcRect r="43335"/>
        <a:stretch/>
      </xdr:blipFill>
      <xdr:spPr>
        <a:xfrm>
          <a:off x="0" y="0"/>
          <a:ext cx="838800" cy="542520"/>
        </a:xfrm>
        <a:prstGeom prst="rect">
          <a:avLst/>
        </a:prstGeom>
        <a:noFill/>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1030680</xdr:colOff>
      <xdr:row>1</xdr:row>
      <xdr:rowOff>192240</xdr:rowOff>
    </xdr:to>
    <xdr:pic>
      <xdr:nvPicPr>
        <xdr:cNvPr id="10" name="Imagen 1" descr="Logo Corantioquia">
          <a:extLst>
            <a:ext uri="{FF2B5EF4-FFF2-40B4-BE49-F238E27FC236}">
              <a16:creationId xmlns:a16="http://schemas.microsoft.com/office/drawing/2014/main" id="{00000000-0008-0000-0700-00000A000000}"/>
            </a:ext>
          </a:extLst>
        </xdr:cNvPr>
        <xdr:cNvPicPr/>
      </xdr:nvPicPr>
      <xdr:blipFill>
        <a:blip xmlns:r="http://schemas.openxmlformats.org/officeDocument/2006/relationships" r:embed="rId1"/>
        <a:srcRect r="43335"/>
        <a:stretch/>
      </xdr:blipFill>
      <xdr:spPr>
        <a:xfrm>
          <a:off x="0" y="0"/>
          <a:ext cx="1030680" cy="687600"/>
        </a:xfrm>
        <a:prstGeom prst="rect">
          <a:avLst/>
        </a:prstGeom>
        <a:noFill/>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994320</xdr:colOff>
      <xdr:row>1</xdr:row>
      <xdr:rowOff>186120</xdr:rowOff>
    </xdr:to>
    <xdr:pic>
      <xdr:nvPicPr>
        <xdr:cNvPr id="11" name="Imagen 2" descr="Logo Corantioquia">
          <a:extLst>
            <a:ext uri="{FF2B5EF4-FFF2-40B4-BE49-F238E27FC236}">
              <a16:creationId xmlns:a16="http://schemas.microsoft.com/office/drawing/2014/main" id="{00000000-0008-0000-0800-00000B000000}"/>
            </a:ext>
          </a:extLst>
        </xdr:cNvPr>
        <xdr:cNvPicPr/>
      </xdr:nvPicPr>
      <xdr:blipFill>
        <a:blip xmlns:r="http://schemas.openxmlformats.org/officeDocument/2006/relationships" r:embed="rId1"/>
        <a:srcRect r="41944"/>
        <a:stretch/>
      </xdr:blipFill>
      <xdr:spPr>
        <a:xfrm>
          <a:off x="0" y="0"/>
          <a:ext cx="994320" cy="681480"/>
        </a:xfrm>
        <a:prstGeom prst="rect">
          <a:avLst/>
        </a:prstGeom>
        <a:noFill/>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914040</xdr:colOff>
      <xdr:row>1</xdr:row>
      <xdr:rowOff>189000</xdr:rowOff>
    </xdr:to>
    <xdr:pic>
      <xdr:nvPicPr>
        <xdr:cNvPr id="12" name="Imagen 2" descr="Logo Corantioquia">
          <a:extLst>
            <a:ext uri="{FF2B5EF4-FFF2-40B4-BE49-F238E27FC236}">
              <a16:creationId xmlns:a16="http://schemas.microsoft.com/office/drawing/2014/main" id="{00000000-0008-0000-0900-00000C000000}"/>
            </a:ext>
          </a:extLst>
        </xdr:cNvPr>
        <xdr:cNvPicPr/>
      </xdr:nvPicPr>
      <xdr:blipFill>
        <a:blip xmlns:r="http://schemas.openxmlformats.org/officeDocument/2006/relationships" r:embed="rId1"/>
        <a:srcRect r="46636"/>
        <a:stretch/>
      </xdr:blipFill>
      <xdr:spPr>
        <a:xfrm>
          <a:off x="0" y="0"/>
          <a:ext cx="914040" cy="684360"/>
        </a:xfrm>
        <a:prstGeom prst="rect">
          <a:avLst/>
        </a:prstGeom>
        <a:noFill/>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904680</xdr:colOff>
      <xdr:row>1</xdr:row>
      <xdr:rowOff>147600</xdr:rowOff>
    </xdr:to>
    <xdr:pic>
      <xdr:nvPicPr>
        <xdr:cNvPr id="13" name="Imagen 1" descr="Logo Corantioquia">
          <a:extLst>
            <a:ext uri="{FF2B5EF4-FFF2-40B4-BE49-F238E27FC236}">
              <a16:creationId xmlns:a16="http://schemas.microsoft.com/office/drawing/2014/main" id="{00000000-0008-0000-0A00-00000D000000}"/>
            </a:ext>
          </a:extLst>
        </xdr:cNvPr>
        <xdr:cNvPicPr/>
      </xdr:nvPicPr>
      <xdr:blipFill>
        <a:blip xmlns:r="http://schemas.openxmlformats.org/officeDocument/2006/relationships" r:embed="rId1"/>
        <a:srcRect r="45349"/>
        <a:stretch/>
      </xdr:blipFill>
      <xdr:spPr>
        <a:xfrm>
          <a:off x="0" y="0"/>
          <a:ext cx="904680" cy="642960"/>
        </a:xfrm>
        <a:prstGeom prst="rect">
          <a:avLst/>
        </a:prstGeom>
        <a:noFill/>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923400</xdr:colOff>
      <xdr:row>1</xdr:row>
      <xdr:rowOff>204120</xdr:rowOff>
    </xdr:to>
    <xdr:pic>
      <xdr:nvPicPr>
        <xdr:cNvPr id="14" name="Imagen 2" descr="Logo Corantioquia">
          <a:extLst>
            <a:ext uri="{FF2B5EF4-FFF2-40B4-BE49-F238E27FC236}">
              <a16:creationId xmlns:a16="http://schemas.microsoft.com/office/drawing/2014/main" id="{00000000-0008-0000-0C00-00000E000000}"/>
            </a:ext>
          </a:extLst>
        </xdr:cNvPr>
        <xdr:cNvPicPr/>
      </xdr:nvPicPr>
      <xdr:blipFill>
        <a:blip xmlns:r="http://schemas.openxmlformats.org/officeDocument/2006/relationships" r:embed="rId1"/>
        <a:srcRect r="46076"/>
        <a:stretch/>
      </xdr:blipFill>
      <xdr:spPr>
        <a:xfrm>
          <a:off x="0" y="0"/>
          <a:ext cx="923400" cy="699480"/>
        </a:xfrm>
        <a:prstGeom prst="rect">
          <a:avLst/>
        </a:prstGeom>
        <a:noFill/>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933120</xdr:colOff>
      <xdr:row>1</xdr:row>
      <xdr:rowOff>152280</xdr:rowOff>
    </xdr:to>
    <xdr:pic>
      <xdr:nvPicPr>
        <xdr:cNvPr id="15" name="Imagen 2" descr="Logo Corantioquia">
          <a:extLst>
            <a:ext uri="{FF2B5EF4-FFF2-40B4-BE49-F238E27FC236}">
              <a16:creationId xmlns:a16="http://schemas.microsoft.com/office/drawing/2014/main" id="{00000000-0008-0000-0D00-00000F000000}"/>
            </a:ext>
          </a:extLst>
        </xdr:cNvPr>
        <xdr:cNvPicPr/>
      </xdr:nvPicPr>
      <xdr:blipFill>
        <a:blip xmlns:r="http://schemas.openxmlformats.org/officeDocument/2006/relationships" r:embed="rId1"/>
        <a:srcRect r="42006"/>
        <a:stretch/>
      </xdr:blipFill>
      <xdr:spPr>
        <a:xfrm>
          <a:off x="0" y="0"/>
          <a:ext cx="933120" cy="647640"/>
        </a:xfrm>
        <a:prstGeom prst="rect">
          <a:avLst/>
        </a:prstGeom>
        <a:noFill/>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912960</xdr:colOff>
      <xdr:row>1</xdr:row>
      <xdr:rowOff>174600</xdr:rowOff>
    </xdr:to>
    <xdr:pic>
      <xdr:nvPicPr>
        <xdr:cNvPr id="16" name="Imagen 2" descr="Logo Corantioquia">
          <a:extLst>
            <a:ext uri="{FF2B5EF4-FFF2-40B4-BE49-F238E27FC236}">
              <a16:creationId xmlns:a16="http://schemas.microsoft.com/office/drawing/2014/main" id="{00000000-0008-0000-0E00-000010000000}"/>
            </a:ext>
          </a:extLst>
        </xdr:cNvPr>
        <xdr:cNvPicPr/>
      </xdr:nvPicPr>
      <xdr:blipFill>
        <a:blip xmlns:r="http://schemas.openxmlformats.org/officeDocument/2006/relationships" r:embed="rId1"/>
        <a:srcRect r="46657"/>
        <a:stretch/>
      </xdr:blipFill>
      <xdr:spPr>
        <a:xfrm>
          <a:off x="0" y="0"/>
          <a:ext cx="912960" cy="669960"/>
        </a:xfrm>
        <a:prstGeom prst="rect">
          <a:avLst/>
        </a:prstGeom>
        <a:noFill/>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1028520</xdr:colOff>
      <xdr:row>1</xdr:row>
      <xdr:rowOff>225720</xdr:rowOff>
    </xdr:to>
    <xdr:pic>
      <xdr:nvPicPr>
        <xdr:cNvPr id="17" name="Imagen 2" descr="Logo Corantioquia">
          <a:extLst>
            <a:ext uri="{FF2B5EF4-FFF2-40B4-BE49-F238E27FC236}">
              <a16:creationId xmlns:a16="http://schemas.microsoft.com/office/drawing/2014/main" id="{00000000-0008-0000-0F00-000011000000}"/>
            </a:ext>
          </a:extLst>
        </xdr:cNvPr>
        <xdr:cNvPicPr/>
      </xdr:nvPicPr>
      <xdr:blipFill>
        <a:blip xmlns:r="http://schemas.openxmlformats.org/officeDocument/2006/relationships" r:embed="rId1"/>
        <a:srcRect r="42546"/>
        <a:stretch/>
      </xdr:blipFill>
      <xdr:spPr>
        <a:xfrm>
          <a:off x="0" y="0"/>
          <a:ext cx="1028520" cy="721080"/>
        </a:xfrm>
        <a:prstGeom prst="rect">
          <a:avLst/>
        </a:prstGeom>
        <a:noFill/>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947160</xdr:colOff>
      <xdr:row>1</xdr:row>
      <xdr:rowOff>200520</xdr:rowOff>
    </xdr:to>
    <xdr:pic>
      <xdr:nvPicPr>
        <xdr:cNvPr id="18" name="Imagen 2" descr="Logo Corantioquia">
          <a:extLst>
            <a:ext uri="{FF2B5EF4-FFF2-40B4-BE49-F238E27FC236}">
              <a16:creationId xmlns:a16="http://schemas.microsoft.com/office/drawing/2014/main" id="{00000000-0008-0000-1000-000012000000}"/>
            </a:ext>
          </a:extLst>
        </xdr:cNvPr>
        <xdr:cNvPicPr/>
      </xdr:nvPicPr>
      <xdr:blipFill>
        <a:blip xmlns:r="http://schemas.openxmlformats.org/officeDocument/2006/relationships" r:embed="rId1"/>
        <a:srcRect r="45993"/>
        <a:stretch/>
      </xdr:blipFill>
      <xdr:spPr>
        <a:xfrm>
          <a:off x="0" y="0"/>
          <a:ext cx="947160" cy="695880"/>
        </a:xfrm>
        <a:prstGeom prst="rect">
          <a:avLst/>
        </a:prstGeom>
        <a:noFill/>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9</xdr:row>
      <xdr:rowOff>37800</xdr:rowOff>
    </xdr:from>
    <xdr:to>
      <xdr:col>0</xdr:col>
      <xdr:colOff>1957680</xdr:colOff>
      <xdr:row>9</xdr:row>
      <xdr:rowOff>628560</xdr:rowOff>
    </xdr:to>
    <xdr:cxnSp macro="">
      <xdr:nvCxnSpPr>
        <xdr:cNvPr id="19" name="1 Conector recto">
          <a:extLst>
            <a:ext uri="{FF2B5EF4-FFF2-40B4-BE49-F238E27FC236}">
              <a16:creationId xmlns:a16="http://schemas.microsoft.com/office/drawing/2014/main" id="{00000000-0008-0000-1100-000013000000}"/>
            </a:ext>
          </a:extLst>
        </xdr:cNvPr>
        <xdr:cNvCxnSpPr/>
      </xdr:nvCxnSpPr>
      <xdr:spPr>
        <a:xfrm flipV="1">
          <a:off x="0" y="3057120"/>
          <a:ext cx="1958040" cy="591120"/>
        </a:xfrm>
        <a:prstGeom prst="straightConnector1">
          <a:avLst/>
        </a:prstGeom>
        <a:ln w="25400">
          <a:solidFill>
            <a:srgbClr val="000000"/>
          </a:solidFill>
          <a:round/>
        </a:ln>
      </xdr:spPr>
    </xdr:cxnSp>
    <xdr:clientData/>
  </xdr:twoCellAnchor>
  <xdr:twoCellAnchor editAs="oneCell">
    <xdr:from>
      <xdr:col>0</xdr:col>
      <xdr:colOff>40320</xdr:colOff>
      <xdr:row>0</xdr:row>
      <xdr:rowOff>0</xdr:rowOff>
    </xdr:from>
    <xdr:to>
      <xdr:col>0</xdr:col>
      <xdr:colOff>1005120</xdr:colOff>
      <xdr:row>1</xdr:row>
      <xdr:rowOff>195480</xdr:rowOff>
    </xdr:to>
    <xdr:pic>
      <xdr:nvPicPr>
        <xdr:cNvPr id="20" name="Imagen 2" descr="Logo Corantioquia">
          <a:extLst>
            <a:ext uri="{FF2B5EF4-FFF2-40B4-BE49-F238E27FC236}">
              <a16:creationId xmlns:a16="http://schemas.microsoft.com/office/drawing/2014/main" id="{00000000-0008-0000-1100-000014000000}"/>
            </a:ext>
          </a:extLst>
        </xdr:cNvPr>
        <xdr:cNvPicPr/>
      </xdr:nvPicPr>
      <xdr:blipFill>
        <a:blip xmlns:r="http://schemas.openxmlformats.org/officeDocument/2006/relationships" r:embed="rId1"/>
        <a:srcRect r="43854"/>
        <a:stretch/>
      </xdr:blipFill>
      <xdr:spPr>
        <a:xfrm>
          <a:off x="40320" y="0"/>
          <a:ext cx="964800" cy="690840"/>
        </a:xfrm>
        <a:prstGeom prst="rect">
          <a:avLst/>
        </a:prstGeom>
        <a:noFill/>
        <a:ln w="0">
          <a:noFill/>
        </a:ln>
      </xdr:spPr>
    </xdr:pic>
    <xdr:clientData/>
  </xdr:twoCellAnchor>
  <xdr:twoCellAnchor>
    <xdr:from>
      <xdr:col>0</xdr:col>
      <xdr:colOff>0</xdr:colOff>
      <xdr:row>17</xdr:row>
      <xdr:rowOff>37800</xdr:rowOff>
    </xdr:from>
    <xdr:to>
      <xdr:col>0</xdr:col>
      <xdr:colOff>1957680</xdr:colOff>
      <xdr:row>17</xdr:row>
      <xdr:rowOff>628560</xdr:rowOff>
    </xdr:to>
    <xdr:cxnSp macro="">
      <xdr:nvCxnSpPr>
        <xdr:cNvPr id="21" name="1 Conector recto">
          <a:extLst>
            <a:ext uri="{FF2B5EF4-FFF2-40B4-BE49-F238E27FC236}">
              <a16:creationId xmlns:a16="http://schemas.microsoft.com/office/drawing/2014/main" id="{00000000-0008-0000-1100-000015000000}"/>
            </a:ext>
            <a:ext uri="{C183D7F6-B498-43B3-948B-1728B52AA6E4}">
              <adec:decorative xmlns:adec="http://schemas.microsoft.com/office/drawing/2017/decorative" val="1"/>
            </a:ext>
          </a:extLst>
        </xdr:cNvPr>
        <xdr:cNvCxnSpPr/>
      </xdr:nvCxnSpPr>
      <xdr:spPr>
        <a:xfrm flipV="1">
          <a:off x="0" y="7095960"/>
          <a:ext cx="1958040" cy="591120"/>
        </a:xfrm>
        <a:prstGeom prst="straightConnector1">
          <a:avLst/>
        </a:prstGeom>
        <a:ln w="25400">
          <a:solidFill>
            <a:srgbClr val="000000"/>
          </a:solidFill>
          <a:round/>
        </a:ln>
      </xdr:spPr>
    </xdr:cxn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980640</xdr:colOff>
      <xdr:row>1</xdr:row>
      <xdr:rowOff>173520</xdr:rowOff>
    </xdr:to>
    <xdr:pic>
      <xdr:nvPicPr>
        <xdr:cNvPr id="22" name="Imagen 2" descr="Logo Corantioquia">
          <a:extLst>
            <a:ext uri="{FF2B5EF4-FFF2-40B4-BE49-F238E27FC236}">
              <a16:creationId xmlns:a16="http://schemas.microsoft.com/office/drawing/2014/main" id="{00000000-0008-0000-1200-000016000000}"/>
            </a:ext>
          </a:extLst>
        </xdr:cNvPr>
        <xdr:cNvPicPr/>
      </xdr:nvPicPr>
      <xdr:blipFill>
        <a:blip xmlns:r="http://schemas.openxmlformats.org/officeDocument/2006/relationships" r:embed="rId1"/>
        <a:srcRect r="44186"/>
        <a:stretch/>
      </xdr:blipFill>
      <xdr:spPr>
        <a:xfrm>
          <a:off x="0" y="0"/>
          <a:ext cx="980640" cy="668880"/>
        </a:xfrm>
        <a:prstGeom prst="rect">
          <a:avLst/>
        </a:prstGeom>
        <a:noFill/>
        <a:ln w="0">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894960</xdr:colOff>
      <xdr:row>1</xdr:row>
      <xdr:rowOff>167400</xdr:rowOff>
    </xdr:to>
    <xdr:pic>
      <xdr:nvPicPr>
        <xdr:cNvPr id="23" name="Imagen 2" descr="Logo Corantioquia">
          <a:extLst>
            <a:ext uri="{FF2B5EF4-FFF2-40B4-BE49-F238E27FC236}">
              <a16:creationId xmlns:a16="http://schemas.microsoft.com/office/drawing/2014/main" id="{00000000-0008-0000-1300-000017000000}"/>
            </a:ext>
          </a:extLst>
        </xdr:cNvPr>
        <xdr:cNvPicPr/>
      </xdr:nvPicPr>
      <xdr:blipFill>
        <a:blip xmlns:r="http://schemas.openxmlformats.org/officeDocument/2006/relationships" r:embed="rId1"/>
        <a:srcRect r="44850"/>
        <a:stretch/>
      </xdr:blipFill>
      <xdr:spPr>
        <a:xfrm>
          <a:off x="0" y="0"/>
          <a:ext cx="894960" cy="662760"/>
        </a:xfrm>
        <a:prstGeom prst="rect">
          <a:avLst/>
        </a:prstGeom>
        <a:noFill/>
        <a:ln w="0">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207360</xdr:colOff>
      <xdr:row>1</xdr:row>
      <xdr:rowOff>161640</xdr:rowOff>
    </xdr:to>
    <xdr:pic>
      <xdr:nvPicPr>
        <xdr:cNvPr id="24" name="Imagen 2" descr="Logo Corantioquia">
          <a:extLst>
            <a:ext uri="{FF2B5EF4-FFF2-40B4-BE49-F238E27FC236}">
              <a16:creationId xmlns:a16="http://schemas.microsoft.com/office/drawing/2014/main" id="{00000000-0008-0000-1400-000018000000}"/>
            </a:ext>
          </a:extLst>
        </xdr:cNvPr>
        <xdr:cNvPicPr/>
      </xdr:nvPicPr>
      <xdr:blipFill>
        <a:blip xmlns:r="http://schemas.openxmlformats.org/officeDocument/2006/relationships" r:embed="rId1"/>
        <a:srcRect r="44373"/>
        <a:stretch/>
      </xdr:blipFill>
      <xdr:spPr>
        <a:xfrm>
          <a:off x="0" y="0"/>
          <a:ext cx="894960" cy="657000"/>
        </a:xfrm>
        <a:prstGeom prst="rect">
          <a:avLst/>
        </a:prstGeom>
        <a:noFill/>
        <a:ln w="0">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178920</xdr:colOff>
      <xdr:row>1</xdr:row>
      <xdr:rowOff>161640</xdr:rowOff>
    </xdr:to>
    <xdr:pic>
      <xdr:nvPicPr>
        <xdr:cNvPr id="25" name="Imagen 2" descr="Logo Corantioquia">
          <a:extLst>
            <a:ext uri="{FF2B5EF4-FFF2-40B4-BE49-F238E27FC236}">
              <a16:creationId xmlns:a16="http://schemas.microsoft.com/office/drawing/2014/main" id="{00000000-0008-0000-1500-000019000000}"/>
            </a:ext>
          </a:extLst>
        </xdr:cNvPr>
        <xdr:cNvPicPr/>
      </xdr:nvPicPr>
      <xdr:blipFill>
        <a:blip xmlns:r="http://schemas.openxmlformats.org/officeDocument/2006/relationships" r:embed="rId1"/>
        <a:srcRect r="46159"/>
        <a:stretch/>
      </xdr:blipFill>
      <xdr:spPr>
        <a:xfrm>
          <a:off x="0" y="0"/>
          <a:ext cx="866520" cy="657000"/>
        </a:xfrm>
        <a:prstGeom prst="rect">
          <a:avLst/>
        </a:prstGeom>
        <a:noFill/>
        <a:ln w="0">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990360</xdr:colOff>
      <xdr:row>1</xdr:row>
      <xdr:rowOff>161640</xdr:rowOff>
    </xdr:to>
    <xdr:pic>
      <xdr:nvPicPr>
        <xdr:cNvPr id="26" name="Imagen 1" descr="Logo Corantioquia">
          <a:extLst>
            <a:ext uri="{FF2B5EF4-FFF2-40B4-BE49-F238E27FC236}">
              <a16:creationId xmlns:a16="http://schemas.microsoft.com/office/drawing/2014/main" id="{00000000-0008-0000-1600-00001A000000}"/>
            </a:ext>
          </a:extLst>
        </xdr:cNvPr>
        <xdr:cNvPicPr/>
      </xdr:nvPicPr>
      <xdr:blipFill>
        <a:blip xmlns:r="http://schemas.openxmlformats.org/officeDocument/2006/relationships" r:embed="rId1"/>
        <a:srcRect r="42463" b="1541"/>
        <a:stretch/>
      </xdr:blipFill>
      <xdr:spPr>
        <a:xfrm>
          <a:off x="0" y="0"/>
          <a:ext cx="990360" cy="657000"/>
        </a:xfrm>
        <a:prstGeom prst="rect">
          <a:avLst/>
        </a:prstGeom>
        <a:noFill/>
        <a:ln w="0">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1056960</xdr:colOff>
      <xdr:row>2</xdr:row>
      <xdr:rowOff>3600</xdr:rowOff>
    </xdr:to>
    <xdr:pic>
      <xdr:nvPicPr>
        <xdr:cNvPr id="27" name="Imagen 1" descr="Logo Corantioquia">
          <a:extLst>
            <a:ext uri="{FF2B5EF4-FFF2-40B4-BE49-F238E27FC236}">
              <a16:creationId xmlns:a16="http://schemas.microsoft.com/office/drawing/2014/main" id="{00000000-0008-0000-1700-00001B000000}"/>
            </a:ext>
          </a:extLst>
        </xdr:cNvPr>
        <xdr:cNvPicPr/>
      </xdr:nvPicPr>
      <xdr:blipFill>
        <a:blip xmlns:r="http://schemas.openxmlformats.org/officeDocument/2006/relationships" r:embed="rId1"/>
        <a:srcRect r="41217"/>
        <a:stretch/>
      </xdr:blipFill>
      <xdr:spPr>
        <a:xfrm>
          <a:off x="0" y="0"/>
          <a:ext cx="1056960" cy="717840"/>
        </a:xfrm>
        <a:prstGeom prst="rect">
          <a:avLst/>
        </a:prstGeom>
        <a:noFill/>
        <a:ln w="0">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851400</xdr:colOff>
      <xdr:row>1</xdr:row>
      <xdr:rowOff>75960</xdr:rowOff>
    </xdr:to>
    <xdr:pic>
      <xdr:nvPicPr>
        <xdr:cNvPr id="28" name="Imagen 1" descr="Logo Corantioquia">
          <a:extLst>
            <a:ext uri="{FF2B5EF4-FFF2-40B4-BE49-F238E27FC236}">
              <a16:creationId xmlns:a16="http://schemas.microsoft.com/office/drawing/2014/main" id="{00000000-0008-0000-1800-00001C000000}"/>
            </a:ext>
          </a:extLst>
        </xdr:cNvPr>
        <xdr:cNvPicPr/>
      </xdr:nvPicPr>
      <xdr:blipFill>
        <a:blip xmlns:r="http://schemas.openxmlformats.org/officeDocument/2006/relationships" r:embed="rId1"/>
        <a:srcRect r="45702"/>
        <a:stretch/>
      </xdr:blipFill>
      <xdr:spPr>
        <a:xfrm>
          <a:off x="0" y="0"/>
          <a:ext cx="851400" cy="571320"/>
        </a:xfrm>
        <a:prstGeom prst="rect">
          <a:avLst/>
        </a:prstGeom>
        <a:noFill/>
        <a:ln w="0">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19080</xdr:rowOff>
    </xdr:from>
    <xdr:to>
      <xdr:col>0</xdr:col>
      <xdr:colOff>891360</xdr:colOff>
      <xdr:row>1</xdr:row>
      <xdr:rowOff>123480</xdr:rowOff>
    </xdr:to>
    <xdr:pic>
      <xdr:nvPicPr>
        <xdr:cNvPr id="29" name="Imagen 1" descr="Logo Corantioquia&#10;">
          <a:extLst>
            <a:ext uri="{FF2B5EF4-FFF2-40B4-BE49-F238E27FC236}">
              <a16:creationId xmlns:a16="http://schemas.microsoft.com/office/drawing/2014/main" id="{00000000-0008-0000-1900-00001D000000}"/>
            </a:ext>
          </a:extLst>
        </xdr:cNvPr>
        <xdr:cNvPicPr/>
      </xdr:nvPicPr>
      <xdr:blipFill>
        <a:blip xmlns:r="http://schemas.openxmlformats.org/officeDocument/2006/relationships" r:embed="rId1"/>
        <a:srcRect r="45307"/>
        <a:stretch/>
      </xdr:blipFill>
      <xdr:spPr>
        <a:xfrm>
          <a:off x="0" y="19080"/>
          <a:ext cx="891360" cy="599760"/>
        </a:xfrm>
        <a:prstGeom prst="rect">
          <a:avLst/>
        </a:prstGeom>
        <a:noFill/>
        <a:ln w="0">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1047240</xdr:colOff>
      <xdr:row>1</xdr:row>
      <xdr:rowOff>209160</xdr:rowOff>
    </xdr:to>
    <xdr:pic>
      <xdr:nvPicPr>
        <xdr:cNvPr id="30" name="Imagen 1" descr="Logo Corantioquia">
          <a:extLst>
            <a:ext uri="{FF2B5EF4-FFF2-40B4-BE49-F238E27FC236}">
              <a16:creationId xmlns:a16="http://schemas.microsoft.com/office/drawing/2014/main" id="{00000000-0008-0000-1A00-00001E000000}"/>
            </a:ext>
          </a:extLst>
        </xdr:cNvPr>
        <xdr:cNvPicPr/>
      </xdr:nvPicPr>
      <xdr:blipFill>
        <a:blip xmlns:r="http://schemas.openxmlformats.org/officeDocument/2006/relationships" r:embed="rId1"/>
        <a:srcRect r="41923"/>
        <a:stretch/>
      </xdr:blipFill>
      <xdr:spPr>
        <a:xfrm>
          <a:off x="0" y="0"/>
          <a:ext cx="1047240" cy="704520"/>
        </a:xfrm>
        <a:prstGeom prst="rect">
          <a:avLst/>
        </a:prstGeom>
        <a:noFill/>
        <a:ln w="0">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815760</xdr:colOff>
      <xdr:row>1</xdr:row>
      <xdr:rowOff>166680</xdr:rowOff>
    </xdr:to>
    <xdr:pic>
      <xdr:nvPicPr>
        <xdr:cNvPr id="31" name="Imagen 1" descr="Logo Corantioquia">
          <a:extLst>
            <a:ext uri="{FF2B5EF4-FFF2-40B4-BE49-F238E27FC236}">
              <a16:creationId xmlns:a16="http://schemas.microsoft.com/office/drawing/2014/main" id="{00000000-0008-0000-1B00-00001F000000}"/>
            </a:ext>
          </a:extLst>
        </xdr:cNvPr>
        <xdr:cNvPicPr/>
      </xdr:nvPicPr>
      <xdr:blipFill>
        <a:blip xmlns:r="http://schemas.openxmlformats.org/officeDocument/2006/relationships" r:embed="rId1"/>
        <a:srcRect r="44456"/>
        <a:stretch/>
      </xdr:blipFill>
      <xdr:spPr>
        <a:xfrm>
          <a:off x="0" y="0"/>
          <a:ext cx="815760" cy="662040"/>
        </a:xfrm>
        <a:prstGeom prst="rect">
          <a:avLst/>
        </a:prstGeom>
        <a:noFill/>
        <a:ln w="0">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10440</xdr:colOff>
      <xdr:row>0</xdr:row>
      <xdr:rowOff>0</xdr:rowOff>
    </xdr:from>
    <xdr:to>
      <xdr:col>0</xdr:col>
      <xdr:colOff>878040</xdr:colOff>
      <xdr:row>1</xdr:row>
      <xdr:rowOff>174240</xdr:rowOff>
    </xdr:to>
    <xdr:pic>
      <xdr:nvPicPr>
        <xdr:cNvPr id="32" name="Imagen 1" descr="Logo Corantioquia">
          <a:extLst>
            <a:ext uri="{FF2B5EF4-FFF2-40B4-BE49-F238E27FC236}">
              <a16:creationId xmlns:a16="http://schemas.microsoft.com/office/drawing/2014/main" id="{00000000-0008-0000-1C00-000020000000}"/>
            </a:ext>
          </a:extLst>
        </xdr:cNvPr>
        <xdr:cNvPicPr/>
      </xdr:nvPicPr>
      <xdr:blipFill>
        <a:blip xmlns:r="http://schemas.openxmlformats.org/officeDocument/2006/relationships" r:embed="rId1"/>
        <a:srcRect r="45183" b="1044"/>
        <a:stretch/>
      </xdr:blipFill>
      <xdr:spPr>
        <a:xfrm>
          <a:off x="10440" y="0"/>
          <a:ext cx="867600" cy="669600"/>
        </a:xfrm>
        <a:prstGeom prst="rect">
          <a:avLst/>
        </a:prstGeom>
        <a:noFill/>
        <a:ln w="0">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878040</xdr:colOff>
      <xdr:row>1</xdr:row>
      <xdr:rowOff>112320</xdr:rowOff>
    </xdr:to>
    <xdr:pic>
      <xdr:nvPicPr>
        <xdr:cNvPr id="33" name="Imagen 1" descr="Logo Corantioquia">
          <a:extLst>
            <a:ext uri="{FF2B5EF4-FFF2-40B4-BE49-F238E27FC236}">
              <a16:creationId xmlns:a16="http://schemas.microsoft.com/office/drawing/2014/main" id="{00000000-0008-0000-1D00-000021000000}"/>
            </a:ext>
          </a:extLst>
        </xdr:cNvPr>
        <xdr:cNvPicPr/>
      </xdr:nvPicPr>
      <xdr:blipFill>
        <a:blip xmlns:r="http://schemas.openxmlformats.org/officeDocument/2006/relationships" r:embed="rId1"/>
        <a:srcRect r="42130"/>
        <a:stretch/>
      </xdr:blipFill>
      <xdr:spPr>
        <a:xfrm>
          <a:off x="0" y="0"/>
          <a:ext cx="878040" cy="607680"/>
        </a:xfrm>
        <a:prstGeom prst="rect">
          <a:avLst/>
        </a:prstGeom>
        <a:noFill/>
        <a:ln w="0">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814680</xdr:colOff>
      <xdr:row>1</xdr:row>
      <xdr:rowOff>136080</xdr:rowOff>
    </xdr:to>
    <xdr:pic>
      <xdr:nvPicPr>
        <xdr:cNvPr id="34" name="Imagen 1" descr="Logo Corantioquia">
          <a:extLst>
            <a:ext uri="{FF2B5EF4-FFF2-40B4-BE49-F238E27FC236}">
              <a16:creationId xmlns:a16="http://schemas.microsoft.com/office/drawing/2014/main" id="{00000000-0008-0000-1E00-000022000000}"/>
            </a:ext>
          </a:extLst>
        </xdr:cNvPr>
        <xdr:cNvPicPr/>
      </xdr:nvPicPr>
      <xdr:blipFill>
        <a:blip xmlns:r="http://schemas.openxmlformats.org/officeDocument/2006/relationships" r:embed="rId1"/>
        <a:srcRect r="45453" b="-2883"/>
        <a:stretch/>
      </xdr:blipFill>
      <xdr:spPr>
        <a:xfrm>
          <a:off x="0" y="0"/>
          <a:ext cx="814680" cy="631440"/>
        </a:xfrm>
        <a:prstGeom prst="rect">
          <a:avLst/>
        </a:prstGeom>
        <a:noFill/>
        <a:ln w="0">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776160</xdr:colOff>
      <xdr:row>1</xdr:row>
      <xdr:rowOff>47160</xdr:rowOff>
    </xdr:to>
    <xdr:pic>
      <xdr:nvPicPr>
        <xdr:cNvPr id="35" name="Imagen 1" descr="Logo Corantioquia">
          <a:extLst>
            <a:ext uri="{FF2B5EF4-FFF2-40B4-BE49-F238E27FC236}">
              <a16:creationId xmlns:a16="http://schemas.microsoft.com/office/drawing/2014/main" id="{00000000-0008-0000-1F00-000023000000}"/>
            </a:ext>
          </a:extLst>
        </xdr:cNvPr>
        <xdr:cNvPicPr/>
      </xdr:nvPicPr>
      <xdr:blipFill>
        <a:blip xmlns:r="http://schemas.openxmlformats.org/officeDocument/2006/relationships" r:embed="rId1"/>
        <a:srcRect r="42068"/>
        <a:stretch/>
      </xdr:blipFill>
      <xdr:spPr>
        <a:xfrm>
          <a:off x="0" y="0"/>
          <a:ext cx="776160" cy="542520"/>
        </a:xfrm>
        <a:prstGeom prst="rect">
          <a:avLst/>
        </a:prstGeom>
        <a:noFill/>
        <a:ln w="0">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914040</xdr:colOff>
      <xdr:row>1</xdr:row>
      <xdr:rowOff>163800</xdr:rowOff>
    </xdr:to>
    <xdr:pic>
      <xdr:nvPicPr>
        <xdr:cNvPr id="36" name="Imagen 1" descr="Logo Corantioquia">
          <a:extLst>
            <a:ext uri="{FF2B5EF4-FFF2-40B4-BE49-F238E27FC236}">
              <a16:creationId xmlns:a16="http://schemas.microsoft.com/office/drawing/2014/main" id="{00000000-0008-0000-2000-000024000000}"/>
            </a:ext>
          </a:extLst>
        </xdr:cNvPr>
        <xdr:cNvPicPr/>
      </xdr:nvPicPr>
      <xdr:blipFill>
        <a:blip xmlns:r="http://schemas.openxmlformats.org/officeDocument/2006/relationships" r:embed="rId1"/>
        <a:srcRect r="43376"/>
        <a:stretch/>
      </xdr:blipFill>
      <xdr:spPr>
        <a:xfrm>
          <a:off x="0" y="0"/>
          <a:ext cx="914040" cy="659160"/>
        </a:xfrm>
        <a:prstGeom prst="rect">
          <a:avLst/>
        </a:prstGeom>
        <a:noFill/>
        <a:ln w="0">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914040</xdr:colOff>
      <xdr:row>1</xdr:row>
      <xdr:rowOff>163800</xdr:rowOff>
    </xdr:to>
    <xdr:pic>
      <xdr:nvPicPr>
        <xdr:cNvPr id="37" name="Imagen 1" descr="Logo Corantioquia">
          <a:extLst>
            <a:ext uri="{FF2B5EF4-FFF2-40B4-BE49-F238E27FC236}">
              <a16:creationId xmlns:a16="http://schemas.microsoft.com/office/drawing/2014/main" id="{00000000-0008-0000-2100-000025000000}"/>
            </a:ext>
          </a:extLst>
        </xdr:cNvPr>
        <xdr:cNvPicPr/>
      </xdr:nvPicPr>
      <xdr:blipFill>
        <a:blip xmlns:r="http://schemas.openxmlformats.org/officeDocument/2006/relationships" r:embed="rId1"/>
        <a:srcRect r="44684"/>
        <a:stretch/>
      </xdr:blipFill>
      <xdr:spPr>
        <a:xfrm>
          <a:off x="0" y="0"/>
          <a:ext cx="914040" cy="659160"/>
        </a:xfrm>
        <a:prstGeom prst="rect">
          <a:avLst/>
        </a:prstGeom>
        <a:noFill/>
        <a:ln w="0">
          <a:noFill/>
        </a:ln>
      </xdr:spPr>
    </xdr:pic>
    <xdr:clientData/>
  </xdr:twoCellAnchor>
  <xdr:twoCellAnchor editAs="oneCell">
    <xdr:from>
      <xdr:col>0</xdr:col>
      <xdr:colOff>0</xdr:colOff>
      <xdr:row>21</xdr:row>
      <xdr:rowOff>116280</xdr:rowOff>
    </xdr:from>
    <xdr:to>
      <xdr:col>1</xdr:col>
      <xdr:colOff>1883880</xdr:colOff>
      <xdr:row>21</xdr:row>
      <xdr:rowOff>4134240</xdr:rowOff>
    </xdr:to>
    <xdr:pic>
      <xdr:nvPicPr>
        <xdr:cNvPr id="38" name="Imagen 2" descr="Mapa conceptual.&#10;Gravados: Causan IVA, son responsables de IVA, el IVA pagado es descontable&#10;Extentos: Causan IVA, tarifa 0%&#10;Excluidos: No causan IVA, no existe tarifa">
          <a:extLst>
            <a:ext uri="{FF2B5EF4-FFF2-40B4-BE49-F238E27FC236}">
              <a16:creationId xmlns:a16="http://schemas.microsoft.com/office/drawing/2014/main" id="{00000000-0008-0000-2100-000026000000}"/>
            </a:ext>
          </a:extLst>
        </xdr:cNvPr>
        <xdr:cNvPicPr/>
      </xdr:nvPicPr>
      <xdr:blipFill>
        <a:blip xmlns:r="http://schemas.openxmlformats.org/officeDocument/2006/relationships" r:embed="rId2"/>
        <a:srcRect l="35100" t="29338" r="35806" b="18573"/>
        <a:stretch/>
      </xdr:blipFill>
      <xdr:spPr>
        <a:xfrm>
          <a:off x="0" y="22385880"/>
          <a:ext cx="3989520" cy="4017960"/>
        </a:xfrm>
        <a:prstGeom prst="rect">
          <a:avLst/>
        </a:prstGeom>
        <a:noFill/>
        <a:ln w="0">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894960</xdr:colOff>
      <xdr:row>1</xdr:row>
      <xdr:rowOff>178560</xdr:rowOff>
    </xdr:to>
    <xdr:pic>
      <xdr:nvPicPr>
        <xdr:cNvPr id="39" name="Imagen 2" descr="Logo Corantioquia">
          <a:extLst>
            <a:ext uri="{FF2B5EF4-FFF2-40B4-BE49-F238E27FC236}">
              <a16:creationId xmlns:a16="http://schemas.microsoft.com/office/drawing/2014/main" id="{00000000-0008-0000-2200-000027000000}"/>
            </a:ext>
          </a:extLst>
        </xdr:cNvPr>
        <xdr:cNvPicPr/>
      </xdr:nvPicPr>
      <xdr:blipFill>
        <a:blip xmlns:r="http://schemas.openxmlformats.org/officeDocument/2006/relationships" r:embed="rId1"/>
        <a:srcRect r="44934"/>
        <a:stretch/>
      </xdr:blipFill>
      <xdr:spPr>
        <a:xfrm>
          <a:off x="0" y="0"/>
          <a:ext cx="894960" cy="673920"/>
        </a:xfrm>
        <a:prstGeom prst="rect">
          <a:avLst/>
        </a:prstGeom>
        <a:noFill/>
        <a:ln w="0">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952200</xdr:colOff>
      <xdr:row>1</xdr:row>
      <xdr:rowOff>167760</xdr:rowOff>
    </xdr:to>
    <xdr:pic>
      <xdr:nvPicPr>
        <xdr:cNvPr id="40" name="Imagen 1" descr="Logo Corantioquia">
          <a:extLst>
            <a:ext uri="{FF2B5EF4-FFF2-40B4-BE49-F238E27FC236}">
              <a16:creationId xmlns:a16="http://schemas.microsoft.com/office/drawing/2014/main" id="{00000000-0008-0000-2300-000028000000}"/>
            </a:ext>
          </a:extLst>
        </xdr:cNvPr>
        <xdr:cNvPicPr/>
      </xdr:nvPicPr>
      <xdr:blipFill>
        <a:blip xmlns:r="http://schemas.openxmlformats.org/officeDocument/2006/relationships" r:embed="rId1"/>
        <a:srcRect r="45681"/>
        <a:stretch/>
      </xdr:blipFill>
      <xdr:spPr>
        <a:xfrm>
          <a:off x="0" y="0"/>
          <a:ext cx="952200" cy="663120"/>
        </a:xfrm>
        <a:prstGeom prst="rect">
          <a:avLst/>
        </a:prstGeom>
        <a:noFill/>
        <a:ln w="0">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952200</xdr:colOff>
      <xdr:row>1</xdr:row>
      <xdr:rowOff>167760</xdr:rowOff>
    </xdr:to>
    <xdr:pic>
      <xdr:nvPicPr>
        <xdr:cNvPr id="41" name="Imagen 3" descr="Logo Corantioquia">
          <a:extLst>
            <a:ext uri="{FF2B5EF4-FFF2-40B4-BE49-F238E27FC236}">
              <a16:creationId xmlns:a16="http://schemas.microsoft.com/office/drawing/2014/main" id="{00000000-0008-0000-2400-000029000000}"/>
            </a:ext>
          </a:extLst>
        </xdr:cNvPr>
        <xdr:cNvPicPr/>
      </xdr:nvPicPr>
      <xdr:blipFill>
        <a:blip xmlns:r="http://schemas.openxmlformats.org/officeDocument/2006/relationships" r:embed="rId1"/>
        <a:srcRect r="45681"/>
        <a:stretch/>
      </xdr:blipFill>
      <xdr:spPr>
        <a:xfrm>
          <a:off x="0" y="0"/>
          <a:ext cx="952200" cy="663120"/>
        </a:xfrm>
        <a:prstGeom prst="rect">
          <a:avLst/>
        </a:prstGeom>
        <a:noFill/>
        <a:ln w="0">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2" displayName="Tabla2" ref="A11:F120" totalsRowShown="0">
  <autoFilter ref="A11:F120" xr:uid="{00000000-0009-0000-0100-000001000000}"/>
  <tableColumns count="6">
    <tableColumn id="1" xr3:uid="{00000000-0010-0000-0000-000001000000}" name="Cargo "/>
    <tableColumn id="2" xr3:uid="{00000000-0010-0000-0000-000002000000}" name="Salario mensual 2025"/>
    <tableColumn id="3" xr3:uid="{00000000-0010-0000-0000-000003000000}" name="Proyección Salario mensual 2026"/>
    <tableColumn id="4" xr3:uid="{00000000-0010-0000-0000-000004000000}" name="Salario mensual con factor prestacional"/>
    <tableColumn id="5" xr3:uid="{00000000-0010-0000-0000-000005000000}" name="Salario diario con factor prestacional"/>
    <tableColumn id="6" xr3:uid="{00000000-0010-0000-0000-000006000000}" name="Salario por hora con factor prestacional"/>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tint val="100000"/>
                <a:shade val="100000"/>
              </a:schemeClr>
            </a:gs>
            <a:gs pos="100000">
              <a:schemeClr val="phClr">
                <a:tint val="50000"/>
                <a:shade val="100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5.xml"/><Relationship Id="rId1" Type="http://schemas.openxmlformats.org/officeDocument/2006/relationships/hyperlink" Target="https://www.funcionpublica.gov.co/eva/gestornormativo/norma.php?i=260036" TargetMode="External"/><Relationship Id="rId5" Type="http://schemas.openxmlformats.org/officeDocument/2006/relationships/comments" Target="../comments24.xml"/><Relationship Id="rId4" Type="http://schemas.openxmlformats.org/officeDocument/2006/relationships/table" Target="../tables/table1.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sal.pdf" TargetMode="Externa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guia-para-determinar-y-verificar-la-capacidad" TargetMode="External"/><Relationship Id="rId6" Type="http://schemas.openxmlformats.org/officeDocument/2006/relationships/drawing" Target="../drawings/drawing29.xml"/><Relationship Id="rId5" Type="http://schemas.openxmlformats.org/officeDocument/2006/relationships/hyperlink" Target="https://colombiacompra.gov.co/manuales-guias-y-pliegos-tipo/manuales-y-guias/manual-para-determinar-y-verificar-los-requisitos" TargetMode="External"/><Relationship Id="rId4" Type="http://schemas.openxmlformats.org/officeDocument/2006/relationships/hyperlink" Target="https://colombiacompra.gov.co/sites/cce_public/files/cce_documents/cce_guia_elaboracion_estudios.pdf" TargetMode="Externa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hyperlink" Target="https://www.gerencie.com/impuesto-a-las-ventas."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FBFBF"/>
    <pageSetUpPr fitToPage="1"/>
  </sheetPr>
  <dimension ref="A1:L75"/>
  <sheetViews>
    <sheetView showGridLines="0" zoomScaleNormal="100" workbookViewId="0">
      <selection activeCell="I32" sqref="I32"/>
    </sheetView>
  </sheetViews>
  <sheetFormatPr baseColWidth="10" defaultColWidth="18.77734375" defaultRowHeight="18" customHeight="1" x14ac:dyDescent="0.25"/>
  <cols>
    <col min="1" max="1" width="13.6640625" style="15" customWidth="1"/>
    <col min="2" max="2" width="17.6640625" style="15" customWidth="1"/>
    <col min="3" max="3" width="14" style="15" customWidth="1"/>
    <col min="4" max="8" width="18.77734375" style="15"/>
    <col min="9" max="11" width="16.77734375" style="15" customWidth="1"/>
    <col min="12" max="12" width="38.77734375" style="15" customWidth="1"/>
    <col min="13" max="16384" width="18.77734375" style="15"/>
  </cols>
  <sheetData>
    <row r="1" spans="1:11" ht="39" customHeight="1" x14ac:dyDescent="0.25">
      <c r="F1" s="946" t="s">
        <v>0</v>
      </c>
      <c r="G1" s="946"/>
      <c r="H1" s="946"/>
      <c r="I1" s="946"/>
      <c r="J1" s="946"/>
      <c r="K1" s="946"/>
    </row>
    <row r="2" spans="1:11" ht="18" customHeight="1" x14ac:dyDescent="0.25">
      <c r="F2" s="13" t="s">
        <v>1</v>
      </c>
      <c r="G2" s="13"/>
      <c r="H2" s="13"/>
      <c r="I2" s="13"/>
      <c r="J2" s="13"/>
      <c r="K2" s="13"/>
    </row>
    <row r="3" spans="1:11" ht="6" customHeight="1" x14ac:dyDescent="0.25"/>
    <row r="5" spans="1:11" ht="18" customHeight="1" x14ac:dyDescent="0.25">
      <c r="A5" s="16" t="s">
        <v>2</v>
      </c>
      <c r="B5" s="17" t="s">
        <v>3</v>
      </c>
      <c r="D5" s="16" t="s">
        <v>2</v>
      </c>
      <c r="E5" s="17" t="s">
        <v>4</v>
      </c>
    </row>
    <row r="6" spans="1:11" ht="18" customHeight="1" x14ac:dyDescent="0.25">
      <c r="A6" s="18" t="s">
        <v>5</v>
      </c>
      <c r="B6" s="19" t="s">
        <v>6</v>
      </c>
      <c r="D6" s="20" t="s">
        <v>7</v>
      </c>
      <c r="E6" s="21" t="s">
        <v>8</v>
      </c>
    </row>
    <row r="7" spans="1:11" ht="18" customHeight="1" x14ac:dyDescent="0.25">
      <c r="A7" s="22" t="s">
        <v>9</v>
      </c>
      <c r="B7" s="23" t="s">
        <v>10</v>
      </c>
    </row>
    <row r="8" spans="1:11" ht="18" customHeight="1" x14ac:dyDescent="0.25">
      <c r="A8" s="24" t="s">
        <v>11</v>
      </c>
      <c r="B8" s="25" t="s">
        <v>12</v>
      </c>
    </row>
    <row r="10" spans="1:11" ht="67.5" customHeight="1" x14ac:dyDescent="0.25">
      <c r="A10" s="947" t="s">
        <v>13</v>
      </c>
      <c r="B10" s="947"/>
      <c r="C10" s="947"/>
      <c r="D10" s="947"/>
      <c r="E10" s="947"/>
      <c r="F10" s="947"/>
      <c r="G10" s="947"/>
      <c r="H10" s="947"/>
      <c r="I10" s="947"/>
      <c r="J10" s="947"/>
      <c r="K10" s="947"/>
    </row>
    <row r="12" spans="1:11" ht="19.5" customHeight="1" x14ac:dyDescent="0.25">
      <c r="A12" s="948" t="s">
        <v>14</v>
      </c>
      <c r="B12" s="948"/>
      <c r="C12" s="948"/>
      <c r="D12" s="948"/>
      <c r="E12" s="948"/>
      <c r="F12" s="948"/>
      <c r="G12" s="948"/>
      <c r="H12" s="948"/>
    </row>
    <row r="13" spans="1:11" ht="19.5" customHeight="1" x14ac:dyDescent="0.25">
      <c r="A13" s="949" t="s">
        <v>15</v>
      </c>
      <c r="B13" s="949"/>
      <c r="C13" s="949"/>
      <c r="D13" s="950" t="s">
        <v>16</v>
      </c>
      <c r="E13" s="950"/>
      <c r="F13" s="950"/>
      <c r="G13" s="950"/>
      <c r="H13" s="950"/>
    </row>
    <row r="14" spans="1:11" ht="45.75" customHeight="1" x14ac:dyDescent="0.25">
      <c r="A14" s="951" t="s">
        <v>17</v>
      </c>
      <c r="B14" s="951"/>
      <c r="C14" s="951"/>
      <c r="D14" s="952" t="s">
        <v>18</v>
      </c>
      <c r="E14" s="952"/>
      <c r="F14" s="952"/>
      <c r="G14" s="952"/>
      <c r="H14" s="952"/>
    </row>
    <row r="15" spans="1:11" ht="93" customHeight="1" x14ac:dyDescent="0.25">
      <c r="A15" s="951" t="s">
        <v>19</v>
      </c>
      <c r="B15" s="951"/>
      <c r="C15" s="951"/>
      <c r="D15" s="952" t="s">
        <v>20</v>
      </c>
      <c r="E15" s="952"/>
      <c r="F15" s="952"/>
      <c r="G15" s="952"/>
      <c r="H15" s="952"/>
    </row>
    <row r="16" spans="1:11" ht="44.25" customHeight="1" x14ac:dyDescent="0.25">
      <c r="A16" s="951" t="s">
        <v>21</v>
      </c>
      <c r="B16" s="951"/>
      <c r="C16" s="951"/>
      <c r="D16" s="952" t="s">
        <v>22</v>
      </c>
      <c r="E16" s="952"/>
      <c r="F16" s="952"/>
      <c r="G16" s="952"/>
      <c r="H16" s="952"/>
    </row>
    <row r="17" spans="1:12" ht="54" customHeight="1" x14ac:dyDescent="0.25">
      <c r="A17" s="951" t="s">
        <v>23</v>
      </c>
      <c r="B17" s="951"/>
      <c r="C17" s="951"/>
      <c r="D17" s="952" t="s">
        <v>24</v>
      </c>
      <c r="E17" s="952"/>
      <c r="F17" s="952"/>
      <c r="G17" s="952"/>
      <c r="H17" s="952"/>
    </row>
    <row r="18" spans="1:12" ht="54" customHeight="1" x14ac:dyDescent="0.25">
      <c r="A18" s="953" t="s">
        <v>25</v>
      </c>
      <c r="B18" s="953"/>
      <c r="C18" s="953"/>
      <c r="D18" s="952" t="s">
        <v>26</v>
      </c>
      <c r="E18" s="952"/>
      <c r="F18" s="952"/>
      <c r="G18" s="952"/>
      <c r="H18" s="952"/>
    </row>
    <row r="19" spans="1:12" ht="32.25" customHeight="1" x14ac:dyDescent="0.25">
      <c r="A19" s="951" t="s">
        <v>27</v>
      </c>
      <c r="B19" s="951"/>
      <c r="C19" s="951"/>
      <c r="D19" s="952" t="s">
        <v>28</v>
      </c>
      <c r="E19" s="952"/>
      <c r="F19" s="952"/>
      <c r="G19" s="952"/>
      <c r="H19" s="952"/>
    </row>
    <row r="20" spans="1:12" ht="54.75" customHeight="1" x14ac:dyDescent="0.25">
      <c r="A20" s="951" t="s">
        <v>29</v>
      </c>
      <c r="B20" s="951"/>
      <c r="C20" s="951"/>
      <c r="D20" s="952" t="s">
        <v>30</v>
      </c>
      <c r="E20" s="952"/>
      <c r="F20" s="952"/>
      <c r="G20" s="952"/>
      <c r="H20" s="952"/>
    </row>
    <row r="21" spans="1:12" ht="36" customHeight="1" x14ac:dyDescent="0.25">
      <c r="A21" s="954" t="s">
        <v>31</v>
      </c>
      <c r="B21" s="954"/>
      <c r="C21" s="954"/>
      <c r="D21" s="955" t="s">
        <v>32</v>
      </c>
      <c r="E21" s="955"/>
      <c r="F21" s="955"/>
      <c r="G21" s="955"/>
      <c r="H21" s="955"/>
    </row>
    <row r="23" spans="1:12" ht="19.5" customHeight="1" x14ac:dyDescent="0.25">
      <c r="A23" s="956" t="s">
        <v>33</v>
      </c>
      <c r="B23" s="956"/>
      <c r="C23" s="956"/>
      <c r="D23" s="956"/>
      <c r="E23" s="956"/>
      <c r="F23" s="956"/>
      <c r="G23" s="956"/>
      <c r="H23" s="956"/>
      <c r="I23" s="957" t="s">
        <v>34</v>
      </c>
      <c r="J23" s="957"/>
      <c r="K23" s="957"/>
    </row>
    <row r="24" spans="1:12" ht="38.25" customHeight="1" x14ac:dyDescent="0.25">
      <c r="A24" s="958" t="s">
        <v>15</v>
      </c>
      <c r="B24" s="958"/>
      <c r="C24" s="958"/>
      <c r="D24" s="959" t="s">
        <v>16</v>
      </c>
      <c r="E24" s="959"/>
      <c r="F24" s="959"/>
      <c r="G24" s="959"/>
      <c r="H24" s="959"/>
      <c r="I24" s="26" t="s">
        <v>35</v>
      </c>
      <c r="J24" s="26" t="s">
        <v>36</v>
      </c>
      <c r="K24" s="27" t="s">
        <v>37</v>
      </c>
    </row>
    <row r="25" spans="1:12" ht="19.5" customHeight="1" x14ac:dyDescent="0.25">
      <c r="A25" s="960" t="s">
        <v>38</v>
      </c>
      <c r="B25" s="960"/>
      <c r="C25" s="960"/>
      <c r="D25" s="960"/>
      <c r="E25" s="960"/>
      <c r="F25" s="960"/>
      <c r="G25" s="960"/>
      <c r="H25" s="960"/>
      <c r="I25" s="960"/>
      <c r="J25" s="960"/>
      <c r="K25" s="960"/>
    </row>
    <row r="26" spans="1:12" ht="78" customHeight="1" x14ac:dyDescent="0.25">
      <c r="A26" s="961" t="s">
        <v>39</v>
      </c>
      <c r="B26" s="961"/>
      <c r="C26" s="961"/>
      <c r="D26" s="961"/>
      <c r="E26" s="961"/>
      <c r="F26" s="961"/>
      <c r="G26" s="961"/>
      <c r="H26" s="961"/>
      <c r="I26" s="961"/>
      <c r="J26" s="961"/>
      <c r="K26" s="961"/>
    </row>
    <row r="27" spans="1:12" ht="42.75" customHeight="1" x14ac:dyDescent="0.25">
      <c r="A27" s="962" t="s">
        <v>40</v>
      </c>
      <c r="B27" s="962"/>
      <c r="C27" s="962"/>
      <c r="D27" s="963" t="s">
        <v>41</v>
      </c>
      <c r="E27" s="963"/>
      <c r="F27" s="963"/>
      <c r="G27" s="963"/>
      <c r="H27" s="963"/>
      <c r="I27" s="28" t="s">
        <v>42</v>
      </c>
      <c r="J27" s="28" t="s">
        <v>42</v>
      </c>
      <c r="K27" s="29" t="s">
        <v>42</v>
      </c>
    </row>
    <row r="28" spans="1:12" ht="66" customHeight="1" x14ac:dyDescent="0.25">
      <c r="A28" s="964" t="s">
        <v>43</v>
      </c>
      <c r="B28" s="964"/>
      <c r="C28" s="964"/>
      <c r="D28" s="963" t="s">
        <v>44</v>
      </c>
      <c r="E28" s="963"/>
      <c r="F28" s="963"/>
      <c r="G28" s="963"/>
      <c r="H28" s="963"/>
      <c r="I28" s="28" t="s">
        <v>42</v>
      </c>
      <c r="J28" s="28"/>
      <c r="K28" s="29"/>
      <c r="L28" s="30"/>
    </row>
    <row r="29" spans="1:12" ht="45" customHeight="1" x14ac:dyDescent="0.25">
      <c r="A29" s="962" t="s">
        <v>45</v>
      </c>
      <c r="B29" s="962"/>
      <c r="C29" s="962"/>
      <c r="D29" s="963" t="s">
        <v>46</v>
      </c>
      <c r="E29" s="963"/>
      <c r="F29" s="963"/>
      <c r="G29" s="963"/>
      <c r="H29" s="963"/>
      <c r="I29" s="28" t="s">
        <v>42</v>
      </c>
      <c r="J29" s="28" t="s">
        <v>42</v>
      </c>
      <c r="K29" s="29"/>
    </row>
    <row r="30" spans="1:12" ht="55.5" customHeight="1" x14ac:dyDescent="0.25">
      <c r="A30" s="964" t="s">
        <v>47</v>
      </c>
      <c r="B30" s="964"/>
      <c r="C30" s="964"/>
      <c r="D30" s="963" t="s">
        <v>48</v>
      </c>
      <c r="E30" s="963"/>
      <c r="F30" s="963"/>
      <c r="G30" s="963"/>
      <c r="H30" s="963"/>
      <c r="I30" s="28" t="s">
        <v>42</v>
      </c>
      <c r="J30" s="28"/>
      <c r="K30" s="29"/>
      <c r="L30" s="30"/>
    </row>
    <row r="31" spans="1:12" ht="42" customHeight="1" x14ac:dyDescent="0.25">
      <c r="A31" s="962" t="s">
        <v>49</v>
      </c>
      <c r="B31" s="962"/>
      <c r="C31" s="962"/>
      <c r="D31" s="963" t="s">
        <v>50</v>
      </c>
      <c r="E31" s="963"/>
      <c r="F31" s="963"/>
      <c r="G31" s="963"/>
      <c r="H31" s="963"/>
      <c r="I31" s="28"/>
      <c r="J31" s="28"/>
      <c r="K31" s="29" t="s">
        <v>42</v>
      </c>
    </row>
    <row r="32" spans="1:12" ht="173.25" customHeight="1" x14ac:dyDescent="0.25">
      <c r="A32" s="962" t="s">
        <v>51</v>
      </c>
      <c r="B32" s="962"/>
      <c r="C32" s="962"/>
      <c r="D32" s="963" t="s">
        <v>52</v>
      </c>
      <c r="E32" s="963"/>
      <c r="F32" s="963"/>
      <c r="G32" s="963"/>
      <c r="H32" s="963"/>
      <c r="I32" s="965" t="s">
        <v>53</v>
      </c>
      <c r="J32" s="965"/>
      <c r="K32" s="965"/>
    </row>
    <row r="33" spans="1:11" ht="144.75" customHeight="1" x14ac:dyDescent="0.25">
      <c r="A33" s="962" t="s">
        <v>54</v>
      </c>
      <c r="B33" s="962"/>
      <c r="C33" s="962"/>
      <c r="D33" s="963" t="s">
        <v>55</v>
      </c>
      <c r="E33" s="963"/>
      <c r="F33" s="963"/>
      <c r="G33" s="963"/>
      <c r="H33" s="963"/>
      <c r="I33" s="965" t="s">
        <v>53</v>
      </c>
      <c r="J33" s="965"/>
      <c r="K33" s="965"/>
    </row>
    <row r="34" spans="1:11" ht="162.75" customHeight="1" x14ac:dyDescent="0.25">
      <c r="A34" s="962" t="s">
        <v>56</v>
      </c>
      <c r="B34" s="962"/>
      <c r="C34" s="962"/>
      <c r="D34" s="963" t="s">
        <v>57</v>
      </c>
      <c r="E34" s="963"/>
      <c r="F34" s="963"/>
      <c r="G34" s="963"/>
      <c r="H34" s="963"/>
      <c r="I34" s="965" t="s">
        <v>53</v>
      </c>
      <c r="J34" s="965"/>
      <c r="K34" s="965"/>
    </row>
    <row r="35" spans="1:11" ht="225.75" customHeight="1" x14ac:dyDescent="0.25">
      <c r="A35" s="962" t="s">
        <v>58</v>
      </c>
      <c r="B35" s="962"/>
      <c r="C35" s="962"/>
      <c r="D35" s="963" t="s">
        <v>59</v>
      </c>
      <c r="E35" s="963"/>
      <c r="F35" s="963"/>
      <c r="G35" s="963"/>
      <c r="H35" s="963"/>
      <c r="I35" s="28" t="s">
        <v>42</v>
      </c>
      <c r="J35" s="28" t="s">
        <v>42</v>
      </c>
      <c r="K35" s="29" t="s">
        <v>42</v>
      </c>
    </row>
    <row r="36" spans="1:11" ht="42" customHeight="1" x14ac:dyDescent="0.25">
      <c r="A36" s="962" t="s">
        <v>60</v>
      </c>
      <c r="B36" s="962"/>
      <c r="C36" s="962"/>
      <c r="D36" s="963" t="s">
        <v>61</v>
      </c>
      <c r="E36" s="963"/>
      <c r="F36" s="963"/>
      <c r="G36" s="963"/>
      <c r="H36" s="963"/>
      <c r="I36" s="28" t="s">
        <v>42</v>
      </c>
      <c r="J36" s="28" t="s">
        <v>42</v>
      </c>
      <c r="K36" s="29" t="s">
        <v>42</v>
      </c>
    </row>
    <row r="37" spans="1:11" ht="18" customHeight="1" x14ac:dyDescent="0.25">
      <c r="A37" s="962" t="s">
        <v>62</v>
      </c>
      <c r="B37" s="962"/>
      <c r="C37" s="962"/>
      <c r="D37" s="963" t="s">
        <v>63</v>
      </c>
      <c r="E37" s="963"/>
      <c r="F37" s="963"/>
      <c r="G37" s="963"/>
      <c r="H37" s="963"/>
      <c r="I37" s="28"/>
      <c r="J37" s="28" t="s">
        <v>42</v>
      </c>
      <c r="K37" s="29"/>
    </row>
    <row r="38" spans="1:11" ht="19.5" customHeight="1" x14ac:dyDescent="0.25">
      <c r="A38" s="966" t="s">
        <v>64</v>
      </c>
      <c r="B38" s="966"/>
      <c r="C38" s="966"/>
      <c r="D38" s="966"/>
      <c r="E38" s="966"/>
      <c r="F38" s="966"/>
      <c r="G38" s="966"/>
      <c r="H38" s="966"/>
      <c r="I38" s="966"/>
      <c r="J38" s="966"/>
      <c r="K38" s="966"/>
    </row>
    <row r="39" spans="1:11" ht="45" customHeight="1" x14ac:dyDescent="0.25">
      <c r="A39" s="962" t="s">
        <v>65</v>
      </c>
      <c r="B39" s="962"/>
      <c r="C39" s="962"/>
      <c r="D39" s="963" t="s">
        <v>66</v>
      </c>
      <c r="E39" s="963"/>
      <c r="F39" s="963"/>
      <c r="G39" s="963"/>
      <c r="H39" s="963"/>
      <c r="I39" s="28"/>
      <c r="J39" s="28" t="s">
        <v>42</v>
      </c>
      <c r="K39" s="29"/>
    </row>
    <row r="40" spans="1:11" ht="45" customHeight="1" x14ac:dyDescent="0.25">
      <c r="A40" s="962" t="s">
        <v>67</v>
      </c>
      <c r="B40" s="962"/>
      <c r="C40" s="962"/>
      <c r="D40" s="963" t="s">
        <v>68</v>
      </c>
      <c r="E40" s="963"/>
      <c r="F40" s="963"/>
      <c r="G40" s="963"/>
      <c r="H40" s="963"/>
      <c r="I40" s="28"/>
      <c r="J40" s="28" t="s">
        <v>42</v>
      </c>
      <c r="K40" s="29"/>
    </row>
    <row r="41" spans="1:11" ht="42.75" customHeight="1" x14ac:dyDescent="0.25">
      <c r="A41" s="962" t="s">
        <v>69</v>
      </c>
      <c r="B41" s="962"/>
      <c r="C41" s="962"/>
      <c r="D41" s="963" t="s">
        <v>70</v>
      </c>
      <c r="E41" s="963"/>
      <c r="F41" s="963"/>
      <c r="G41" s="963"/>
      <c r="H41" s="963"/>
      <c r="I41" s="28"/>
      <c r="J41" s="28" t="s">
        <v>42</v>
      </c>
      <c r="K41" s="29"/>
    </row>
    <row r="42" spans="1:11" ht="30" customHeight="1" x14ac:dyDescent="0.25">
      <c r="A42" s="962" t="s">
        <v>71</v>
      </c>
      <c r="B42" s="962"/>
      <c r="C42" s="962"/>
      <c r="D42" s="963" t="s">
        <v>72</v>
      </c>
      <c r="E42" s="963"/>
      <c r="F42" s="963"/>
      <c r="G42" s="963"/>
      <c r="H42" s="963"/>
      <c r="I42" s="28"/>
      <c r="J42" s="28" t="s">
        <v>42</v>
      </c>
      <c r="K42" s="29"/>
    </row>
    <row r="43" spans="1:11" ht="19.5" customHeight="1" x14ac:dyDescent="0.25">
      <c r="A43" s="966" t="s">
        <v>73</v>
      </c>
      <c r="B43" s="966"/>
      <c r="C43" s="966"/>
      <c r="D43" s="966"/>
      <c r="E43" s="966"/>
      <c r="F43" s="966"/>
      <c r="G43" s="966"/>
      <c r="H43" s="966"/>
      <c r="I43" s="966"/>
      <c r="J43" s="966"/>
      <c r="K43" s="966"/>
    </row>
    <row r="44" spans="1:11" ht="45.75" customHeight="1" x14ac:dyDescent="0.25">
      <c r="A44" s="962" t="s">
        <v>74</v>
      </c>
      <c r="B44" s="962"/>
      <c r="C44" s="962"/>
      <c r="D44" s="963" t="s">
        <v>75</v>
      </c>
      <c r="E44" s="963"/>
      <c r="F44" s="963"/>
      <c r="G44" s="963"/>
      <c r="H44" s="963"/>
      <c r="I44" s="28"/>
      <c r="J44" s="28" t="s">
        <v>42</v>
      </c>
      <c r="K44" s="29"/>
    </row>
    <row r="45" spans="1:11" ht="42" customHeight="1" x14ac:dyDescent="0.25">
      <c r="A45" s="962" t="s">
        <v>76</v>
      </c>
      <c r="B45" s="962"/>
      <c r="C45" s="962"/>
      <c r="D45" s="963" t="s">
        <v>77</v>
      </c>
      <c r="E45" s="963"/>
      <c r="F45" s="963"/>
      <c r="G45" s="963"/>
      <c r="H45" s="963"/>
      <c r="I45" s="28"/>
      <c r="J45" s="28" t="s">
        <v>42</v>
      </c>
      <c r="K45" s="29"/>
    </row>
    <row r="46" spans="1:11" ht="19.5" customHeight="1" x14ac:dyDescent="0.25">
      <c r="A46" s="966" t="s">
        <v>78</v>
      </c>
      <c r="B46" s="966"/>
      <c r="C46" s="966"/>
      <c r="D46" s="966"/>
      <c r="E46" s="966"/>
      <c r="F46" s="966"/>
      <c r="G46" s="966"/>
      <c r="H46" s="966"/>
      <c r="I46" s="966"/>
      <c r="J46" s="966"/>
      <c r="K46" s="966"/>
    </row>
    <row r="47" spans="1:11" ht="21" customHeight="1" x14ac:dyDescent="0.25">
      <c r="A47" s="962" t="s">
        <v>79</v>
      </c>
      <c r="B47" s="962"/>
      <c r="C47" s="962"/>
      <c r="D47" s="963" t="s">
        <v>80</v>
      </c>
      <c r="E47" s="963"/>
      <c r="F47" s="963"/>
      <c r="G47" s="963"/>
      <c r="H47" s="963"/>
      <c r="I47" s="28"/>
      <c r="J47" s="28" t="s">
        <v>42</v>
      </c>
      <c r="K47" s="29"/>
    </row>
    <row r="48" spans="1:11" ht="20.25" customHeight="1" x14ac:dyDescent="0.25">
      <c r="A48" s="962" t="s">
        <v>81</v>
      </c>
      <c r="B48" s="962"/>
      <c r="C48" s="962"/>
      <c r="D48" s="963" t="s">
        <v>82</v>
      </c>
      <c r="E48" s="963"/>
      <c r="F48" s="963"/>
      <c r="G48" s="963"/>
      <c r="H48" s="963"/>
      <c r="I48" s="28"/>
      <c r="J48" s="28" t="s">
        <v>42</v>
      </c>
      <c r="K48" s="29"/>
    </row>
    <row r="49" spans="1:12" ht="32.25" customHeight="1" x14ac:dyDescent="0.25">
      <c r="A49" s="962" t="s">
        <v>83</v>
      </c>
      <c r="B49" s="962"/>
      <c r="C49" s="962"/>
      <c r="D49" s="963" t="s">
        <v>84</v>
      </c>
      <c r="E49" s="963"/>
      <c r="F49" s="963"/>
      <c r="G49" s="963"/>
      <c r="H49" s="963"/>
      <c r="I49" s="28"/>
      <c r="J49" s="28" t="s">
        <v>42</v>
      </c>
      <c r="K49" s="29"/>
    </row>
    <row r="50" spans="1:12" ht="32.25" customHeight="1" x14ac:dyDescent="0.25">
      <c r="A50" s="967" t="s">
        <v>85</v>
      </c>
      <c r="B50" s="967"/>
      <c r="C50" s="967"/>
      <c r="D50" s="968" t="s">
        <v>84</v>
      </c>
      <c r="E50" s="968"/>
      <c r="F50" s="968"/>
      <c r="G50" s="968"/>
      <c r="H50" s="968"/>
      <c r="I50" s="31"/>
      <c r="J50" s="31" t="s">
        <v>42</v>
      </c>
      <c r="K50" s="32"/>
    </row>
    <row r="51" spans="1:12" ht="18" customHeight="1" x14ac:dyDescent="0.25">
      <c r="A51" s="33"/>
      <c r="B51" s="33"/>
      <c r="C51" s="33"/>
    </row>
    <row r="52" spans="1:12" ht="19.5" customHeight="1" x14ac:dyDescent="0.25">
      <c r="A52" s="969" t="s">
        <v>86</v>
      </c>
      <c r="B52" s="969"/>
      <c r="C52" s="969"/>
      <c r="D52" s="969"/>
      <c r="E52" s="969"/>
      <c r="F52" s="969"/>
      <c r="G52" s="969"/>
      <c r="H52" s="969"/>
    </row>
    <row r="53" spans="1:12" ht="19.5" customHeight="1" x14ac:dyDescent="0.25">
      <c r="A53" s="970" t="s">
        <v>15</v>
      </c>
      <c r="B53" s="970"/>
      <c r="C53" s="970"/>
      <c r="D53" s="971" t="s">
        <v>16</v>
      </c>
      <c r="E53" s="971"/>
      <c r="F53" s="971"/>
      <c r="G53" s="971"/>
      <c r="H53" s="971"/>
    </row>
    <row r="54" spans="1:12" ht="41.25" customHeight="1" x14ac:dyDescent="0.25">
      <c r="A54" s="972" t="s">
        <v>87</v>
      </c>
      <c r="B54" s="972"/>
      <c r="C54" s="972"/>
      <c r="D54" s="973" t="s">
        <v>88</v>
      </c>
      <c r="E54" s="973"/>
      <c r="F54" s="973"/>
      <c r="G54" s="973"/>
      <c r="H54" s="973"/>
    </row>
    <row r="55" spans="1:12" ht="33" customHeight="1" x14ac:dyDescent="0.25">
      <c r="A55" s="962" t="s">
        <v>89</v>
      </c>
      <c r="B55" s="962"/>
      <c r="C55" s="962"/>
      <c r="D55" s="952" t="s">
        <v>90</v>
      </c>
      <c r="E55" s="952"/>
      <c r="F55" s="952"/>
      <c r="G55" s="952"/>
      <c r="H55" s="952"/>
    </row>
    <row r="56" spans="1:12" ht="29.25" customHeight="1" x14ac:dyDescent="0.25">
      <c r="A56" s="962" t="s">
        <v>91</v>
      </c>
      <c r="B56" s="962"/>
      <c r="C56" s="962"/>
      <c r="D56" s="952" t="s">
        <v>92</v>
      </c>
      <c r="E56" s="952"/>
      <c r="F56" s="952"/>
      <c r="G56" s="952"/>
      <c r="H56" s="952"/>
    </row>
    <row r="57" spans="1:12" ht="44.25" customHeight="1" x14ac:dyDescent="0.25">
      <c r="A57" s="962" t="s">
        <v>93</v>
      </c>
      <c r="B57" s="962"/>
      <c r="C57" s="962"/>
      <c r="D57" s="952" t="s">
        <v>94</v>
      </c>
      <c r="E57" s="952"/>
      <c r="F57" s="952"/>
      <c r="G57" s="952"/>
      <c r="H57" s="952"/>
    </row>
    <row r="58" spans="1:12" ht="32.25" customHeight="1" x14ac:dyDescent="0.25">
      <c r="A58" s="962" t="s">
        <v>95</v>
      </c>
      <c r="B58" s="962"/>
      <c r="C58" s="962"/>
      <c r="D58" s="952" t="s">
        <v>96</v>
      </c>
      <c r="E58" s="952"/>
      <c r="F58" s="952"/>
      <c r="G58" s="952"/>
      <c r="H58" s="952"/>
    </row>
    <row r="59" spans="1:12" ht="33" customHeight="1" x14ac:dyDescent="0.25">
      <c r="A59" s="967" t="s">
        <v>97</v>
      </c>
      <c r="B59" s="967"/>
      <c r="C59" s="967"/>
      <c r="D59" s="955" t="s">
        <v>98</v>
      </c>
      <c r="E59" s="955"/>
      <c r="F59" s="955"/>
      <c r="G59" s="955"/>
      <c r="H59" s="955"/>
    </row>
    <row r="60" spans="1:12" ht="18" customHeight="1" x14ac:dyDescent="0.25">
      <c r="A60" s="30"/>
      <c r="B60" s="30"/>
      <c r="C60" s="30"/>
      <c r="D60" s="30"/>
      <c r="E60" s="30"/>
      <c r="F60" s="30"/>
      <c r="G60" s="30"/>
      <c r="H60" s="30"/>
    </row>
    <row r="61" spans="1:12" ht="67.5" customHeight="1" x14ac:dyDescent="0.25">
      <c r="A61" s="974" t="s">
        <v>99</v>
      </c>
      <c r="B61" s="974"/>
      <c r="C61" s="974"/>
      <c r="D61" s="974"/>
      <c r="E61" s="974"/>
      <c r="F61" s="974"/>
      <c r="G61" s="974"/>
      <c r="H61" s="974"/>
      <c r="I61" s="974"/>
      <c r="J61" s="974"/>
      <c r="K61" s="974"/>
    </row>
    <row r="62" spans="1:12" ht="126" customHeight="1" x14ac:dyDescent="0.25">
      <c r="A62" s="974" t="s">
        <v>100</v>
      </c>
      <c r="B62" s="974"/>
      <c r="C62" s="974"/>
      <c r="D62" s="974"/>
      <c r="E62" s="974"/>
      <c r="F62" s="974"/>
      <c r="G62" s="974"/>
      <c r="H62" s="974"/>
      <c r="I62" s="974"/>
      <c r="J62" s="974"/>
      <c r="K62" s="974"/>
      <c r="L62" s="33"/>
    </row>
    <row r="63" spans="1:12" ht="76.5" customHeight="1" x14ac:dyDescent="0.25">
      <c r="A63" s="974" t="s">
        <v>101</v>
      </c>
      <c r="B63" s="974"/>
      <c r="C63" s="974"/>
      <c r="D63" s="974"/>
      <c r="E63" s="974"/>
      <c r="F63" s="974"/>
      <c r="G63" s="974"/>
      <c r="H63" s="974"/>
      <c r="I63" s="974"/>
      <c r="J63" s="974"/>
      <c r="K63" s="974"/>
    </row>
    <row r="64" spans="1:12" ht="18" customHeight="1" x14ac:dyDescent="0.25">
      <c r="B64" s="30"/>
      <c r="C64" s="30"/>
      <c r="D64" s="30"/>
      <c r="E64" s="30"/>
      <c r="F64" s="30"/>
      <c r="G64" s="30"/>
      <c r="H64" s="30"/>
    </row>
    <row r="65" spans="1:8" ht="18" customHeight="1" x14ac:dyDescent="0.25">
      <c r="A65" s="30"/>
      <c r="B65" s="30"/>
      <c r="C65" s="30"/>
      <c r="D65" s="30"/>
      <c r="E65" s="30"/>
      <c r="F65" s="30"/>
      <c r="G65" s="30"/>
      <c r="H65" s="30"/>
    </row>
    <row r="66" spans="1:8" ht="18" customHeight="1" x14ac:dyDescent="0.25">
      <c r="A66" s="30"/>
      <c r="B66" s="30"/>
      <c r="C66" s="30"/>
      <c r="D66" s="30"/>
      <c r="E66" s="30"/>
      <c r="F66" s="30"/>
      <c r="G66" s="30"/>
      <c r="H66" s="30"/>
    </row>
    <row r="67" spans="1:8" ht="18" customHeight="1" x14ac:dyDescent="0.25">
      <c r="A67" s="30"/>
      <c r="B67" s="30"/>
      <c r="C67" s="30"/>
      <c r="D67" s="30"/>
      <c r="E67" s="30"/>
      <c r="F67" s="30"/>
      <c r="G67" s="30"/>
      <c r="H67" s="30"/>
    </row>
    <row r="68" spans="1:8" ht="18" customHeight="1" x14ac:dyDescent="0.25">
      <c r="A68" s="30"/>
      <c r="B68" s="30"/>
      <c r="C68" s="30"/>
      <c r="D68" s="30"/>
      <c r="E68" s="30"/>
      <c r="F68" s="30"/>
      <c r="G68" s="30"/>
      <c r="H68" s="30"/>
    </row>
    <row r="69" spans="1:8" ht="18" customHeight="1" x14ac:dyDescent="0.25">
      <c r="A69" s="30"/>
      <c r="B69" s="30"/>
      <c r="C69" s="30"/>
      <c r="D69" s="30"/>
      <c r="E69" s="30"/>
      <c r="F69" s="30"/>
      <c r="G69" s="30"/>
      <c r="H69" s="30"/>
    </row>
    <row r="70" spans="1:8" ht="18" customHeight="1" x14ac:dyDescent="0.25">
      <c r="A70" s="30"/>
      <c r="B70" s="30"/>
      <c r="C70" s="30"/>
      <c r="D70" s="30"/>
      <c r="E70" s="30"/>
      <c r="F70" s="30"/>
      <c r="G70" s="30"/>
      <c r="H70" s="30"/>
    </row>
    <row r="71" spans="1:8" ht="18" customHeight="1" x14ac:dyDescent="0.25">
      <c r="A71" s="30"/>
      <c r="B71" s="30"/>
      <c r="C71" s="30"/>
      <c r="D71" s="30"/>
      <c r="E71" s="30"/>
      <c r="F71" s="30"/>
      <c r="G71" s="30"/>
      <c r="H71" s="30"/>
    </row>
    <row r="72" spans="1:8" ht="18" customHeight="1" x14ac:dyDescent="0.25">
      <c r="A72" s="30"/>
      <c r="B72" s="30"/>
      <c r="C72" s="30"/>
      <c r="D72" s="30"/>
      <c r="E72" s="30"/>
      <c r="F72" s="30"/>
      <c r="G72" s="30"/>
      <c r="H72" s="30"/>
    </row>
    <row r="73" spans="1:8" ht="18" customHeight="1" x14ac:dyDescent="0.25">
      <c r="A73" s="30"/>
      <c r="B73" s="30"/>
      <c r="C73" s="30"/>
      <c r="D73" s="30"/>
      <c r="E73" s="30"/>
      <c r="F73" s="30"/>
      <c r="G73" s="30"/>
      <c r="H73" s="30"/>
    </row>
    <row r="74" spans="1:8" ht="18" customHeight="1" x14ac:dyDescent="0.25">
      <c r="A74" s="30"/>
      <c r="B74" s="30"/>
      <c r="C74" s="30"/>
      <c r="D74" s="30"/>
      <c r="E74" s="30"/>
      <c r="F74" s="30"/>
      <c r="G74" s="30"/>
      <c r="H74" s="30"/>
    </row>
    <row r="75" spans="1:8" ht="18" customHeight="1" x14ac:dyDescent="0.25">
      <c r="A75" s="30"/>
      <c r="B75" s="30"/>
      <c r="C75" s="30"/>
      <c r="D75" s="30"/>
      <c r="E75" s="30"/>
      <c r="F75" s="30"/>
      <c r="G75" s="30"/>
      <c r="H75" s="30"/>
    </row>
  </sheetData>
  <mergeCells count="94">
    <mergeCell ref="A61:K61"/>
    <mergeCell ref="A62:K62"/>
    <mergeCell ref="A63:K63"/>
    <mergeCell ref="A57:C57"/>
    <mergeCell ref="D57:H57"/>
    <mergeCell ref="A58:C58"/>
    <mergeCell ref="D58:H58"/>
    <mergeCell ref="A59:C59"/>
    <mergeCell ref="D59:H59"/>
    <mergeCell ref="A54:C54"/>
    <mergeCell ref="D54:H54"/>
    <mergeCell ref="A55:C55"/>
    <mergeCell ref="D55:H55"/>
    <mergeCell ref="A56:C56"/>
    <mergeCell ref="D56:H56"/>
    <mergeCell ref="A50:C50"/>
    <mergeCell ref="D50:H50"/>
    <mergeCell ref="A52:H52"/>
    <mergeCell ref="A53:C53"/>
    <mergeCell ref="D53:H53"/>
    <mergeCell ref="A47:C47"/>
    <mergeCell ref="D47:H47"/>
    <mergeCell ref="A48:C48"/>
    <mergeCell ref="D48:H48"/>
    <mergeCell ref="A49:C49"/>
    <mergeCell ref="D49:H49"/>
    <mergeCell ref="A44:C44"/>
    <mergeCell ref="D44:H44"/>
    <mergeCell ref="A45:C45"/>
    <mergeCell ref="D45:H45"/>
    <mergeCell ref="A46:K46"/>
    <mergeCell ref="A41:C41"/>
    <mergeCell ref="D41:H41"/>
    <mergeCell ref="A42:C42"/>
    <mergeCell ref="D42:H42"/>
    <mergeCell ref="A43:K43"/>
    <mergeCell ref="A38:K38"/>
    <mergeCell ref="A39:C39"/>
    <mergeCell ref="D39:H39"/>
    <mergeCell ref="A40:C40"/>
    <mergeCell ref="D40:H40"/>
    <mergeCell ref="A35:C35"/>
    <mergeCell ref="D35:H35"/>
    <mergeCell ref="A36:C36"/>
    <mergeCell ref="D36:H36"/>
    <mergeCell ref="A37:C37"/>
    <mergeCell ref="D37:H37"/>
    <mergeCell ref="I32:K32"/>
    <mergeCell ref="A33:C33"/>
    <mergeCell ref="D33:H33"/>
    <mergeCell ref="I33:K33"/>
    <mergeCell ref="A34:C34"/>
    <mergeCell ref="D34:H34"/>
    <mergeCell ref="I34:K34"/>
    <mergeCell ref="A30:C30"/>
    <mergeCell ref="D30:H30"/>
    <mergeCell ref="A31:C31"/>
    <mergeCell ref="D31:H31"/>
    <mergeCell ref="A32:C32"/>
    <mergeCell ref="D32:H32"/>
    <mergeCell ref="A27:C27"/>
    <mergeCell ref="D27:H27"/>
    <mergeCell ref="A28:C28"/>
    <mergeCell ref="D28:H28"/>
    <mergeCell ref="A29:C29"/>
    <mergeCell ref="D29:H29"/>
    <mergeCell ref="I23:K23"/>
    <mergeCell ref="A24:C24"/>
    <mergeCell ref="D24:H24"/>
    <mergeCell ref="A25:K25"/>
    <mergeCell ref="A26:K26"/>
    <mergeCell ref="A20:C20"/>
    <mergeCell ref="D20:H20"/>
    <mergeCell ref="A21:C21"/>
    <mergeCell ref="D21:H21"/>
    <mergeCell ref="A23:H23"/>
    <mergeCell ref="A17:C17"/>
    <mergeCell ref="D17:H17"/>
    <mergeCell ref="A18:C18"/>
    <mergeCell ref="D18:H18"/>
    <mergeCell ref="A19:C19"/>
    <mergeCell ref="D19:H19"/>
    <mergeCell ref="A14:C14"/>
    <mergeCell ref="D14:H14"/>
    <mergeCell ref="A15:C15"/>
    <mergeCell ref="D15:H15"/>
    <mergeCell ref="A16:C16"/>
    <mergeCell ref="D16:H16"/>
    <mergeCell ref="F1:K1"/>
    <mergeCell ref="F2:K2"/>
    <mergeCell ref="A10:K10"/>
    <mergeCell ref="A12:H12"/>
    <mergeCell ref="A13:C13"/>
    <mergeCell ref="D13:H13"/>
  </mergeCells>
  <hyperlinks>
    <hyperlink ref="A14" location="CUANTIAS" display="Cuantías de contratación (por pluralidad de oferentes)" xr:uid="{00000000-0004-0000-0000-000000000000}"/>
    <hyperlink ref="A15" location="APOYO!A1" display="Documentos de apoyo" xr:uid="{00000000-0004-0000-0000-000001000000}"/>
    <hyperlink ref="A16" location="impg" display="Impuestos y garantías" xr:uid="{00000000-0004-0000-0000-000002000000}"/>
    <hyperlink ref="A17" location="ANTI" display="Información anticipos y pagos anticipados" xr:uid="{00000000-0004-0000-0000-000003000000}"/>
    <hyperlink ref="A18" location="CRK" display="Información procesos de obra pública y capacidad residual (K)" xr:uid="{00000000-0004-0000-0000-000004000000}"/>
    <hyperlink ref="A19" location="IVA!A1" display="Información IVA" xr:uid="{00000000-0004-0000-0000-000005000000}"/>
    <hyperlink ref="A20" location="NPE" display="Notas propuesta económica" xr:uid="{00000000-0004-0000-0000-000006000000}"/>
    <hyperlink ref="A21" location="RFO" display="Requisitos habilitantes capacidad financiera y organizacional" xr:uid="{00000000-0004-0000-0000-000007000000}"/>
    <hyperlink ref="A27" location="PEFI" display="Plan de ejecución física y de inversiones" xr:uid="{00000000-0004-0000-0000-000008000000}"/>
    <hyperlink ref="A28" location="PEPSP1" display="Plan de ejecución física y de inversiones - Prestación de Servicios Personales" xr:uid="{00000000-0004-0000-0000-000009000000}"/>
    <hyperlink ref="A29" location="PC" display="Presupuesto - Modalidad contrato" xr:uid="{00000000-0004-0000-0000-00000A000000}"/>
    <hyperlink ref="A30" location="PPTOPSP" display="Presupuesto - Modalidad contrato - Prestación de Servicios Personales" xr:uid="{00000000-0004-0000-0000-00000B000000}"/>
    <hyperlink ref="A31" location="PCV" display="Presupuesto - Modalidad convenio" xr:uid="{00000000-0004-0000-0000-00000C000000}"/>
    <hyperlink ref="A32" location="MCOP1" display="Memoria de cálculo - Opción 1" xr:uid="{00000000-0004-0000-0000-00000D000000}"/>
    <hyperlink ref="A33" location="MCCOP2" display="Memoria de cálculo - Opción 2" xr:uid="{00000000-0004-0000-0000-00000E000000}"/>
    <hyperlink ref="A34" location="MCCOP3" display="Memoria de cálculo - Opción 3" xr:uid="{00000000-0004-0000-0000-00000F000000}"/>
    <hyperlink ref="A35" location="estmercado" display="Estudio de mercado" xr:uid="{00000000-0004-0000-0000-000010000000}"/>
    <hyperlink ref="A36" location="gtosadm" display="Determinación de gastos de administración" xr:uid="{00000000-0004-0000-0000-000011000000}"/>
    <hyperlink ref="A37" location="rele" display="Identificación de bienes nacionales relevantes" xr:uid="{00000000-0004-0000-0000-000012000000}"/>
    <hyperlink ref="A39" location="ppta" display="Propuesta económica - Opción 1" xr:uid="{00000000-0004-0000-0000-000013000000}"/>
    <hyperlink ref="A40" location="PPTA2" display="Propuesta económica - Opción 2" xr:uid="{00000000-0004-0000-0000-000014000000}"/>
    <hyperlink ref="A41" location="ppta3" display="Propuesta económica - Opción 3" xr:uid="{00000000-0004-0000-0000-000015000000}"/>
    <hyperlink ref="A42" location="PABCA" display="Estimación PAB comparación absoluta" xr:uid="{00000000-0004-0000-0000-000016000000}"/>
    <hyperlink ref="A44" location="evafin" display="Verificación de requisitos habilitantes de los proponentes sobre capacidad financiera y organizacional" xr:uid="{00000000-0004-0000-0000-000017000000}"/>
    <hyperlink ref="A45" location="PABCR" display="Estimación PAB comparación relativa" xr:uid="{00000000-0004-0000-0000-000018000000}"/>
    <hyperlink ref="A47" location="subasta2" display="Subasta inversa - Análisis de habilitados" xr:uid="{00000000-0004-0000-0000-000019000000}"/>
    <hyperlink ref="A48" location="subasta1" display="Subasta inversa presencial - Análisis de lances" xr:uid="{00000000-0004-0000-0000-00001A000000}"/>
    <hyperlink ref="A49" location="subasta3" display="Subasta inversa presencial - Lances de precios" xr:uid="{00000000-0004-0000-0000-00001B000000}"/>
    <hyperlink ref="A50" location="subasta4" display="Subasta inversa presencial - Declinación de lances" xr:uid="{00000000-0004-0000-0000-00001C000000}"/>
    <hyperlink ref="A54" location="gdym" display="Valores de gastos de desplazamiento y manutención" xr:uid="{00000000-0004-0000-0000-00001D000000}"/>
    <hyperlink ref="A55" location="honorarios!A1" display="Valores de honorarios (prestadores de servicios)" xr:uid="{00000000-0004-0000-0000-00001E000000}"/>
    <hyperlink ref="A56" location="jornal!A1" display="Valores de jornales" xr:uid="{00000000-0004-0000-0000-00001F000000}"/>
    <hyperlink ref="A57" location="salarios!A1" display="Valores de salarios" xr:uid="{00000000-0004-0000-0000-000020000000}"/>
    <hyperlink ref="A58" location="alimentación!A1" display="Valores de alimentación" xr:uid="{00000000-0004-0000-0000-000021000000}"/>
    <hyperlink ref="A59" location="distintivos!A1" display="Valores de distintivos corporativos" xr:uid="{00000000-0004-0000-0000-000022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Q242"/>
  <sheetViews>
    <sheetView showGridLines="0" topLeftCell="A9" zoomScale="85" zoomScaleNormal="85" zoomScalePageLayoutView="80" workbookViewId="0">
      <selection activeCell="I9" sqref="I9"/>
    </sheetView>
  </sheetViews>
  <sheetFormatPr baseColWidth="10" defaultColWidth="12" defaultRowHeight="18" customHeight="1" x14ac:dyDescent="0.25"/>
  <cols>
    <col min="1" max="1" width="30.109375" style="34" customWidth="1"/>
    <col min="2" max="2" width="25.6640625" style="34" customWidth="1"/>
    <col min="3" max="3" width="20.33203125" style="34" customWidth="1"/>
    <col min="4" max="4" width="19.6640625" style="35" customWidth="1"/>
    <col min="5" max="31" width="22.77734375" style="34" customWidth="1"/>
    <col min="32" max="32" width="15.33203125" style="34" customWidth="1"/>
    <col min="33" max="268" width="12" style="34"/>
    <col min="269" max="269" width="16.33203125" style="34" customWidth="1"/>
    <col min="270" max="270" width="30.77734375" style="34" customWidth="1"/>
    <col min="271" max="271" width="15.109375" style="34" customWidth="1"/>
    <col min="272" max="272" width="17" style="34" customWidth="1"/>
    <col min="273" max="273" width="16.33203125" style="34" customWidth="1"/>
    <col min="274" max="285" width="13" style="34" customWidth="1"/>
    <col min="286" max="286" width="17.33203125" style="34" customWidth="1"/>
    <col min="287" max="524" width="12" style="34"/>
    <col min="525" max="525" width="16.33203125" style="34" customWidth="1"/>
    <col min="526" max="526" width="30.77734375" style="34" customWidth="1"/>
    <col min="527" max="527" width="15.109375" style="34" customWidth="1"/>
    <col min="528" max="528" width="17" style="34" customWidth="1"/>
    <col min="529" max="529" width="16.33203125" style="34" customWidth="1"/>
    <col min="530" max="541" width="13" style="34" customWidth="1"/>
    <col min="542" max="542" width="17.33203125" style="34" customWidth="1"/>
    <col min="543" max="780" width="12" style="34"/>
    <col min="781" max="781" width="16.33203125" style="34" customWidth="1"/>
    <col min="782" max="782" width="30.77734375" style="34" customWidth="1"/>
    <col min="783" max="783" width="15.109375" style="34" customWidth="1"/>
    <col min="784" max="784" width="17" style="34" customWidth="1"/>
    <col min="785" max="785" width="16.33203125" style="34" customWidth="1"/>
    <col min="786" max="797" width="13" style="34" customWidth="1"/>
    <col min="798" max="798" width="17.33203125" style="34" customWidth="1"/>
    <col min="799" max="1036" width="12" style="34"/>
    <col min="1037" max="1037" width="16.33203125" style="34" customWidth="1"/>
    <col min="1038" max="1038" width="30.77734375" style="34" customWidth="1"/>
    <col min="1039" max="1039" width="15.109375" style="34" customWidth="1"/>
    <col min="1040" max="1040" width="17" style="34" customWidth="1"/>
    <col min="1041" max="1041" width="16.33203125" style="34" customWidth="1"/>
    <col min="1042" max="1053" width="13" style="34" customWidth="1"/>
    <col min="1054" max="1054" width="17.33203125" style="34" customWidth="1"/>
    <col min="1055" max="1292" width="12" style="34"/>
    <col min="1293" max="1293" width="16.33203125" style="34" customWidth="1"/>
    <col min="1294" max="1294" width="30.77734375" style="34" customWidth="1"/>
    <col min="1295" max="1295" width="15.109375" style="34" customWidth="1"/>
    <col min="1296" max="1296" width="17" style="34" customWidth="1"/>
    <col min="1297" max="1297" width="16.33203125" style="34" customWidth="1"/>
    <col min="1298" max="1309" width="13" style="34" customWidth="1"/>
    <col min="1310" max="1310" width="17.33203125" style="34" customWidth="1"/>
    <col min="1311" max="1548" width="12" style="34"/>
    <col min="1549" max="1549" width="16.33203125" style="34" customWidth="1"/>
    <col min="1550" max="1550" width="30.77734375" style="34" customWidth="1"/>
    <col min="1551" max="1551" width="15.109375" style="34" customWidth="1"/>
    <col min="1552" max="1552" width="17" style="34" customWidth="1"/>
    <col min="1553" max="1553" width="16.33203125" style="34" customWidth="1"/>
    <col min="1554" max="1565" width="13" style="34" customWidth="1"/>
    <col min="1566" max="1566" width="17.33203125" style="34" customWidth="1"/>
    <col min="1567" max="1804" width="12" style="34"/>
    <col min="1805" max="1805" width="16.33203125" style="34" customWidth="1"/>
    <col min="1806" max="1806" width="30.77734375" style="34" customWidth="1"/>
    <col min="1807" max="1807" width="15.109375" style="34" customWidth="1"/>
    <col min="1808" max="1808" width="17" style="34" customWidth="1"/>
    <col min="1809" max="1809" width="16.33203125" style="34" customWidth="1"/>
    <col min="1810" max="1821" width="13" style="34" customWidth="1"/>
    <col min="1822" max="1822" width="17.33203125" style="34" customWidth="1"/>
    <col min="1823" max="2060" width="12" style="34"/>
    <col min="2061" max="2061" width="16.33203125" style="34" customWidth="1"/>
    <col min="2062" max="2062" width="30.77734375" style="34" customWidth="1"/>
    <col min="2063" max="2063" width="15.109375" style="34" customWidth="1"/>
    <col min="2064" max="2064" width="17" style="34" customWidth="1"/>
    <col min="2065" max="2065" width="16.33203125" style="34" customWidth="1"/>
    <col min="2066" max="2077" width="13" style="34" customWidth="1"/>
    <col min="2078" max="2078" width="17.33203125" style="34" customWidth="1"/>
    <col min="2079" max="2316" width="12" style="34"/>
    <col min="2317" max="2317" width="16.33203125" style="34" customWidth="1"/>
    <col min="2318" max="2318" width="30.77734375" style="34" customWidth="1"/>
    <col min="2319" max="2319" width="15.109375" style="34" customWidth="1"/>
    <col min="2320" max="2320" width="17" style="34" customWidth="1"/>
    <col min="2321" max="2321" width="16.33203125" style="34" customWidth="1"/>
    <col min="2322" max="2333" width="13" style="34" customWidth="1"/>
    <col min="2334" max="2334" width="17.33203125" style="34" customWidth="1"/>
    <col min="2335" max="2572" width="12" style="34"/>
    <col min="2573" max="2573" width="16.33203125" style="34" customWidth="1"/>
    <col min="2574" max="2574" width="30.77734375" style="34" customWidth="1"/>
    <col min="2575" max="2575" width="15.109375" style="34" customWidth="1"/>
    <col min="2576" max="2576" width="17" style="34" customWidth="1"/>
    <col min="2577" max="2577" width="16.33203125" style="34" customWidth="1"/>
    <col min="2578" max="2589" width="13" style="34" customWidth="1"/>
    <col min="2590" max="2590" width="17.33203125" style="34" customWidth="1"/>
    <col min="2591" max="2828" width="12" style="34"/>
    <col min="2829" max="2829" width="16.33203125" style="34" customWidth="1"/>
    <col min="2830" max="2830" width="30.77734375" style="34" customWidth="1"/>
    <col min="2831" max="2831" width="15.109375" style="34" customWidth="1"/>
    <col min="2832" max="2832" width="17" style="34" customWidth="1"/>
    <col min="2833" max="2833" width="16.33203125" style="34" customWidth="1"/>
    <col min="2834" max="2845" width="13" style="34" customWidth="1"/>
    <col min="2846" max="2846" width="17.33203125" style="34" customWidth="1"/>
    <col min="2847" max="3084" width="12" style="34"/>
    <col min="3085" max="3085" width="16.33203125" style="34" customWidth="1"/>
    <col min="3086" max="3086" width="30.77734375" style="34" customWidth="1"/>
    <col min="3087" max="3087" width="15.109375" style="34" customWidth="1"/>
    <col min="3088" max="3088" width="17" style="34" customWidth="1"/>
    <col min="3089" max="3089" width="16.33203125" style="34" customWidth="1"/>
    <col min="3090" max="3101" width="13" style="34" customWidth="1"/>
    <col min="3102" max="3102" width="17.33203125" style="34" customWidth="1"/>
    <col min="3103" max="3340" width="12" style="34"/>
    <col min="3341" max="3341" width="16.33203125" style="34" customWidth="1"/>
    <col min="3342" max="3342" width="30.77734375" style="34" customWidth="1"/>
    <col min="3343" max="3343" width="15.109375" style="34" customWidth="1"/>
    <col min="3344" max="3344" width="17" style="34" customWidth="1"/>
    <col min="3345" max="3345" width="16.33203125" style="34" customWidth="1"/>
    <col min="3346" max="3357" width="13" style="34" customWidth="1"/>
    <col min="3358" max="3358" width="17.33203125" style="34" customWidth="1"/>
    <col min="3359" max="3596" width="12" style="34"/>
    <col min="3597" max="3597" width="16.33203125" style="34" customWidth="1"/>
    <col min="3598" max="3598" width="30.77734375" style="34" customWidth="1"/>
    <col min="3599" max="3599" width="15.109375" style="34" customWidth="1"/>
    <col min="3600" max="3600" width="17" style="34" customWidth="1"/>
    <col min="3601" max="3601" width="16.33203125" style="34" customWidth="1"/>
    <col min="3602" max="3613" width="13" style="34" customWidth="1"/>
    <col min="3614" max="3614" width="17.33203125" style="34" customWidth="1"/>
    <col min="3615" max="3852" width="12" style="34"/>
    <col min="3853" max="3853" width="16.33203125" style="34" customWidth="1"/>
    <col min="3854" max="3854" width="30.77734375" style="34" customWidth="1"/>
    <col min="3855" max="3855" width="15.109375" style="34" customWidth="1"/>
    <col min="3856" max="3856" width="17" style="34" customWidth="1"/>
    <col min="3857" max="3857" width="16.33203125" style="34" customWidth="1"/>
    <col min="3858" max="3869" width="13" style="34" customWidth="1"/>
    <col min="3870" max="3870" width="17.33203125" style="34" customWidth="1"/>
    <col min="3871" max="4108" width="12" style="34"/>
    <col min="4109" max="4109" width="16.33203125" style="34" customWidth="1"/>
    <col min="4110" max="4110" width="30.77734375" style="34" customWidth="1"/>
    <col min="4111" max="4111" width="15.109375" style="34" customWidth="1"/>
    <col min="4112" max="4112" width="17" style="34" customWidth="1"/>
    <col min="4113" max="4113" width="16.33203125" style="34" customWidth="1"/>
    <col min="4114" max="4125" width="13" style="34" customWidth="1"/>
    <col min="4126" max="4126" width="17.33203125" style="34" customWidth="1"/>
    <col min="4127" max="4364" width="12" style="34"/>
    <col min="4365" max="4365" width="16.33203125" style="34" customWidth="1"/>
    <col min="4366" max="4366" width="30.77734375" style="34" customWidth="1"/>
    <col min="4367" max="4367" width="15.109375" style="34" customWidth="1"/>
    <col min="4368" max="4368" width="17" style="34" customWidth="1"/>
    <col min="4369" max="4369" width="16.33203125" style="34" customWidth="1"/>
    <col min="4370" max="4381" width="13" style="34" customWidth="1"/>
    <col min="4382" max="4382" width="17.33203125" style="34" customWidth="1"/>
    <col min="4383" max="4620" width="12" style="34"/>
    <col min="4621" max="4621" width="16.33203125" style="34" customWidth="1"/>
    <col min="4622" max="4622" width="30.77734375" style="34" customWidth="1"/>
    <col min="4623" max="4623" width="15.109375" style="34" customWidth="1"/>
    <col min="4624" max="4624" width="17" style="34" customWidth="1"/>
    <col min="4625" max="4625" width="16.33203125" style="34" customWidth="1"/>
    <col min="4626" max="4637" width="13" style="34" customWidth="1"/>
    <col min="4638" max="4638" width="17.33203125" style="34" customWidth="1"/>
    <col min="4639" max="4876" width="12" style="34"/>
    <col min="4877" max="4877" width="16.33203125" style="34" customWidth="1"/>
    <col min="4878" max="4878" width="30.77734375" style="34" customWidth="1"/>
    <col min="4879" max="4879" width="15.109375" style="34" customWidth="1"/>
    <col min="4880" max="4880" width="17" style="34" customWidth="1"/>
    <col min="4881" max="4881" width="16.33203125" style="34" customWidth="1"/>
    <col min="4882" max="4893" width="13" style="34" customWidth="1"/>
    <col min="4894" max="4894" width="17.33203125" style="34" customWidth="1"/>
    <col min="4895" max="5132" width="12" style="34"/>
    <col min="5133" max="5133" width="16.33203125" style="34" customWidth="1"/>
    <col min="5134" max="5134" width="30.77734375" style="34" customWidth="1"/>
    <col min="5135" max="5135" width="15.109375" style="34" customWidth="1"/>
    <col min="5136" max="5136" width="17" style="34" customWidth="1"/>
    <col min="5137" max="5137" width="16.33203125" style="34" customWidth="1"/>
    <col min="5138" max="5149" width="13" style="34" customWidth="1"/>
    <col min="5150" max="5150" width="17.33203125" style="34" customWidth="1"/>
    <col min="5151" max="5388" width="12" style="34"/>
    <col min="5389" max="5389" width="16.33203125" style="34" customWidth="1"/>
    <col min="5390" max="5390" width="30.77734375" style="34" customWidth="1"/>
    <col min="5391" max="5391" width="15.109375" style="34" customWidth="1"/>
    <col min="5392" max="5392" width="17" style="34" customWidth="1"/>
    <col min="5393" max="5393" width="16.33203125" style="34" customWidth="1"/>
    <col min="5394" max="5405" width="13" style="34" customWidth="1"/>
    <col min="5406" max="5406" width="17.33203125" style="34" customWidth="1"/>
    <col min="5407" max="5644" width="12" style="34"/>
    <col min="5645" max="5645" width="16.33203125" style="34" customWidth="1"/>
    <col min="5646" max="5646" width="30.77734375" style="34" customWidth="1"/>
    <col min="5647" max="5647" width="15.109375" style="34" customWidth="1"/>
    <col min="5648" max="5648" width="17" style="34" customWidth="1"/>
    <col min="5649" max="5649" width="16.33203125" style="34" customWidth="1"/>
    <col min="5650" max="5661" width="13" style="34" customWidth="1"/>
    <col min="5662" max="5662" width="17.33203125" style="34" customWidth="1"/>
    <col min="5663" max="5900" width="12" style="34"/>
    <col min="5901" max="5901" width="16.33203125" style="34" customWidth="1"/>
    <col min="5902" max="5902" width="30.77734375" style="34" customWidth="1"/>
    <col min="5903" max="5903" width="15.109375" style="34" customWidth="1"/>
    <col min="5904" max="5904" width="17" style="34" customWidth="1"/>
    <col min="5905" max="5905" width="16.33203125" style="34" customWidth="1"/>
    <col min="5906" max="5917" width="13" style="34" customWidth="1"/>
    <col min="5918" max="5918" width="17.33203125" style="34" customWidth="1"/>
    <col min="5919" max="6156" width="12" style="34"/>
    <col min="6157" max="6157" width="16.33203125" style="34" customWidth="1"/>
    <col min="6158" max="6158" width="30.77734375" style="34" customWidth="1"/>
    <col min="6159" max="6159" width="15.109375" style="34" customWidth="1"/>
    <col min="6160" max="6160" width="17" style="34" customWidth="1"/>
    <col min="6161" max="6161" width="16.33203125" style="34" customWidth="1"/>
    <col min="6162" max="6173" width="13" style="34" customWidth="1"/>
    <col min="6174" max="6174" width="17.33203125" style="34" customWidth="1"/>
    <col min="6175" max="6412" width="12" style="34"/>
    <col min="6413" max="6413" width="16.33203125" style="34" customWidth="1"/>
    <col min="6414" max="6414" width="30.77734375" style="34" customWidth="1"/>
    <col min="6415" max="6415" width="15.109375" style="34" customWidth="1"/>
    <col min="6416" max="6416" width="17" style="34" customWidth="1"/>
    <col min="6417" max="6417" width="16.33203125" style="34" customWidth="1"/>
    <col min="6418" max="6429" width="13" style="34" customWidth="1"/>
    <col min="6430" max="6430" width="17.33203125" style="34" customWidth="1"/>
    <col min="6431" max="6668" width="12" style="34"/>
    <col min="6669" max="6669" width="16.33203125" style="34" customWidth="1"/>
    <col min="6670" max="6670" width="30.77734375" style="34" customWidth="1"/>
    <col min="6671" max="6671" width="15.109375" style="34" customWidth="1"/>
    <col min="6672" max="6672" width="17" style="34" customWidth="1"/>
    <col min="6673" max="6673" width="16.33203125" style="34" customWidth="1"/>
    <col min="6674" max="6685" width="13" style="34" customWidth="1"/>
    <col min="6686" max="6686" width="17.33203125" style="34" customWidth="1"/>
    <col min="6687" max="6924" width="12" style="34"/>
    <col min="6925" max="6925" width="16.33203125" style="34" customWidth="1"/>
    <col min="6926" max="6926" width="30.77734375" style="34" customWidth="1"/>
    <col min="6927" max="6927" width="15.109375" style="34" customWidth="1"/>
    <col min="6928" max="6928" width="17" style="34" customWidth="1"/>
    <col min="6929" max="6929" width="16.33203125" style="34" customWidth="1"/>
    <col min="6930" max="6941" width="13" style="34" customWidth="1"/>
    <col min="6942" max="6942" width="17.33203125" style="34" customWidth="1"/>
    <col min="6943" max="7180" width="12" style="34"/>
    <col min="7181" max="7181" width="16.33203125" style="34" customWidth="1"/>
    <col min="7182" max="7182" width="30.77734375" style="34" customWidth="1"/>
    <col min="7183" max="7183" width="15.109375" style="34" customWidth="1"/>
    <col min="7184" max="7184" width="17" style="34" customWidth="1"/>
    <col min="7185" max="7185" width="16.33203125" style="34" customWidth="1"/>
    <col min="7186" max="7197" width="13" style="34" customWidth="1"/>
    <col min="7198" max="7198" width="17.33203125" style="34" customWidth="1"/>
    <col min="7199" max="7436" width="12" style="34"/>
    <col min="7437" max="7437" width="16.33203125" style="34" customWidth="1"/>
    <col min="7438" max="7438" width="30.77734375" style="34" customWidth="1"/>
    <col min="7439" max="7439" width="15.109375" style="34" customWidth="1"/>
    <col min="7440" max="7440" width="17" style="34" customWidth="1"/>
    <col min="7441" max="7441" width="16.33203125" style="34" customWidth="1"/>
    <col min="7442" max="7453" width="13" style="34" customWidth="1"/>
    <col min="7454" max="7454" width="17.33203125" style="34" customWidth="1"/>
    <col min="7455" max="7692" width="12" style="34"/>
    <col min="7693" max="7693" width="16.33203125" style="34" customWidth="1"/>
    <col min="7694" max="7694" width="30.77734375" style="34" customWidth="1"/>
    <col min="7695" max="7695" width="15.109375" style="34" customWidth="1"/>
    <col min="7696" max="7696" width="17" style="34" customWidth="1"/>
    <col min="7697" max="7697" width="16.33203125" style="34" customWidth="1"/>
    <col min="7698" max="7709" width="13" style="34" customWidth="1"/>
    <col min="7710" max="7710" width="17.33203125" style="34" customWidth="1"/>
    <col min="7711" max="7948" width="12" style="34"/>
    <col min="7949" max="7949" width="16.33203125" style="34" customWidth="1"/>
    <col min="7950" max="7950" width="30.77734375" style="34" customWidth="1"/>
    <col min="7951" max="7951" width="15.109375" style="34" customWidth="1"/>
    <col min="7952" max="7952" width="17" style="34" customWidth="1"/>
    <col min="7953" max="7953" width="16.33203125" style="34" customWidth="1"/>
    <col min="7954" max="7965" width="13" style="34" customWidth="1"/>
    <col min="7966" max="7966" width="17.33203125" style="34" customWidth="1"/>
    <col min="7967" max="8204" width="12" style="34"/>
    <col min="8205" max="8205" width="16.33203125" style="34" customWidth="1"/>
    <col min="8206" max="8206" width="30.77734375" style="34" customWidth="1"/>
    <col min="8207" max="8207" width="15.109375" style="34" customWidth="1"/>
    <col min="8208" max="8208" width="17" style="34" customWidth="1"/>
    <col min="8209" max="8209" width="16.33203125" style="34" customWidth="1"/>
    <col min="8210" max="8221" width="13" style="34" customWidth="1"/>
    <col min="8222" max="8222" width="17.33203125" style="34" customWidth="1"/>
    <col min="8223" max="8460" width="12" style="34"/>
    <col min="8461" max="8461" width="16.33203125" style="34" customWidth="1"/>
    <col min="8462" max="8462" width="30.77734375" style="34" customWidth="1"/>
    <col min="8463" max="8463" width="15.109375" style="34" customWidth="1"/>
    <col min="8464" max="8464" width="17" style="34" customWidth="1"/>
    <col min="8465" max="8465" width="16.33203125" style="34" customWidth="1"/>
    <col min="8466" max="8477" width="13" style="34" customWidth="1"/>
    <col min="8478" max="8478" width="17.33203125" style="34" customWidth="1"/>
    <col min="8479" max="8716" width="12" style="34"/>
    <col min="8717" max="8717" width="16.33203125" style="34" customWidth="1"/>
    <col min="8718" max="8718" width="30.77734375" style="34" customWidth="1"/>
    <col min="8719" max="8719" width="15.109375" style="34" customWidth="1"/>
    <col min="8720" max="8720" width="17" style="34" customWidth="1"/>
    <col min="8721" max="8721" width="16.33203125" style="34" customWidth="1"/>
    <col min="8722" max="8733" width="13" style="34" customWidth="1"/>
    <col min="8734" max="8734" width="17.33203125" style="34" customWidth="1"/>
    <col min="8735" max="8972" width="12" style="34"/>
    <col min="8973" max="8973" width="16.33203125" style="34" customWidth="1"/>
    <col min="8974" max="8974" width="30.77734375" style="34" customWidth="1"/>
    <col min="8975" max="8975" width="15.109375" style="34" customWidth="1"/>
    <col min="8976" max="8976" width="17" style="34" customWidth="1"/>
    <col min="8977" max="8977" width="16.33203125" style="34" customWidth="1"/>
    <col min="8978" max="8989" width="13" style="34" customWidth="1"/>
    <col min="8990" max="8990" width="17.33203125" style="34" customWidth="1"/>
    <col min="8991" max="9228" width="12" style="34"/>
    <col min="9229" max="9229" width="16.33203125" style="34" customWidth="1"/>
    <col min="9230" max="9230" width="30.77734375" style="34" customWidth="1"/>
    <col min="9231" max="9231" width="15.109375" style="34" customWidth="1"/>
    <col min="9232" max="9232" width="17" style="34" customWidth="1"/>
    <col min="9233" max="9233" width="16.33203125" style="34" customWidth="1"/>
    <col min="9234" max="9245" width="13" style="34" customWidth="1"/>
    <col min="9246" max="9246" width="17.33203125" style="34" customWidth="1"/>
    <col min="9247" max="9484" width="12" style="34"/>
    <col min="9485" max="9485" width="16.33203125" style="34" customWidth="1"/>
    <col min="9486" max="9486" width="30.77734375" style="34" customWidth="1"/>
    <col min="9487" max="9487" width="15.109375" style="34" customWidth="1"/>
    <col min="9488" max="9488" width="17" style="34" customWidth="1"/>
    <col min="9489" max="9489" width="16.33203125" style="34" customWidth="1"/>
    <col min="9490" max="9501" width="13" style="34" customWidth="1"/>
    <col min="9502" max="9502" width="17.33203125" style="34" customWidth="1"/>
    <col min="9503" max="9740" width="12" style="34"/>
    <col min="9741" max="9741" width="16.33203125" style="34" customWidth="1"/>
    <col min="9742" max="9742" width="30.77734375" style="34" customWidth="1"/>
    <col min="9743" max="9743" width="15.109375" style="34" customWidth="1"/>
    <col min="9744" max="9744" width="17" style="34" customWidth="1"/>
    <col min="9745" max="9745" width="16.33203125" style="34" customWidth="1"/>
    <col min="9746" max="9757" width="13" style="34" customWidth="1"/>
    <col min="9758" max="9758" width="17.33203125" style="34" customWidth="1"/>
    <col min="9759" max="9996" width="12" style="34"/>
    <col min="9997" max="9997" width="16.33203125" style="34" customWidth="1"/>
    <col min="9998" max="9998" width="30.77734375" style="34" customWidth="1"/>
    <col min="9999" max="9999" width="15.109375" style="34" customWidth="1"/>
    <col min="10000" max="10000" width="17" style="34" customWidth="1"/>
    <col min="10001" max="10001" width="16.33203125" style="34" customWidth="1"/>
    <col min="10002" max="10013" width="13" style="34" customWidth="1"/>
    <col min="10014" max="10014" width="17.33203125" style="34" customWidth="1"/>
    <col min="10015" max="10252" width="12" style="34"/>
    <col min="10253" max="10253" width="16.33203125" style="34" customWidth="1"/>
    <col min="10254" max="10254" width="30.77734375" style="34" customWidth="1"/>
    <col min="10255" max="10255" width="15.109375" style="34" customWidth="1"/>
    <col min="10256" max="10256" width="17" style="34" customWidth="1"/>
    <col min="10257" max="10257" width="16.33203125" style="34" customWidth="1"/>
    <col min="10258" max="10269" width="13" style="34" customWidth="1"/>
    <col min="10270" max="10270" width="17.33203125" style="34" customWidth="1"/>
    <col min="10271" max="10508" width="12" style="34"/>
    <col min="10509" max="10509" width="16.33203125" style="34" customWidth="1"/>
    <col min="10510" max="10510" width="30.77734375" style="34" customWidth="1"/>
    <col min="10511" max="10511" width="15.109375" style="34" customWidth="1"/>
    <col min="10512" max="10512" width="17" style="34" customWidth="1"/>
    <col min="10513" max="10513" width="16.33203125" style="34" customWidth="1"/>
    <col min="10514" max="10525" width="13" style="34" customWidth="1"/>
    <col min="10526" max="10526" width="17.33203125" style="34" customWidth="1"/>
    <col min="10527" max="10764" width="12" style="34"/>
    <col min="10765" max="10765" width="16.33203125" style="34" customWidth="1"/>
    <col min="10766" max="10766" width="30.77734375" style="34" customWidth="1"/>
    <col min="10767" max="10767" width="15.109375" style="34" customWidth="1"/>
    <col min="10768" max="10768" width="17" style="34" customWidth="1"/>
    <col min="10769" max="10769" width="16.33203125" style="34" customWidth="1"/>
    <col min="10770" max="10781" width="13" style="34" customWidth="1"/>
    <col min="10782" max="10782" width="17.33203125" style="34" customWidth="1"/>
    <col min="10783" max="11020" width="12" style="34"/>
    <col min="11021" max="11021" width="16.33203125" style="34" customWidth="1"/>
    <col min="11022" max="11022" width="30.77734375" style="34" customWidth="1"/>
    <col min="11023" max="11023" width="15.109375" style="34" customWidth="1"/>
    <col min="11024" max="11024" width="17" style="34" customWidth="1"/>
    <col min="11025" max="11025" width="16.33203125" style="34" customWidth="1"/>
    <col min="11026" max="11037" width="13" style="34" customWidth="1"/>
    <col min="11038" max="11038" width="17.33203125" style="34" customWidth="1"/>
    <col min="11039" max="11276" width="12" style="34"/>
    <col min="11277" max="11277" width="16.33203125" style="34" customWidth="1"/>
    <col min="11278" max="11278" width="30.77734375" style="34" customWidth="1"/>
    <col min="11279" max="11279" width="15.109375" style="34" customWidth="1"/>
    <col min="11280" max="11280" width="17" style="34" customWidth="1"/>
    <col min="11281" max="11281" width="16.33203125" style="34" customWidth="1"/>
    <col min="11282" max="11293" width="13" style="34" customWidth="1"/>
    <col min="11294" max="11294" width="17.33203125" style="34" customWidth="1"/>
    <col min="11295" max="11532" width="12" style="34"/>
    <col min="11533" max="11533" width="16.33203125" style="34" customWidth="1"/>
    <col min="11534" max="11534" width="30.77734375" style="34" customWidth="1"/>
    <col min="11535" max="11535" width="15.109375" style="34" customWidth="1"/>
    <col min="11536" max="11536" width="17" style="34" customWidth="1"/>
    <col min="11537" max="11537" width="16.33203125" style="34" customWidth="1"/>
    <col min="11538" max="11549" width="13" style="34" customWidth="1"/>
    <col min="11550" max="11550" width="17.33203125" style="34" customWidth="1"/>
    <col min="11551" max="11788" width="12" style="34"/>
    <col min="11789" max="11789" width="16.33203125" style="34" customWidth="1"/>
    <col min="11790" max="11790" width="30.77734375" style="34" customWidth="1"/>
    <col min="11791" max="11791" width="15.109375" style="34" customWidth="1"/>
    <col min="11792" max="11792" width="17" style="34" customWidth="1"/>
    <col min="11793" max="11793" width="16.33203125" style="34" customWidth="1"/>
    <col min="11794" max="11805" width="13" style="34" customWidth="1"/>
    <col min="11806" max="11806" width="17.33203125" style="34" customWidth="1"/>
    <col min="11807" max="12044" width="12" style="34"/>
    <col min="12045" max="12045" width="16.33203125" style="34" customWidth="1"/>
    <col min="12046" max="12046" width="30.77734375" style="34" customWidth="1"/>
    <col min="12047" max="12047" width="15.109375" style="34" customWidth="1"/>
    <col min="12048" max="12048" width="17" style="34" customWidth="1"/>
    <col min="12049" max="12049" width="16.33203125" style="34" customWidth="1"/>
    <col min="12050" max="12061" width="13" style="34" customWidth="1"/>
    <col min="12062" max="12062" width="17.33203125" style="34" customWidth="1"/>
    <col min="12063" max="12300" width="12" style="34"/>
    <col min="12301" max="12301" width="16.33203125" style="34" customWidth="1"/>
    <col min="12302" max="12302" width="30.77734375" style="34" customWidth="1"/>
    <col min="12303" max="12303" width="15.109375" style="34" customWidth="1"/>
    <col min="12304" max="12304" width="17" style="34" customWidth="1"/>
    <col min="12305" max="12305" width="16.33203125" style="34" customWidth="1"/>
    <col min="12306" max="12317" width="13" style="34" customWidth="1"/>
    <col min="12318" max="12318" width="17.33203125" style="34" customWidth="1"/>
    <col min="12319" max="12556" width="12" style="34"/>
    <col min="12557" max="12557" width="16.33203125" style="34" customWidth="1"/>
    <col min="12558" max="12558" width="30.77734375" style="34" customWidth="1"/>
    <col min="12559" max="12559" width="15.109375" style="34" customWidth="1"/>
    <col min="12560" max="12560" width="17" style="34" customWidth="1"/>
    <col min="12561" max="12561" width="16.33203125" style="34" customWidth="1"/>
    <col min="12562" max="12573" width="13" style="34" customWidth="1"/>
    <col min="12574" max="12574" width="17.33203125" style="34" customWidth="1"/>
    <col min="12575" max="12812" width="12" style="34"/>
    <col min="12813" max="12813" width="16.33203125" style="34" customWidth="1"/>
    <col min="12814" max="12814" width="30.77734375" style="34" customWidth="1"/>
    <col min="12815" max="12815" width="15.109375" style="34" customWidth="1"/>
    <col min="12816" max="12816" width="17" style="34" customWidth="1"/>
    <col min="12817" max="12817" width="16.33203125" style="34" customWidth="1"/>
    <col min="12818" max="12829" width="13" style="34" customWidth="1"/>
    <col min="12830" max="12830" width="17.33203125" style="34" customWidth="1"/>
    <col min="12831" max="13068" width="12" style="34"/>
    <col min="13069" max="13069" width="16.33203125" style="34" customWidth="1"/>
    <col min="13070" max="13070" width="30.77734375" style="34" customWidth="1"/>
    <col min="13071" max="13071" width="15.109375" style="34" customWidth="1"/>
    <col min="13072" max="13072" width="17" style="34" customWidth="1"/>
    <col min="13073" max="13073" width="16.33203125" style="34" customWidth="1"/>
    <col min="13074" max="13085" width="13" style="34" customWidth="1"/>
    <col min="13086" max="13086" width="17.33203125" style="34" customWidth="1"/>
    <col min="13087" max="13324" width="12" style="34"/>
    <col min="13325" max="13325" width="16.33203125" style="34" customWidth="1"/>
    <col min="13326" max="13326" width="30.77734375" style="34" customWidth="1"/>
    <col min="13327" max="13327" width="15.109375" style="34" customWidth="1"/>
    <col min="13328" max="13328" width="17" style="34" customWidth="1"/>
    <col min="13329" max="13329" width="16.33203125" style="34" customWidth="1"/>
    <col min="13330" max="13341" width="13" style="34" customWidth="1"/>
    <col min="13342" max="13342" width="17.33203125" style="34" customWidth="1"/>
    <col min="13343" max="13580" width="12" style="34"/>
    <col min="13581" max="13581" width="16.33203125" style="34" customWidth="1"/>
    <col min="13582" max="13582" width="30.77734375" style="34" customWidth="1"/>
    <col min="13583" max="13583" width="15.109375" style="34" customWidth="1"/>
    <col min="13584" max="13584" width="17" style="34" customWidth="1"/>
    <col min="13585" max="13585" width="16.33203125" style="34" customWidth="1"/>
    <col min="13586" max="13597" width="13" style="34" customWidth="1"/>
    <col min="13598" max="13598" width="17.33203125" style="34" customWidth="1"/>
    <col min="13599" max="13836" width="12" style="34"/>
    <col min="13837" max="13837" width="16.33203125" style="34" customWidth="1"/>
    <col min="13838" max="13838" width="30.77734375" style="34" customWidth="1"/>
    <col min="13839" max="13839" width="15.109375" style="34" customWidth="1"/>
    <col min="13840" max="13840" width="17" style="34" customWidth="1"/>
    <col min="13841" max="13841" width="16.33203125" style="34" customWidth="1"/>
    <col min="13842" max="13853" width="13" style="34" customWidth="1"/>
    <col min="13854" max="13854" width="17.33203125" style="34" customWidth="1"/>
    <col min="13855" max="14092" width="12" style="34"/>
    <col min="14093" max="14093" width="16.33203125" style="34" customWidth="1"/>
    <col min="14094" max="14094" width="30.77734375" style="34" customWidth="1"/>
    <col min="14095" max="14095" width="15.109375" style="34" customWidth="1"/>
    <col min="14096" max="14096" width="17" style="34" customWidth="1"/>
    <col min="14097" max="14097" width="16.33203125" style="34" customWidth="1"/>
    <col min="14098" max="14109" width="13" style="34" customWidth="1"/>
    <col min="14110" max="14110" width="17.33203125" style="34" customWidth="1"/>
    <col min="14111" max="14348" width="12" style="34"/>
    <col min="14349" max="14349" width="16.33203125" style="34" customWidth="1"/>
    <col min="14350" max="14350" width="30.77734375" style="34" customWidth="1"/>
    <col min="14351" max="14351" width="15.109375" style="34" customWidth="1"/>
    <col min="14352" max="14352" width="17" style="34" customWidth="1"/>
    <col min="14353" max="14353" width="16.33203125" style="34" customWidth="1"/>
    <col min="14354" max="14365" width="13" style="34" customWidth="1"/>
    <col min="14366" max="14366" width="17.33203125" style="34" customWidth="1"/>
    <col min="14367" max="14604" width="12" style="34"/>
    <col min="14605" max="14605" width="16.33203125" style="34" customWidth="1"/>
    <col min="14606" max="14606" width="30.77734375" style="34" customWidth="1"/>
    <col min="14607" max="14607" width="15.109375" style="34" customWidth="1"/>
    <col min="14608" max="14608" width="17" style="34" customWidth="1"/>
    <col min="14609" max="14609" width="16.33203125" style="34" customWidth="1"/>
    <col min="14610" max="14621" width="13" style="34" customWidth="1"/>
    <col min="14622" max="14622" width="17.33203125" style="34" customWidth="1"/>
    <col min="14623" max="14860" width="12" style="34"/>
    <col min="14861" max="14861" width="16.33203125" style="34" customWidth="1"/>
    <col min="14862" max="14862" width="30.77734375" style="34" customWidth="1"/>
    <col min="14863" max="14863" width="15.109375" style="34" customWidth="1"/>
    <col min="14864" max="14864" width="17" style="34" customWidth="1"/>
    <col min="14865" max="14865" width="16.33203125" style="34" customWidth="1"/>
    <col min="14866" max="14877" width="13" style="34" customWidth="1"/>
    <col min="14878" max="14878" width="17.33203125" style="34" customWidth="1"/>
    <col min="14879" max="15116" width="12" style="34"/>
    <col min="15117" max="15117" width="16.33203125" style="34" customWidth="1"/>
    <col min="15118" max="15118" width="30.77734375" style="34" customWidth="1"/>
    <col min="15119" max="15119" width="15.109375" style="34" customWidth="1"/>
    <col min="15120" max="15120" width="17" style="34" customWidth="1"/>
    <col min="15121" max="15121" width="16.33203125" style="34" customWidth="1"/>
    <col min="15122" max="15133" width="13" style="34" customWidth="1"/>
    <col min="15134" max="15134" width="17.33203125" style="34" customWidth="1"/>
    <col min="15135" max="15372" width="12" style="34"/>
    <col min="15373" max="15373" width="16.33203125" style="34" customWidth="1"/>
    <col min="15374" max="15374" width="30.77734375" style="34" customWidth="1"/>
    <col min="15375" max="15375" width="15.109375" style="34" customWidth="1"/>
    <col min="15376" max="15376" width="17" style="34" customWidth="1"/>
    <col min="15377" max="15377" width="16.33203125" style="34" customWidth="1"/>
    <col min="15378" max="15389" width="13" style="34" customWidth="1"/>
    <col min="15390" max="15390" width="17.33203125" style="34" customWidth="1"/>
    <col min="15391" max="15628" width="12" style="34"/>
    <col min="15629" max="15629" width="16.33203125" style="34" customWidth="1"/>
    <col min="15630" max="15630" width="30.77734375" style="34" customWidth="1"/>
    <col min="15631" max="15631" width="15.109375" style="34" customWidth="1"/>
    <col min="15632" max="15632" width="17" style="34" customWidth="1"/>
    <col min="15633" max="15633" width="16.33203125" style="34" customWidth="1"/>
    <col min="15634" max="15645" width="13" style="34" customWidth="1"/>
    <col min="15646" max="15646" width="17.33203125" style="34" customWidth="1"/>
    <col min="15647" max="15884" width="12" style="34"/>
    <col min="15885" max="15885" width="16.33203125" style="34" customWidth="1"/>
    <col min="15886" max="15886" width="30.77734375" style="34" customWidth="1"/>
    <col min="15887" max="15887" width="15.109375" style="34" customWidth="1"/>
    <col min="15888" max="15888" width="17" style="34" customWidth="1"/>
    <col min="15889" max="15889" width="16.33203125" style="34" customWidth="1"/>
    <col min="15890" max="15901" width="13" style="34" customWidth="1"/>
    <col min="15902" max="15902" width="17.33203125" style="34" customWidth="1"/>
    <col min="15903" max="16140" width="12" style="34"/>
    <col min="16141" max="16141" width="16.33203125" style="34" customWidth="1"/>
    <col min="16142" max="16142" width="30.77734375" style="34" customWidth="1"/>
    <col min="16143" max="16143" width="15.109375" style="34" customWidth="1"/>
    <col min="16144" max="16144" width="17" style="34" customWidth="1"/>
    <col min="16145" max="16145" width="16.33203125" style="34" customWidth="1"/>
    <col min="16146" max="16157" width="13" style="34" customWidth="1"/>
    <col min="16158" max="16158" width="17.33203125" style="34" customWidth="1"/>
    <col min="16159" max="16384" width="12" style="34"/>
  </cols>
  <sheetData>
    <row r="1" spans="1:31" s="15" customFormat="1" ht="39" customHeight="1" x14ac:dyDescent="0.25">
      <c r="F1" s="14" t="str">
        <f>Instructivo!F1</f>
        <v>Sistema de Gestión Integral (SGI)
Instructivo - Componente Financiero EP
Código: F-PGC-21. Versión: 05</v>
      </c>
      <c r="G1" s="14"/>
      <c r="H1" s="14"/>
      <c r="I1" s="14"/>
      <c r="J1" s="14"/>
      <c r="K1" s="14"/>
      <c r="M1" s="36" t="s">
        <v>102</v>
      </c>
    </row>
    <row r="2" spans="1:31" s="15" customFormat="1" ht="18" customHeight="1" x14ac:dyDescent="0.25">
      <c r="F2" s="13" t="s">
        <v>103</v>
      </c>
      <c r="G2" s="13"/>
      <c r="H2" s="13"/>
      <c r="I2" s="13"/>
      <c r="J2" s="13"/>
      <c r="K2" s="13"/>
    </row>
    <row r="3" spans="1:31" ht="15.75" customHeight="1" x14ac:dyDescent="0.25">
      <c r="A3" s="37"/>
      <c r="B3" s="38"/>
      <c r="C3" s="38"/>
      <c r="D3" s="39"/>
      <c r="E3" s="38"/>
      <c r="F3" s="38"/>
      <c r="G3" s="38"/>
      <c r="H3" s="38"/>
      <c r="I3" s="38"/>
      <c r="J3" s="38"/>
      <c r="K3" s="38"/>
      <c r="L3" s="38"/>
      <c r="M3" s="38"/>
      <c r="N3" s="38"/>
      <c r="O3" s="38"/>
      <c r="P3" s="38"/>
      <c r="Q3" s="38"/>
      <c r="R3" s="38"/>
      <c r="S3" s="38"/>
      <c r="T3" s="38"/>
      <c r="U3" s="38"/>
      <c r="V3" s="38"/>
      <c r="W3" s="38"/>
      <c r="X3" s="38"/>
      <c r="Y3" s="38"/>
      <c r="Z3" s="38"/>
      <c r="AA3" s="38"/>
      <c r="AB3" s="38"/>
      <c r="AC3" s="38"/>
      <c r="AD3" s="38"/>
      <c r="AE3" s="40"/>
    </row>
    <row r="4" spans="1:31" s="40" customFormat="1" ht="18" customHeight="1" x14ac:dyDescent="0.25">
      <c r="A4" s="975" t="s">
        <v>104</v>
      </c>
      <c r="B4" s="975"/>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42">
        <f>C4</f>
        <v>0</v>
      </c>
    </row>
    <row r="5" spans="1:31" s="40" customFormat="1" ht="18" customHeight="1" x14ac:dyDescent="0.25">
      <c r="A5" s="975" t="s">
        <v>105</v>
      </c>
      <c r="B5" s="975"/>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42">
        <f>C5</f>
        <v>0</v>
      </c>
    </row>
    <row r="6" spans="1:31" s="40" customFormat="1" ht="18" customHeight="1" x14ac:dyDescent="0.25">
      <c r="B6" s="43"/>
      <c r="C6" s="43"/>
      <c r="D6" s="44"/>
      <c r="E6" s="43"/>
      <c r="F6" s="45"/>
      <c r="G6" s="45"/>
      <c r="H6" s="45"/>
      <c r="I6" s="45"/>
      <c r="J6" s="46"/>
      <c r="K6" s="46"/>
      <c r="L6" s="46"/>
      <c r="M6" s="46"/>
      <c r="N6" s="46"/>
      <c r="O6" s="46"/>
      <c r="P6" s="46"/>
      <c r="Q6" s="46"/>
      <c r="R6" s="46"/>
      <c r="S6" s="46"/>
      <c r="T6" s="46"/>
      <c r="U6" s="46"/>
      <c r="V6" s="46"/>
      <c r="W6" s="46"/>
      <c r="X6" s="46"/>
      <c r="Y6" s="46"/>
      <c r="Z6" s="46"/>
      <c r="AA6" s="46"/>
      <c r="AB6" s="46"/>
      <c r="AC6" s="46"/>
      <c r="AD6" s="46"/>
      <c r="AE6" s="47"/>
    </row>
    <row r="7" spans="1:31" ht="18" customHeight="1" x14ac:dyDescent="0.25">
      <c r="A7" s="976" t="s">
        <v>106</v>
      </c>
      <c r="B7" s="976"/>
      <c r="C7" s="977"/>
      <c r="D7" s="977"/>
      <c r="E7" s="977"/>
      <c r="F7" s="977"/>
      <c r="H7" s="48"/>
      <c r="I7" s="48"/>
      <c r="J7" s="48"/>
      <c r="K7" s="48"/>
      <c r="L7" s="48"/>
      <c r="M7" s="48"/>
      <c r="N7" s="48"/>
      <c r="O7" s="48"/>
      <c r="P7" s="48"/>
      <c r="Q7" s="48"/>
      <c r="R7" s="48"/>
      <c r="S7" s="48"/>
      <c r="T7" s="48"/>
      <c r="U7" s="48"/>
      <c r="V7" s="48"/>
      <c r="W7" s="48"/>
      <c r="X7" s="48"/>
      <c r="Y7" s="48"/>
      <c r="Z7" s="48"/>
      <c r="AA7" s="48"/>
      <c r="AB7" s="48"/>
      <c r="AC7" s="48"/>
    </row>
    <row r="8" spans="1:31" ht="18" customHeight="1" x14ac:dyDescent="0.25">
      <c r="A8" s="976" t="s">
        <v>107</v>
      </c>
      <c r="B8" s="976"/>
      <c r="C8" s="977"/>
      <c r="D8" s="977"/>
      <c r="E8" s="977"/>
      <c r="F8" s="977"/>
      <c r="H8" s="49"/>
      <c r="I8" s="48"/>
      <c r="J8" s="48"/>
      <c r="K8" s="48"/>
      <c r="L8" s="48"/>
      <c r="M8" s="48"/>
      <c r="N8" s="48"/>
      <c r="O8" s="48"/>
      <c r="P8" s="48"/>
      <c r="Q8" s="48"/>
      <c r="R8" s="48"/>
      <c r="S8" s="48"/>
      <c r="T8" s="48"/>
      <c r="U8" s="48"/>
      <c r="V8" s="48"/>
      <c r="W8" s="48"/>
      <c r="X8" s="48"/>
      <c r="Y8" s="48"/>
      <c r="Z8" s="48"/>
      <c r="AA8" s="48"/>
      <c r="AB8" s="48"/>
      <c r="AC8" s="48"/>
    </row>
    <row r="9" spans="1:31" ht="18" customHeight="1" x14ac:dyDescent="0.25">
      <c r="A9" s="978" t="s">
        <v>108</v>
      </c>
      <c r="B9" s="978"/>
      <c r="C9" s="977"/>
      <c r="D9" s="977"/>
      <c r="E9" s="977"/>
      <c r="F9" s="977"/>
      <c r="H9" s="48"/>
      <c r="I9" s="48"/>
      <c r="J9" s="48"/>
      <c r="K9" s="48"/>
      <c r="L9" s="48"/>
      <c r="M9" s="48"/>
      <c r="N9" s="48"/>
      <c r="O9" s="48"/>
      <c r="P9" s="48"/>
      <c r="Q9" s="48"/>
      <c r="R9" s="48"/>
      <c r="S9" s="48"/>
      <c r="T9" s="48"/>
      <c r="U9" s="48"/>
      <c r="V9" s="48"/>
      <c r="W9" s="48"/>
      <c r="X9" s="48"/>
      <c r="Y9" s="48"/>
      <c r="Z9" s="48"/>
      <c r="AA9" s="48"/>
      <c r="AB9" s="48"/>
      <c r="AC9" s="48"/>
    </row>
    <row r="10" spans="1:31" ht="18" customHeight="1" x14ac:dyDescent="0.25">
      <c r="A10" s="978" t="s">
        <v>109</v>
      </c>
      <c r="B10" s="978"/>
      <c r="C10" s="979"/>
      <c r="D10" s="979"/>
      <c r="E10" s="979"/>
      <c r="F10" s="979"/>
      <c r="H10" s="48"/>
      <c r="I10" s="48"/>
    </row>
    <row r="11" spans="1:31" ht="18" customHeight="1" x14ac:dyDescent="0.25">
      <c r="A11" s="50"/>
      <c r="B11" s="51"/>
      <c r="C11" s="51"/>
      <c r="D11" s="52"/>
      <c r="E11" s="51"/>
      <c r="F11" s="51"/>
      <c r="G11" s="53"/>
      <c r="H11" s="53"/>
      <c r="I11" s="53"/>
    </row>
    <row r="12" spans="1:31" ht="18" customHeight="1" x14ac:dyDescent="0.25">
      <c r="A12" s="980" t="s">
        <v>110</v>
      </c>
      <c r="B12" s="980"/>
      <c r="C12" s="980"/>
      <c r="D12" s="980"/>
      <c r="E12" s="980"/>
      <c r="F12" s="980"/>
      <c r="G12" s="980"/>
      <c r="H12" s="980"/>
      <c r="I12" s="980"/>
      <c r="J12" s="980"/>
      <c r="K12" s="980"/>
      <c r="L12" s="980"/>
      <c r="M12" s="980"/>
      <c r="N12" s="980"/>
      <c r="O12" s="980"/>
      <c r="P12" s="980"/>
      <c r="Q12" s="980"/>
      <c r="R12" s="980"/>
      <c r="S12" s="980"/>
      <c r="T12" s="980"/>
      <c r="U12" s="980"/>
      <c r="V12" s="980"/>
      <c r="W12" s="980"/>
      <c r="X12" s="980"/>
      <c r="Y12" s="980"/>
      <c r="Z12" s="980"/>
      <c r="AA12" s="980"/>
      <c r="AB12" s="980"/>
      <c r="AC12" s="980"/>
      <c r="AD12" s="980"/>
    </row>
    <row r="13" spans="1:31" ht="18" customHeight="1" x14ac:dyDescent="0.25">
      <c r="A13" s="981"/>
      <c r="B13" s="982" t="s">
        <v>16</v>
      </c>
      <c r="C13" s="983" t="s">
        <v>111</v>
      </c>
      <c r="D13" s="984" t="s">
        <v>112</v>
      </c>
      <c r="E13" s="983" t="s">
        <v>113</v>
      </c>
      <c r="F13" s="983" t="s">
        <v>114</v>
      </c>
      <c r="G13" s="985" t="s">
        <v>115</v>
      </c>
      <c r="H13" s="985"/>
      <c r="I13" s="985"/>
      <c r="J13" s="985"/>
      <c r="K13" s="985"/>
      <c r="L13" s="985"/>
      <c r="M13" s="985"/>
      <c r="N13" s="985"/>
      <c r="O13" s="985"/>
      <c r="P13" s="985"/>
      <c r="Q13" s="985"/>
      <c r="R13" s="985"/>
      <c r="S13" s="985"/>
      <c r="T13" s="985"/>
      <c r="U13" s="985"/>
      <c r="V13" s="985"/>
      <c r="W13" s="985"/>
      <c r="X13" s="985"/>
      <c r="Y13" s="985"/>
      <c r="Z13" s="985"/>
      <c r="AA13" s="985"/>
      <c r="AB13" s="985"/>
      <c r="AC13" s="985"/>
      <c r="AD13" s="985"/>
    </row>
    <row r="14" spans="1:31" ht="27.75" customHeight="1" x14ac:dyDescent="0.25">
      <c r="A14" s="981"/>
      <c r="B14" s="982"/>
      <c r="C14" s="983"/>
      <c r="D14" s="984"/>
      <c r="E14" s="983"/>
      <c r="F14" s="983"/>
      <c r="G14" s="54" t="s">
        <v>116</v>
      </c>
      <c r="H14" s="54" t="s">
        <v>117</v>
      </c>
      <c r="I14" s="54" t="s">
        <v>118</v>
      </c>
      <c r="J14" s="54" t="s">
        <v>119</v>
      </c>
      <c r="K14" s="54" t="s">
        <v>120</v>
      </c>
      <c r="L14" s="54" t="s">
        <v>121</v>
      </c>
      <c r="M14" s="54" t="s">
        <v>122</v>
      </c>
      <c r="N14" s="54" t="s">
        <v>123</v>
      </c>
      <c r="O14" s="54" t="s">
        <v>124</v>
      </c>
      <c r="P14" s="54" t="s">
        <v>125</v>
      </c>
      <c r="Q14" s="54" t="s">
        <v>126</v>
      </c>
      <c r="R14" s="54" t="s">
        <v>127</v>
      </c>
      <c r="S14" s="54" t="s">
        <v>128</v>
      </c>
      <c r="T14" s="54" t="s">
        <v>129</v>
      </c>
      <c r="U14" s="54" t="s">
        <v>130</v>
      </c>
      <c r="V14" s="54" t="s">
        <v>131</v>
      </c>
      <c r="W14" s="54" t="s">
        <v>132</v>
      </c>
      <c r="X14" s="54" t="s">
        <v>133</v>
      </c>
      <c r="Y14" s="54" t="s">
        <v>134</v>
      </c>
      <c r="Z14" s="54" t="s">
        <v>135</v>
      </c>
      <c r="AA14" s="54" t="s">
        <v>136</v>
      </c>
      <c r="AB14" s="54" t="s">
        <v>137</v>
      </c>
      <c r="AC14" s="54" t="s">
        <v>138</v>
      </c>
      <c r="AD14" s="54" t="s">
        <v>139</v>
      </c>
    </row>
    <row r="15" spans="1:31" s="65" customFormat="1" ht="27" customHeight="1" x14ac:dyDescent="0.25">
      <c r="A15" s="55" t="s">
        <v>140</v>
      </c>
      <c r="B15" s="56"/>
      <c r="C15" s="57"/>
      <c r="D15" s="58">
        <f>SUM(D16:D210)</f>
        <v>0</v>
      </c>
      <c r="E15" s="59"/>
      <c r="F15" s="60">
        <f>F16+F56+F87+F118+F149+F180</f>
        <v>0</v>
      </c>
      <c r="G15" s="60"/>
      <c r="H15" s="60"/>
      <c r="I15" s="60"/>
      <c r="J15" s="60"/>
      <c r="K15" s="60"/>
      <c r="L15" s="60"/>
      <c r="M15" s="60"/>
      <c r="N15" s="60"/>
      <c r="O15" s="60"/>
      <c r="P15" s="60"/>
      <c r="Q15" s="60"/>
      <c r="R15" s="61"/>
      <c r="S15" s="62"/>
      <c r="T15" s="62"/>
      <c r="U15" s="62"/>
      <c r="V15" s="62"/>
      <c r="W15" s="62"/>
      <c r="X15" s="62"/>
      <c r="Y15" s="62"/>
      <c r="Z15" s="62"/>
      <c r="AA15" s="62"/>
      <c r="AB15" s="62"/>
      <c r="AC15" s="62"/>
      <c r="AD15" s="63"/>
      <c r="AE15" s="64">
        <f t="shared" ref="AE15:AE46" si="0">F15-SUM(G15:AD15)</f>
        <v>0</v>
      </c>
    </row>
    <row r="16" spans="1:31" ht="18" customHeight="1" x14ac:dyDescent="0.25">
      <c r="A16" s="66" t="s">
        <v>141</v>
      </c>
      <c r="B16" s="67"/>
      <c r="C16" s="68"/>
      <c r="D16" s="69"/>
      <c r="E16" s="70"/>
      <c r="F16" s="71">
        <f t="shared" ref="F16:R16" si="1">F17+F25+F32+F38+F44+F50</f>
        <v>0</v>
      </c>
      <c r="G16" s="71">
        <f t="shared" si="1"/>
        <v>0</v>
      </c>
      <c r="H16" s="71">
        <f t="shared" si="1"/>
        <v>0</v>
      </c>
      <c r="I16" s="71">
        <f t="shared" si="1"/>
        <v>0</v>
      </c>
      <c r="J16" s="71">
        <f t="shared" si="1"/>
        <v>0</v>
      </c>
      <c r="K16" s="71">
        <f t="shared" si="1"/>
        <v>0</v>
      </c>
      <c r="L16" s="71">
        <f t="shared" si="1"/>
        <v>0</v>
      </c>
      <c r="M16" s="71">
        <f t="shared" si="1"/>
        <v>0</v>
      </c>
      <c r="N16" s="71">
        <f t="shared" si="1"/>
        <v>0</v>
      </c>
      <c r="O16" s="71">
        <f t="shared" si="1"/>
        <v>0</v>
      </c>
      <c r="P16" s="71">
        <f t="shared" si="1"/>
        <v>0</v>
      </c>
      <c r="Q16" s="71">
        <f t="shared" si="1"/>
        <v>0</v>
      </c>
      <c r="R16" s="71">
        <f t="shared" si="1"/>
        <v>0</v>
      </c>
      <c r="S16" s="71">
        <f t="shared" ref="S16:AD16" si="2">S17+S25+S32+S38+S44</f>
        <v>0</v>
      </c>
      <c r="T16" s="71">
        <f t="shared" si="2"/>
        <v>0</v>
      </c>
      <c r="U16" s="71">
        <f t="shared" si="2"/>
        <v>0</v>
      </c>
      <c r="V16" s="71">
        <f t="shared" si="2"/>
        <v>0</v>
      </c>
      <c r="W16" s="71">
        <f t="shared" si="2"/>
        <v>0</v>
      </c>
      <c r="X16" s="71">
        <f t="shared" si="2"/>
        <v>0</v>
      </c>
      <c r="Y16" s="71">
        <f t="shared" si="2"/>
        <v>0</v>
      </c>
      <c r="Z16" s="71">
        <f t="shared" si="2"/>
        <v>0</v>
      </c>
      <c r="AA16" s="71">
        <f t="shared" si="2"/>
        <v>0</v>
      </c>
      <c r="AB16" s="71">
        <f t="shared" si="2"/>
        <v>0</v>
      </c>
      <c r="AC16" s="71">
        <f t="shared" si="2"/>
        <v>0</v>
      </c>
      <c r="AD16" s="71">
        <f t="shared" si="2"/>
        <v>0</v>
      </c>
      <c r="AE16" s="64">
        <f t="shared" si="0"/>
        <v>0</v>
      </c>
    </row>
    <row r="17" spans="1:31" ht="18" customHeight="1" x14ac:dyDescent="0.25">
      <c r="A17" s="72" t="s">
        <v>142</v>
      </c>
      <c r="B17" s="67"/>
      <c r="C17" s="73"/>
      <c r="D17" s="74"/>
      <c r="E17" s="75"/>
      <c r="F17" s="76">
        <f t="shared" ref="F17:AD17" si="3">SUM(F18:F24)</f>
        <v>0</v>
      </c>
      <c r="G17" s="76">
        <f t="shared" si="3"/>
        <v>0</v>
      </c>
      <c r="H17" s="76">
        <f t="shared" si="3"/>
        <v>0</v>
      </c>
      <c r="I17" s="76">
        <f t="shared" si="3"/>
        <v>0</v>
      </c>
      <c r="J17" s="76">
        <f t="shared" si="3"/>
        <v>0</v>
      </c>
      <c r="K17" s="76">
        <f t="shared" si="3"/>
        <v>0</v>
      </c>
      <c r="L17" s="76">
        <f t="shared" si="3"/>
        <v>0</v>
      </c>
      <c r="M17" s="76">
        <f t="shared" si="3"/>
        <v>0</v>
      </c>
      <c r="N17" s="76">
        <f t="shared" si="3"/>
        <v>0</v>
      </c>
      <c r="O17" s="76">
        <f t="shared" si="3"/>
        <v>0</v>
      </c>
      <c r="P17" s="76">
        <f t="shared" si="3"/>
        <v>0</v>
      </c>
      <c r="Q17" s="76">
        <f t="shared" si="3"/>
        <v>0</v>
      </c>
      <c r="R17" s="76">
        <f t="shared" si="3"/>
        <v>0</v>
      </c>
      <c r="S17" s="76">
        <f t="shared" si="3"/>
        <v>0</v>
      </c>
      <c r="T17" s="76">
        <f t="shared" si="3"/>
        <v>0</v>
      </c>
      <c r="U17" s="76">
        <f t="shared" si="3"/>
        <v>0</v>
      </c>
      <c r="V17" s="76">
        <f t="shared" si="3"/>
        <v>0</v>
      </c>
      <c r="W17" s="76">
        <f t="shared" si="3"/>
        <v>0</v>
      </c>
      <c r="X17" s="76">
        <f t="shared" si="3"/>
        <v>0</v>
      </c>
      <c r="Y17" s="76">
        <f t="shared" si="3"/>
        <v>0</v>
      </c>
      <c r="Z17" s="76">
        <f t="shared" si="3"/>
        <v>0</v>
      </c>
      <c r="AA17" s="76">
        <f t="shared" si="3"/>
        <v>0</v>
      </c>
      <c r="AB17" s="76">
        <f t="shared" si="3"/>
        <v>0</v>
      </c>
      <c r="AC17" s="76">
        <f t="shared" si="3"/>
        <v>0</v>
      </c>
      <c r="AD17" s="76">
        <f t="shared" si="3"/>
        <v>0</v>
      </c>
      <c r="AE17" s="64">
        <f t="shared" si="0"/>
        <v>0</v>
      </c>
    </row>
    <row r="18" spans="1:31" ht="18" customHeight="1" x14ac:dyDescent="0.25">
      <c r="A18" s="77" t="s">
        <v>143</v>
      </c>
      <c r="B18" s="78"/>
      <c r="C18" s="57"/>
      <c r="D18" s="58">
        <f t="shared" ref="D18:D24" si="4">C18*$C$17*$C$16</f>
        <v>0</v>
      </c>
      <c r="E18" s="59"/>
      <c r="F18" s="79">
        <f t="shared" ref="F18:F24" si="5">SUM(G18:AD18)</f>
        <v>0</v>
      </c>
      <c r="G18" s="79"/>
      <c r="H18" s="79"/>
      <c r="I18" s="79"/>
      <c r="J18" s="79"/>
      <c r="K18" s="79"/>
      <c r="L18" s="79"/>
      <c r="M18" s="79"/>
      <c r="N18" s="79"/>
      <c r="O18" s="79"/>
      <c r="P18" s="79"/>
      <c r="Q18" s="79"/>
      <c r="R18" s="79"/>
      <c r="S18" s="79"/>
      <c r="T18" s="79"/>
      <c r="U18" s="79"/>
      <c r="V18" s="79"/>
      <c r="W18" s="79"/>
      <c r="X18" s="79"/>
      <c r="Y18" s="79"/>
      <c r="Z18" s="79"/>
      <c r="AA18" s="79"/>
      <c r="AB18" s="79"/>
      <c r="AC18" s="79"/>
      <c r="AD18" s="79"/>
      <c r="AE18" s="64">
        <f t="shared" si="0"/>
        <v>0</v>
      </c>
    </row>
    <row r="19" spans="1:31" ht="18" customHeight="1" x14ac:dyDescent="0.25">
      <c r="A19" s="77" t="s">
        <v>144</v>
      </c>
      <c r="B19" s="78"/>
      <c r="C19" s="57"/>
      <c r="D19" s="58">
        <f t="shared" si="4"/>
        <v>0</v>
      </c>
      <c r="E19" s="59"/>
      <c r="F19" s="79">
        <f t="shared" si="5"/>
        <v>0</v>
      </c>
      <c r="G19" s="79"/>
      <c r="H19" s="79"/>
      <c r="I19" s="79"/>
      <c r="J19" s="79"/>
      <c r="K19" s="79"/>
      <c r="L19" s="79"/>
      <c r="M19" s="79"/>
      <c r="N19" s="79"/>
      <c r="O19" s="79"/>
      <c r="P19" s="79"/>
      <c r="Q19" s="79"/>
      <c r="R19" s="79"/>
      <c r="S19" s="79"/>
      <c r="T19" s="79"/>
      <c r="U19" s="79"/>
      <c r="V19" s="79"/>
      <c r="W19" s="79"/>
      <c r="X19" s="79"/>
      <c r="Y19" s="79"/>
      <c r="Z19" s="79"/>
      <c r="AA19" s="79"/>
      <c r="AB19" s="79"/>
      <c r="AC19" s="79"/>
      <c r="AD19" s="79"/>
      <c r="AE19" s="64">
        <f t="shared" si="0"/>
        <v>0</v>
      </c>
    </row>
    <row r="20" spans="1:31" ht="18" customHeight="1" x14ac:dyDescent="0.25">
      <c r="A20" s="77" t="s">
        <v>145</v>
      </c>
      <c r="B20" s="78"/>
      <c r="C20" s="57"/>
      <c r="D20" s="58">
        <f t="shared" si="4"/>
        <v>0</v>
      </c>
      <c r="E20" s="59"/>
      <c r="F20" s="79">
        <f t="shared" si="5"/>
        <v>0</v>
      </c>
      <c r="G20" s="79"/>
      <c r="H20" s="79"/>
      <c r="I20" s="79"/>
      <c r="J20" s="79"/>
      <c r="K20" s="79"/>
      <c r="L20" s="79"/>
      <c r="M20" s="79"/>
      <c r="N20" s="79"/>
      <c r="O20" s="79"/>
      <c r="P20" s="79"/>
      <c r="Q20" s="79"/>
      <c r="R20" s="79"/>
      <c r="S20" s="79"/>
      <c r="T20" s="79"/>
      <c r="U20" s="79"/>
      <c r="V20" s="79"/>
      <c r="W20" s="79"/>
      <c r="X20" s="79"/>
      <c r="Y20" s="79"/>
      <c r="Z20" s="79"/>
      <c r="AA20" s="79"/>
      <c r="AB20" s="79"/>
      <c r="AC20" s="79"/>
      <c r="AD20" s="79"/>
      <c r="AE20" s="64">
        <f t="shared" si="0"/>
        <v>0</v>
      </c>
    </row>
    <row r="21" spans="1:31" ht="18" customHeight="1" x14ac:dyDescent="0.25">
      <c r="A21" s="77" t="s">
        <v>146</v>
      </c>
      <c r="B21" s="78"/>
      <c r="C21" s="57"/>
      <c r="D21" s="58">
        <f t="shared" si="4"/>
        <v>0</v>
      </c>
      <c r="E21" s="59"/>
      <c r="F21" s="79">
        <f t="shared" si="5"/>
        <v>0</v>
      </c>
      <c r="G21" s="79"/>
      <c r="H21" s="79"/>
      <c r="I21" s="79"/>
      <c r="J21" s="79"/>
      <c r="K21" s="79"/>
      <c r="L21" s="79"/>
      <c r="M21" s="79"/>
      <c r="N21" s="79"/>
      <c r="O21" s="79"/>
      <c r="P21" s="79"/>
      <c r="Q21" s="79"/>
      <c r="R21" s="79"/>
      <c r="S21" s="79"/>
      <c r="T21" s="79"/>
      <c r="U21" s="79"/>
      <c r="V21" s="79"/>
      <c r="W21" s="79"/>
      <c r="X21" s="79"/>
      <c r="Y21" s="79"/>
      <c r="Z21" s="79"/>
      <c r="AA21" s="79"/>
      <c r="AB21" s="79"/>
      <c r="AC21" s="79"/>
      <c r="AD21" s="79"/>
      <c r="AE21" s="64">
        <f t="shared" si="0"/>
        <v>0</v>
      </c>
    </row>
    <row r="22" spans="1:31" ht="18" customHeight="1" x14ac:dyDescent="0.25">
      <c r="A22" s="77" t="s">
        <v>147</v>
      </c>
      <c r="B22" s="78"/>
      <c r="C22" s="57"/>
      <c r="D22" s="58">
        <f t="shared" si="4"/>
        <v>0</v>
      </c>
      <c r="E22" s="59"/>
      <c r="F22" s="79">
        <f t="shared" si="5"/>
        <v>0</v>
      </c>
      <c r="G22" s="79"/>
      <c r="H22" s="79"/>
      <c r="I22" s="79"/>
      <c r="J22" s="79"/>
      <c r="K22" s="79"/>
      <c r="L22" s="79"/>
      <c r="M22" s="79"/>
      <c r="N22" s="79"/>
      <c r="O22" s="79"/>
      <c r="P22" s="79"/>
      <c r="Q22" s="79"/>
      <c r="R22" s="79"/>
      <c r="S22" s="79"/>
      <c r="T22" s="79"/>
      <c r="U22" s="79"/>
      <c r="V22" s="79"/>
      <c r="W22" s="79"/>
      <c r="X22" s="79"/>
      <c r="Y22" s="79"/>
      <c r="Z22" s="79"/>
      <c r="AA22" s="79"/>
      <c r="AB22" s="79"/>
      <c r="AC22" s="79"/>
      <c r="AD22" s="79"/>
      <c r="AE22" s="64">
        <f t="shared" si="0"/>
        <v>0</v>
      </c>
    </row>
    <row r="23" spans="1:31" ht="18" customHeight="1" x14ac:dyDescent="0.25">
      <c r="A23" s="77" t="s">
        <v>148</v>
      </c>
      <c r="B23" s="78"/>
      <c r="C23" s="57"/>
      <c r="D23" s="58">
        <f t="shared" si="4"/>
        <v>0</v>
      </c>
      <c r="E23" s="59"/>
      <c r="F23" s="79">
        <f t="shared" si="5"/>
        <v>0</v>
      </c>
      <c r="G23" s="79"/>
      <c r="H23" s="79"/>
      <c r="I23" s="79"/>
      <c r="J23" s="79"/>
      <c r="K23" s="79"/>
      <c r="L23" s="79"/>
      <c r="M23" s="79"/>
      <c r="N23" s="79"/>
      <c r="O23" s="79"/>
      <c r="P23" s="79"/>
      <c r="Q23" s="79"/>
      <c r="R23" s="79"/>
      <c r="S23" s="79"/>
      <c r="T23" s="79"/>
      <c r="U23" s="79"/>
      <c r="V23" s="79"/>
      <c r="W23" s="79"/>
      <c r="X23" s="79"/>
      <c r="Y23" s="79"/>
      <c r="Z23" s="79"/>
      <c r="AA23" s="79"/>
      <c r="AB23" s="79"/>
      <c r="AC23" s="79"/>
      <c r="AD23" s="79"/>
      <c r="AE23" s="64">
        <f t="shared" si="0"/>
        <v>0</v>
      </c>
    </row>
    <row r="24" spans="1:31" ht="18" customHeight="1" x14ac:dyDescent="0.25">
      <c r="A24" s="77" t="s">
        <v>149</v>
      </c>
      <c r="B24" s="78"/>
      <c r="C24" s="57"/>
      <c r="D24" s="58">
        <f t="shared" si="4"/>
        <v>0</v>
      </c>
      <c r="E24" s="59"/>
      <c r="F24" s="79">
        <f t="shared" si="5"/>
        <v>0</v>
      </c>
      <c r="G24" s="79"/>
      <c r="H24" s="79"/>
      <c r="I24" s="79"/>
      <c r="J24" s="79"/>
      <c r="K24" s="79"/>
      <c r="L24" s="79"/>
      <c r="M24" s="79"/>
      <c r="N24" s="79"/>
      <c r="O24" s="79"/>
      <c r="P24" s="79"/>
      <c r="Q24" s="79"/>
      <c r="R24" s="79"/>
      <c r="S24" s="79"/>
      <c r="T24" s="79"/>
      <c r="U24" s="79"/>
      <c r="V24" s="79"/>
      <c r="W24" s="79"/>
      <c r="X24" s="79"/>
      <c r="Y24" s="79"/>
      <c r="Z24" s="79"/>
      <c r="AA24" s="79"/>
      <c r="AB24" s="79"/>
      <c r="AC24" s="79"/>
      <c r="AD24" s="79"/>
      <c r="AE24" s="64">
        <f t="shared" si="0"/>
        <v>0</v>
      </c>
    </row>
    <row r="25" spans="1:31" ht="18" customHeight="1" x14ac:dyDescent="0.25">
      <c r="A25" s="72" t="s">
        <v>150</v>
      </c>
      <c r="B25" s="80"/>
      <c r="C25" s="73"/>
      <c r="D25" s="74"/>
      <c r="E25" s="75"/>
      <c r="F25" s="76">
        <f t="shared" ref="F25:AD25" si="6">SUM(F26:F31)</f>
        <v>0</v>
      </c>
      <c r="G25" s="76">
        <f t="shared" si="6"/>
        <v>0</v>
      </c>
      <c r="H25" s="76">
        <f t="shared" si="6"/>
        <v>0</v>
      </c>
      <c r="I25" s="76">
        <f t="shared" si="6"/>
        <v>0</v>
      </c>
      <c r="J25" s="76">
        <f t="shared" si="6"/>
        <v>0</v>
      </c>
      <c r="K25" s="76">
        <f t="shared" si="6"/>
        <v>0</v>
      </c>
      <c r="L25" s="76">
        <f t="shared" si="6"/>
        <v>0</v>
      </c>
      <c r="M25" s="76">
        <f t="shared" si="6"/>
        <v>0</v>
      </c>
      <c r="N25" s="76">
        <f t="shared" si="6"/>
        <v>0</v>
      </c>
      <c r="O25" s="76">
        <f t="shared" si="6"/>
        <v>0</v>
      </c>
      <c r="P25" s="76">
        <f t="shared" si="6"/>
        <v>0</v>
      </c>
      <c r="Q25" s="76">
        <f t="shared" si="6"/>
        <v>0</v>
      </c>
      <c r="R25" s="76">
        <f t="shared" si="6"/>
        <v>0</v>
      </c>
      <c r="S25" s="76">
        <f t="shared" si="6"/>
        <v>0</v>
      </c>
      <c r="T25" s="76">
        <f t="shared" si="6"/>
        <v>0</v>
      </c>
      <c r="U25" s="76">
        <f t="shared" si="6"/>
        <v>0</v>
      </c>
      <c r="V25" s="76">
        <f t="shared" si="6"/>
        <v>0</v>
      </c>
      <c r="W25" s="76">
        <f t="shared" si="6"/>
        <v>0</v>
      </c>
      <c r="X25" s="76">
        <f t="shared" si="6"/>
        <v>0</v>
      </c>
      <c r="Y25" s="76">
        <f t="shared" si="6"/>
        <v>0</v>
      </c>
      <c r="Z25" s="76">
        <f t="shared" si="6"/>
        <v>0</v>
      </c>
      <c r="AA25" s="76">
        <f t="shared" si="6"/>
        <v>0</v>
      </c>
      <c r="AB25" s="76">
        <f t="shared" si="6"/>
        <v>0</v>
      </c>
      <c r="AC25" s="76">
        <f t="shared" si="6"/>
        <v>0</v>
      </c>
      <c r="AD25" s="76">
        <f t="shared" si="6"/>
        <v>0</v>
      </c>
      <c r="AE25" s="64">
        <f t="shared" si="0"/>
        <v>0</v>
      </c>
    </row>
    <row r="26" spans="1:31" ht="18" customHeight="1" x14ac:dyDescent="0.25">
      <c r="A26" s="77" t="s">
        <v>151</v>
      </c>
      <c r="B26" s="78"/>
      <c r="C26" s="57"/>
      <c r="D26" s="58">
        <f t="shared" ref="D26:D31" si="7">C26*$C$25*$C$16</f>
        <v>0</v>
      </c>
      <c r="E26" s="59"/>
      <c r="F26" s="79">
        <f t="shared" ref="F26:F31" si="8">SUM(G26:AD26)</f>
        <v>0</v>
      </c>
      <c r="G26" s="79"/>
      <c r="H26" s="79"/>
      <c r="I26" s="79"/>
      <c r="J26" s="79"/>
      <c r="K26" s="79"/>
      <c r="L26" s="79"/>
      <c r="M26" s="79"/>
      <c r="N26" s="79"/>
      <c r="O26" s="79"/>
      <c r="P26" s="79"/>
      <c r="Q26" s="79"/>
      <c r="R26" s="79"/>
      <c r="S26" s="79"/>
      <c r="T26" s="79"/>
      <c r="U26" s="79"/>
      <c r="V26" s="79"/>
      <c r="W26" s="79"/>
      <c r="X26" s="79"/>
      <c r="Y26" s="79"/>
      <c r="Z26" s="79"/>
      <c r="AA26" s="79"/>
      <c r="AB26" s="79"/>
      <c r="AC26" s="79"/>
      <c r="AD26" s="79"/>
      <c r="AE26" s="64">
        <f t="shared" si="0"/>
        <v>0</v>
      </c>
    </row>
    <row r="27" spans="1:31" ht="18" customHeight="1" x14ac:dyDescent="0.25">
      <c r="A27" s="77" t="s">
        <v>152</v>
      </c>
      <c r="B27" s="78"/>
      <c r="C27" s="57"/>
      <c r="D27" s="58">
        <f t="shared" si="7"/>
        <v>0</v>
      </c>
      <c r="E27" s="59"/>
      <c r="F27" s="79">
        <f t="shared" si="8"/>
        <v>0</v>
      </c>
      <c r="G27" s="79"/>
      <c r="H27" s="79"/>
      <c r="I27" s="79"/>
      <c r="J27" s="79"/>
      <c r="K27" s="79"/>
      <c r="L27" s="79"/>
      <c r="M27" s="79"/>
      <c r="N27" s="79"/>
      <c r="O27" s="79"/>
      <c r="P27" s="79"/>
      <c r="Q27" s="79"/>
      <c r="R27" s="79"/>
      <c r="S27" s="79"/>
      <c r="T27" s="79"/>
      <c r="U27" s="79"/>
      <c r="V27" s="79"/>
      <c r="W27" s="79"/>
      <c r="X27" s="79"/>
      <c r="Y27" s="79"/>
      <c r="Z27" s="79"/>
      <c r="AA27" s="79"/>
      <c r="AB27" s="79"/>
      <c r="AC27" s="79"/>
      <c r="AD27" s="79"/>
      <c r="AE27" s="64">
        <f t="shared" si="0"/>
        <v>0</v>
      </c>
    </row>
    <row r="28" spans="1:31" ht="18" customHeight="1" x14ac:dyDescent="0.25">
      <c r="A28" s="77" t="s">
        <v>153</v>
      </c>
      <c r="B28" s="78"/>
      <c r="C28" s="57"/>
      <c r="D28" s="58">
        <f t="shared" si="7"/>
        <v>0</v>
      </c>
      <c r="E28" s="59"/>
      <c r="F28" s="79">
        <f t="shared" si="8"/>
        <v>0</v>
      </c>
      <c r="G28" s="79"/>
      <c r="H28" s="79"/>
      <c r="I28" s="79"/>
      <c r="J28" s="79"/>
      <c r="K28" s="79"/>
      <c r="L28" s="79"/>
      <c r="M28" s="79"/>
      <c r="N28" s="79"/>
      <c r="O28" s="79"/>
      <c r="P28" s="79"/>
      <c r="Q28" s="79"/>
      <c r="R28" s="79"/>
      <c r="S28" s="79"/>
      <c r="T28" s="79"/>
      <c r="U28" s="79"/>
      <c r="V28" s="79"/>
      <c r="W28" s="79"/>
      <c r="X28" s="79"/>
      <c r="Y28" s="79"/>
      <c r="Z28" s="79"/>
      <c r="AA28" s="79"/>
      <c r="AB28" s="79"/>
      <c r="AC28" s="79"/>
      <c r="AD28" s="79"/>
      <c r="AE28" s="64">
        <f t="shared" si="0"/>
        <v>0</v>
      </c>
    </row>
    <row r="29" spans="1:31" ht="18" customHeight="1" x14ac:dyDescent="0.25">
      <c r="A29" s="77" t="s">
        <v>154</v>
      </c>
      <c r="B29" s="78"/>
      <c r="C29" s="57"/>
      <c r="D29" s="58">
        <f t="shared" si="7"/>
        <v>0</v>
      </c>
      <c r="E29" s="59"/>
      <c r="F29" s="79">
        <f t="shared" si="8"/>
        <v>0</v>
      </c>
      <c r="G29" s="79"/>
      <c r="H29" s="79"/>
      <c r="I29" s="79"/>
      <c r="J29" s="79"/>
      <c r="K29" s="79"/>
      <c r="L29" s="79"/>
      <c r="M29" s="79"/>
      <c r="N29" s="79"/>
      <c r="O29" s="79"/>
      <c r="P29" s="79"/>
      <c r="Q29" s="79"/>
      <c r="R29" s="79"/>
      <c r="S29" s="79"/>
      <c r="T29" s="79"/>
      <c r="U29" s="79"/>
      <c r="V29" s="79"/>
      <c r="W29" s="79"/>
      <c r="X29" s="79"/>
      <c r="Y29" s="79"/>
      <c r="Z29" s="79"/>
      <c r="AA29" s="79"/>
      <c r="AB29" s="79"/>
      <c r="AC29" s="79"/>
      <c r="AD29" s="79"/>
      <c r="AE29" s="64">
        <f t="shared" si="0"/>
        <v>0</v>
      </c>
    </row>
    <row r="30" spans="1:31" ht="18" customHeight="1" x14ac:dyDescent="0.25">
      <c r="A30" s="77" t="s">
        <v>155</v>
      </c>
      <c r="B30" s="78"/>
      <c r="C30" s="57"/>
      <c r="D30" s="58">
        <f t="shared" si="7"/>
        <v>0</v>
      </c>
      <c r="E30" s="59"/>
      <c r="F30" s="79">
        <f t="shared" si="8"/>
        <v>0</v>
      </c>
      <c r="G30" s="79"/>
      <c r="H30" s="79"/>
      <c r="I30" s="79"/>
      <c r="J30" s="79"/>
      <c r="K30" s="79"/>
      <c r="L30" s="79"/>
      <c r="M30" s="79"/>
      <c r="N30" s="79"/>
      <c r="O30" s="79"/>
      <c r="P30" s="79"/>
      <c r="Q30" s="79"/>
      <c r="R30" s="79"/>
      <c r="S30" s="79"/>
      <c r="T30" s="79"/>
      <c r="U30" s="79"/>
      <c r="V30" s="79"/>
      <c r="W30" s="79"/>
      <c r="X30" s="79"/>
      <c r="Y30" s="79"/>
      <c r="Z30" s="79"/>
      <c r="AA30" s="79"/>
      <c r="AB30" s="79"/>
      <c r="AC30" s="79"/>
      <c r="AD30" s="79"/>
      <c r="AE30" s="64">
        <f t="shared" si="0"/>
        <v>0</v>
      </c>
    </row>
    <row r="31" spans="1:31" ht="18" customHeight="1" x14ac:dyDescent="0.25">
      <c r="A31" s="77" t="s">
        <v>156</v>
      </c>
      <c r="B31" s="78"/>
      <c r="C31" s="57"/>
      <c r="D31" s="58">
        <f t="shared" si="7"/>
        <v>0</v>
      </c>
      <c r="E31" s="59"/>
      <c r="F31" s="79">
        <f t="shared" si="8"/>
        <v>0</v>
      </c>
      <c r="G31" s="79"/>
      <c r="H31" s="79"/>
      <c r="I31" s="79"/>
      <c r="J31" s="79"/>
      <c r="K31" s="79"/>
      <c r="L31" s="79"/>
      <c r="M31" s="79"/>
      <c r="N31" s="79"/>
      <c r="O31" s="79"/>
      <c r="P31" s="79"/>
      <c r="Q31" s="79"/>
      <c r="R31" s="79"/>
      <c r="S31" s="79"/>
      <c r="T31" s="79"/>
      <c r="U31" s="79"/>
      <c r="V31" s="79"/>
      <c r="W31" s="79"/>
      <c r="X31" s="79"/>
      <c r="Y31" s="79"/>
      <c r="Z31" s="79"/>
      <c r="AA31" s="79"/>
      <c r="AB31" s="79"/>
      <c r="AC31" s="79"/>
      <c r="AD31" s="79"/>
      <c r="AE31" s="64">
        <f t="shared" si="0"/>
        <v>0</v>
      </c>
    </row>
    <row r="32" spans="1:31" ht="18" customHeight="1" x14ac:dyDescent="0.25">
      <c r="A32" s="72" t="s">
        <v>157</v>
      </c>
      <c r="B32" s="80"/>
      <c r="C32" s="73"/>
      <c r="D32" s="74"/>
      <c r="E32" s="75"/>
      <c r="F32" s="76">
        <f t="shared" ref="F32:AD32" si="9">SUM(F33:F37)</f>
        <v>0</v>
      </c>
      <c r="G32" s="76">
        <f t="shared" si="9"/>
        <v>0</v>
      </c>
      <c r="H32" s="76">
        <f t="shared" si="9"/>
        <v>0</v>
      </c>
      <c r="I32" s="76">
        <f t="shared" si="9"/>
        <v>0</v>
      </c>
      <c r="J32" s="76">
        <f t="shared" si="9"/>
        <v>0</v>
      </c>
      <c r="K32" s="76">
        <f t="shared" si="9"/>
        <v>0</v>
      </c>
      <c r="L32" s="76">
        <f t="shared" si="9"/>
        <v>0</v>
      </c>
      <c r="M32" s="76">
        <f t="shared" si="9"/>
        <v>0</v>
      </c>
      <c r="N32" s="76">
        <f t="shared" si="9"/>
        <v>0</v>
      </c>
      <c r="O32" s="76">
        <f t="shared" si="9"/>
        <v>0</v>
      </c>
      <c r="P32" s="76">
        <f t="shared" si="9"/>
        <v>0</v>
      </c>
      <c r="Q32" s="76">
        <f t="shared" si="9"/>
        <v>0</v>
      </c>
      <c r="R32" s="76">
        <f t="shared" si="9"/>
        <v>0</v>
      </c>
      <c r="S32" s="76">
        <f t="shared" si="9"/>
        <v>0</v>
      </c>
      <c r="T32" s="76">
        <f t="shared" si="9"/>
        <v>0</v>
      </c>
      <c r="U32" s="76">
        <f t="shared" si="9"/>
        <v>0</v>
      </c>
      <c r="V32" s="76">
        <f t="shared" si="9"/>
        <v>0</v>
      </c>
      <c r="W32" s="76">
        <f t="shared" si="9"/>
        <v>0</v>
      </c>
      <c r="X32" s="76">
        <f t="shared" si="9"/>
        <v>0</v>
      </c>
      <c r="Y32" s="76">
        <f t="shared" si="9"/>
        <v>0</v>
      </c>
      <c r="Z32" s="76">
        <f t="shared" si="9"/>
        <v>0</v>
      </c>
      <c r="AA32" s="76">
        <f t="shared" si="9"/>
        <v>0</v>
      </c>
      <c r="AB32" s="76">
        <f t="shared" si="9"/>
        <v>0</v>
      </c>
      <c r="AC32" s="76">
        <f t="shared" si="9"/>
        <v>0</v>
      </c>
      <c r="AD32" s="76">
        <f t="shared" si="9"/>
        <v>0</v>
      </c>
      <c r="AE32" s="64">
        <f t="shared" si="0"/>
        <v>0</v>
      </c>
    </row>
    <row r="33" spans="1:31" ht="18" customHeight="1" x14ac:dyDescent="0.25">
      <c r="A33" s="77" t="s">
        <v>158</v>
      </c>
      <c r="B33" s="78"/>
      <c r="C33" s="57"/>
      <c r="D33" s="58">
        <f>C33*$C$32*$C$16</f>
        <v>0</v>
      </c>
      <c r="E33" s="59"/>
      <c r="F33" s="79">
        <f>SUM(G33:AD33)</f>
        <v>0</v>
      </c>
      <c r="G33" s="79"/>
      <c r="H33" s="79"/>
      <c r="I33" s="79"/>
      <c r="J33" s="79"/>
      <c r="K33" s="79"/>
      <c r="L33" s="79"/>
      <c r="M33" s="79"/>
      <c r="N33" s="79"/>
      <c r="O33" s="79"/>
      <c r="P33" s="79"/>
      <c r="Q33" s="79"/>
      <c r="R33" s="79"/>
      <c r="S33" s="79"/>
      <c r="T33" s="79"/>
      <c r="U33" s="79"/>
      <c r="V33" s="79"/>
      <c r="W33" s="79"/>
      <c r="X33" s="79"/>
      <c r="Y33" s="79"/>
      <c r="Z33" s="79"/>
      <c r="AA33" s="79"/>
      <c r="AB33" s="79"/>
      <c r="AC33" s="79"/>
      <c r="AD33" s="79"/>
      <c r="AE33" s="64">
        <f t="shared" si="0"/>
        <v>0</v>
      </c>
    </row>
    <row r="34" spans="1:31" ht="18" customHeight="1" x14ac:dyDescent="0.25">
      <c r="A34" s="77" t="s">
        <v>159</v>
      </c>
      <c r="B34" s="78"/>
      <c r="C34" s="57"/>
      <c r="D34" s="58">
        <f>C34*$C$32*$C$16</f>
        <v>0</v>
      </c>
      <c r="E34" s="59"/>
      <c r="F34" s="79">
        <f>SUM(G34:AD34)</f>
        <v>0</v>
      </c>
      <c r="G34" s="79"/>
      <c r="H34" s="79"/>
      <c r="I34" s="79"/>
      <c r="J34" s="79"/>
      <c r="K34" s="79"/>
      <c r="L34" s="79"/>
      <c r="M34" s="79"/>
      <c r="N34" s="79"/>
      <c r="O34" s="79"/>
      <c r="P34" s="79"/>
      <c r="Q34" s="79"/>
      <c r="R34" s="79"/>
      <c r="S34" s="79"/>
      <c r="T34" s="79"/>
      <c r="U34" s="79"/>
      <c r="V34" s="79"/>
      <c r="W34" s="79"/>
      <c r="X34" s="79"/>
      <c r="Y34" s="79"/>
      <c r="Z34" s="79"/>
      <c r="AA34" s="79"/>
      <c r="AB34" s="79"/>
      <c r="AC34" s="79"/>
      <c r="AD34" s="79"/>
      <c r="AE34" s="64">
        <f t="shared" si="0"/>
        <v>0</v>
      </c>
    </row>
    <row r="35" spans="1:31" ht="18" customHeight="1" x14ac:dyDescent="0.25">
      <c r="A35" s="77" t="s">
        <v>160</v>
      </c>
      <c r="B35" s="78"/>
      <c r="C35" s="57"/>
      <c r="D35" s="58">
        <f>C35*$C$32*$C$16</f>
        <v>0</v>
      </c>
      <c r="E35" s="59"/>
      <c r="F35" s="79">
        <f>SUM(G35:AD35)</f>
        <v>0</v>
      </c>
      <c r="G35" s="79"/>
      <c r="H35" s="79"/>
      <c r="I35" s="79"/>
      <c r="J35" s="79"/>
      <c r="K35" s="79"/>
      <c r="L35" s="79"/>
      <c r="M35" s="79"/>
      <c r="N35" s="79"/>
      <c r="O35" s="79"/>
      <c r="P35" s="79"/>
      <c r="Q35" s="79"/>
      <c r="R35" s="79"/>
      <c r="S35" s="79"/>
      <c r="T35" s="79"/>
      <c r="U35" s="79"/>
      <c r="V35" s="79"/>
      <c r="W35" s="79"/>
      <c r="X35" s="79"/>
      <c r="Y35" s="79"/>
      <c r="Z35" s="79"/>
      <c r="AA35" s="79"/>
      <c r="AB35" s="79"/>
      <c r="AC35" s="79"/>
      <c r="AD35" s="79"/>
      <c r="AE35" s="64">
        <f t="shared" si="0"/>
        <v>0</v>
      </c>
    </row>
    <row r="36" spans="1:31" ht="18" customHeight="1" x14ac:dyDescent="0.25">
      <c r="A36" s="77" t="s">
        <v>161</v>
      </c>
      <c r="B36" s="78"/>
      <c r="C36" s="57"/>
      <c r="D36" s="58">
        <f>C36*$C$32*$C$16</f>
        <v>0</v>
      </c>
      <c r="E36" s="59"/>
      <c r="F36" s="79">
        <f>SUM(G36:AD36)</f>
        <v>0</v>
      </c>
      <c r="G36" s="79"/>
      <c r="H36" s="79"/>
      <c r="I36" s="79"/>
      <c r="J36" s="79"/>
      <c r="K36" s="79"/>
      <c r="L36" s="79"/>
      <c r="M36" s="79"/>
      <c r="N36" s="79"/>
      <c r="O36" s="79"/>
      <c r="P36" s="79"/>
      <c r="Q36" s="79"/>
      <c r="R36" s="79"/>
      <c r="S36" s="79"/>
      <c r="T36" s="79"/>
      <c r="U36" s="79"/>
      <c r="V36" s="79"/>
      <c r="W36" s="79"/>
      <c r="X36" s="79"/>
      <c r="Y36" s="79"/>
      <c r="Z36" s="79"/>
      <c r="AA36" s="79"/>
      <c r="AB36" s="79"/>
      <c r="AC36" s="79"/>
      <c r="AD36" s="79"/>
      <c r="AE36" s="64">
        <f t="shared" si="0"/>
        <v>0</v>
      </c>
    </row>
    <row r="37" spans="1:31" ht="18" customHeight="1" x14ac:dyDescent="0.25">
      <c r="A37" s="77" t="s">
        <v>162</v>
      </c>
      <c r="B37" s="78"/>
      <c r="C37" s="57"/>
      <c r="D37" s="58">
        <f>C37*$C$32*$C$16</f>
        <v>0</v>
      </c>
      <c r="E37" s="59"/>
      <c r="F37" s="79">
        <f>SUM(G37:AD37)</f>
        <v>0</v>
      </c>
      <c r="G37" s="79"/>
      <c r="H37" s="79"/>
      <c r="I37" s="79"/>
      <c r="J37" s="79"/>
      <c r="K37" s="79"/>
      <c r="L37" s="79"/>
      <c r="M37" s="79"/>
      <c r="N37" s="79"/>
      <c r="O37" s="79"/>
      <c r="P37" s="79"/>
      <c r="Q37" s="79"/>
      <c r="R37" s="79"/>
      <c r="S37" s="79"/>
      <c r="T37" s="79"/>
      <c r="U37" s="79"/>
      <c r="V37" s="79"/>
      <c r="W37" s="79"/>
      <c r="X37" s="79"/>
      <c r="Y37" s="79"/>
      <c r="Z37" s="79"/>
      <c r="AA37" s="79"/>
      <c r="AB37" s="79"/>
      <c r="AC37" s="79"/>
      <c r="AD37" s="79"/>
      <c r="AE37" s="64">
        <f t="shared" si="0"/>
        <v>0</v>
      </c>
    </row>
    <row r="38" spans="1:31" ht="18" customHeight="1" x14ac:dyDescent="0.25">
      <c r="A38" s="72" t="s">
        <v>163</v>
      </c>
      <c r="B38" s="80"/>
      <c r="C38" s="73"/>
      <c r="D38" s="74"/>
      <c r="E38" s="75"/>
      <c r="F38" s="76">
        <f t="shared" ref="F38:AD38" si="10">SUM(F39:F43)</f>
        <v>0</v>
      </c>
      <c r="G38" s="76">
        <f t="shared" si="10"/>
        <v>0</v>
      </c>
      <c r="H38" s="76">
        <f t="shared" si="10"/>
        <v>0</v>
      </c>
      <c r="I38" s="76">
        <f t="shared" si="10"/>
        <v>0</v>
      </c>
      <c r="J38" s="76">
        <f t="shared" si="10"/>
        <v>0</v>
      </c>
      <c r="K38" s="76">
        <f t="shared" si="10"/>
        <v>0</v>
      </c>
      <c r="L38" s="76">
        <f t="shared" si="10"/>
        <v>0</v>
      </c>
      <c r="M38" s="76">
        <f t="shared" si="10"/>
        <v>0</v>
      </c>
      <c r="N38" s="76">
        <f t="shared" si="10"/>
        <v>0</v>
      </c>
      <c r="O38" s="76">
        <f t="shared" si="10"/>
        <v>0</v>
      </c>
      <c r="P38" s="76">
        <f t="shared" si="10"/>
        <v>0</v>
      </c>
      <c r="Q38" s="76">
        <f t="shared" si="10"/>
        <v>0</v>
      </c>
      <c r="R38" s="76">
        <f t="shared" si="10"/>
        <v>0</v>
      </c>
      <c r="S38" s="76">
        <f t="shared" si="10"/>
        <v>0</v>
      </c>
      <c r="T38" s="76">
        <f t="shared" si="10"/>
        <v>0</v>
      </c>
      <c r="U38" s="76">
        <f t="shared" si="10"/>
        <v>0</v>
      </c>
      <c r="V38" s="76">
        <f t="shared" si="10"/>
        <v>0</v>
      </c>
      <c r="W38" s="76">
        <f t="shared" si="10"/>
        <v>0</v>
      </c>
      <c r="X38" s="76">
        <f t="shared" si="10"/>
        <v>0</v>
      </c>
      <c r="Y38" s="76">
        <f t="shared" si="10"/>
        <v>0</v>
      </c>
      <c r="Z38" s="76">
        <f t="shared" si="10"/>
        <v>0</v>
      </c>
      <c r="AA38" s="76">
        <f t="shared" si="10"/>
        <v>0</v>
      </c>
      <c r="AB38" s="76">
        <f t="shared" si="10"/>
        <v>0</v>
      </c>
      <c r="AC38" s="76">
        <f t="shared" si="10"/>
        <v>0</v>
      </c>
      <c r="AD38" s="76">
        <f t="shared" si="10"/>
        <v>0</v>
      </c>
      <c r="AE38" s="64">
        <f t="shared" si="0"/>
        <v>0</v>
      </c>
    </row>
    <row r="39" spans="1:31" ht="18" customHeight="1" x14ac:dyDescent="0.25">
      <c r="A39" s="77" t="s">
        <v>164</v>
      </c>
      <c r="B39" s="78"/>
      <c r="C39" s="57"/>
      <c r="D39" s="58">
        <f>C39*$C$38*$C$16</f>
        <v>0</v>
      </c>
      <c r="E39" s="59"/>
      <c r="F39" s="79">
        <f>SUM(G39:AD39)</f>
        <v>0</v>
      </c>
      <c r="G39" s="79"/>
      <c r="H39" s="79"/>
      <c r="I39" s="79"/>
      <c r="J39" s="79"/>
      <c r="K39" s="79"/>
      <c r="L39" s="79"/>
      <c r="M39" s="79"/>
      <c r="N39" s="79"/>
      <c r="O39" s="79"/>
      <c r="P39" s="79"/>
      <c r="Q39" s="79"/>
      <c r="R39" s="79"/>
      <c r="S39" s="79"/>
      <c r="T39" s="79"/>
      <c r="U39" s="79"/>
      <c r="V39" s="79"/>
      <c r="W39" s="79"/>
      <c r="X39" s="79"/>
      <c r="Y39" s="79"/>
      <c r="Z39" s="79"/>
      <c r="AA39" s="79"/>
      <c r="AB39" s="79"/>
      <c r="AC39" s="79"/>
      <c r="AD39" s="79"/>
      <c r="AE39" s="64">
        <f t="shared" si="0"/>
        <v>0</v>
      </c>
    </row>
    <row r="40" spans="1:31" ht="18" customHeight="1" x14ac:dyDescent="0.25">
      <c r="A40" s="77" t="s">
        <v>165</v>
      </c>
      <c r="B40" s="78"/>
      <c r="C40" s="57"/>
      <c r="D40" s="58">
        <f>C40*$C$38*$C$16</f>
        <v>0</v>
      </c>
      <c r="E40" s="59"/>
      <c r="F40" s="79">
        <f>SUM(G40:AD40)</f>
        <v>0</v>
      </c>
      <c r="G40" s="79"/>
      <c r="H40" s="79"/>
      <c r="I40" s="79"/>
      <c r="J40" s="79"/>
      <c r="K40" s="79"/>
      <c r="L40" s="79"/>
      <c r="M40" s="79"/>
      <c r="N40" s="79"/>
      <c r="O40" s="79"/>
      <c r="P40" s="79"/>
      <c r="Q40" s="79"/>
      <c r="R40" s="79"/>
      <c r="S40" s="79"/>
      <c r="T40" s="79"/>
      <c r="U40" s="79"/>
      <c r="V40" s="79"/>
      <c r="W40" s="79"/>
      <c r="X40" s="79"/>
      <c r="Y40" s="79"/>
      <c r="Z40" s="79"/>
      <c r="AA40" s="79"/>
      <c r="AB40" s="79"/>
      <c r="AC40" s="79"/>
      <c r="AD40" s="79"/>
      <c r="AE40" s="64">
        <f t="shared" si="0"/>
        <v>0</v>
      </c>
    </row>
    <row r="41" spans="1:31" ht="18" customHeight="1" x14ac:dyDescent="0.25">
      <c r="A41" s="77" t="s">
        <v>166</v>
      </c>
      <c r="B41" s="78"/>
      <c r="C41" s="57"/>
      <c r="D41" s="58">
        <f>C41*$C$38*$C$16</f>
        <v>0</v>
      </c>
      <c r="E41" s="59"/>
      <c r="F41" s="79">
        <f>SUM(G41:AD41)</f>
        <v>0</v>
      </c>
      <c r="G41" s="79"/>
      <c r="H41" s="79"/>
      <c r="I41" s="79"/>
      <c r="J41" s="79"/>
      <c r="K41" s="79"/>
      <c r="L41" s="79"/>
      <c r="M41" s="79"/>
      <c r="N41" s="79"/>
      <c r="O41" s="79"/>
      <c r="P41" s="79"/>
      <c r="Q41" s="79"/>
      <c r="R41" s="79"/>
      <c r="S41" s="79"/>
      <c r="T41" s="79"/>
      <c r="U41" s="79"/>
      <c r="V41" s="79"/>
      <c r="W41" s="79"/>
      <c r="X41" s="79"/>
      <c r="Y41" s="79"/>
      <c r="Z41" s="79"/>
      <c r="AA41" s="79"/>
      <c r="AB41" s="79"/>
      <c r="AC41" s="79"/>
      <c r="AD41" s="79"/>
      <c r="AE41" s="64">
        <f t="shared" si="0"/>
        <v>0</v>
      </c>
    </row>
    <row r="42" spans="1:31" ht="18" customHeight="1" x14ac:dyDescent="0.25">
      <c r="A42" s="77" t="s">
        <v>167</v>
      </c>
      <c r="B42" s="78"/>
      <c r="C42" s="57"/>
      <c r="D42" s="58">
        <f>C42*$C$38*$C$16</f>
        <v>0</v>
      </c>
      <c r="E42" s="59"/>
      <c r="F42" s="79">
        <f>SUM(G42:AD42)</f>
        <v>0</v>
      </c>
      <c r="G42" s="79"/>
      <c r="H42" s="79"/>
      <c r="I42" s="79"/>
      <c r="J42" s="79"/>
      <c r="K42" s="79"/>
      <c r="L42" s="79"/>
      <c r="M42" s="79"/>
      <c r="N42" s="79"/>
      <c r="O42" s="79"/>
      <c r="P42" s="79"/>
      <c r="Q42" s="79"/>
      <c r="R42" s="79"/>
      <c r="S42" s="79"/>
      <c r="T42" s="79"/>
      <c r="U42" s="79"/>
      <c r="V42" s="79"/>
      <c r="W42" s="79"/>
      <c r="X42" s="79"/>
      <c r="Y42" s="79"/>
      <c r="Z42" s="79"/>
      <c r="AA42" s="79"/>
      <c r="AB42" s="79"/>
      <c r="AC42" s="79"/>
      <c r="AD42" s="79"/>
      <c r="AE42" s="64">
        <f t="shared" si="0"/>
        <v>0</v>
      </c>
    </row>
    <row r="43" spans="1:31" ht="18" customHeight="1" x14ac:dyDescent="0.25">
      <c r="A43" s="77" t="s">
        <v>168</v>
      </c>
      <c r="B43" s="78"/>
      <c r="C43" s="57"/>
      <c r="D43" s="58">
        <f>C43*$C$38*$C$16</f>
        <v>0</v>
      </c>
      <c r="E43" s="59"/>
      <c r="F43" s="79">
        <f>SUM(G43:AD43)</f>
        <v>0</v>
      </c>
      <c r="G43" s="79"/>
      <c r="H43" s="79"/>
      <c r="I43" s="79"/>
      <c r="J43" s="79"/>
      <c r="K43" s="79"/>
      <c r="L43" s="79"/>
      <c r="M43" s="79"/>
      <c r="N43" s="79"/>
      <c r="O43" s="79"/>
      <c r="P43" s="79"/>
      <c r="Q43" s="79"/>
      <c r="R43" s="79"/>
      <c r="S43" s="79"/>
      <c r="T43" s="79"/>
      <c r="U43" s="79"/>
      <c r="V43" s="79"/>
      <c r="W43" s="79"/>
      <c r="X43" s="79"/>
      <c r="Y43" s="79"/>
      <c r="Z43" s="79"/>
      <c r="AA43" s="79"/>
      <c r="AB43" s="79"/>
      <c r="AC43" s="79"/>
      <c r="AD43" s="79"/>
      <c r="AE43" s="64">
        <f t="shared" si="0"/>
        <v>0</v>
      </c>
    </row>
    <row r="44" spans="1:31" ht="18" customHeight="1" x14ac:dyDescent="0.25">
      <c r="A44" s="72" t="s">
        <v>169</v>
      </c>
      <c r="B44" s="80"/>
      <c r="C44" s="73"/>
      <c r="D44" s="74"/>
      <c r="E44" s="75"/>
      <c r="F44" s="76">
        <f t="shared" ref="F44:AD44" si="11">SUM(F45:F49)</f>
        <v>0</v>
      </c>
      <c r="G44" s="76">
        <f t="shared" si="11"/>
        <v>0</v>
      </c>
      <c r="H44" s="76">
        <f t="shared" si="11"/>
        <v>0</v>
      </c>
      <c r="I44" s="76">
        <f t="shared" si="11"/>
        <v>0</v>
      </c>
      <c r="J44" s="76">
        <f t="shared" si="11"/>
        <v>0</v>
      </c>
      <c r="K44" s="76">
        <f t="shared" si="11"/>
        <v>0</v>
      </c>
      <c r="L44" s="76">
        <f t="shared" si="11"/>
        <v>0</v>
      </c>
      <c r="M44" s="76">
        <f t="shared" si="11"/>
        <v>0</v>
      </c>
      <c r="N44" s="76">
        <f t="shared" si="11"/>
        <v>0</v>
      </c>
      <c r="O44" s="76">
        <f t="shared" si="11"/>
        <v>0</v>
      </c>
      <c r="P44" s="76">
        <f t="shared" si="11"/>
        <v>0</v>
      </c>
      <c r="Q44" s="76">
        <f t="shared" si="11"/>
        <v>0</v>
      </c>
      <c r="R44" s="76">
        <f t="shared" si="11"/>
        <v>0</v>
      </c>
      <c r="S44" s="76">
        <f t="shared" si="11"/>
        <v>0</v>
      </c>
      <c r="T44" s="76">
        <f t="shared" si="11"/>
        <v>0</v>
      </c>
      <c r="U44" s="76">
        <f t="shared" si="11"/>
        <v>0</v>
      </c>
      <c r="V44" s="76">
        <f t="shared" si="11"/>
        <v>0</v>
      </c>
      <c r="W44" s="76">
        <f t="shared" si="11"/>
        <v>0</v>
      </c>
      <c r="X44" s="76">
        <f t="shared" si="11"/>
        <v>0</v>
      </c>
      <c r="Y44" s="76">
        <f t="shared" si="11"/>
        <v>0</v>
      </c>
      <c r="Z44" s="76">
        <f t="shared" si="11"/>
        <v>0</v>
      </c>
      <c r="AA44" s="76">
        <f t="shared" si="11"/>
        <v>0</v>
      </c>
      <c r="AB44" s="76">
        <f t="shared" si="11"/>
        <v>0</v>
      </c>
      <c r="AC44" s="76">
        <f t="shared" si="11"/>
        <v>0</v>
      </c>
      <c r="AD44" s="76">
        <f t="shared" si="11"/>
        <v>0</v>
      </c>
      <c r="AE44" s="64">
        <f t="shared" si="0"/>
        <v>0</v>
      </c>
    </row>
    <row r="45" spans="1:31" ht="18" customHeight="1" x14ac:dyDescent="0.25">
      <c r="A45" s="77" t="s">
        <v>170</v>
      </c>
      <c r="B45" s="78"/>
      <c r="C45" s="57"/>
      <c r="D45" s="58">
        <f>C45*$C$44*$C$16</f>
        <v>0</v>
      </c>
      <c r="E45" s="59"/>
      <c r="F45" s="79">
        <f>SUM(G45:AD45)</f>
        <v>0</v>
      </c>
      <c r="G45" s="79"/>
      <c r="H45" s="79"/>
      <c r="I45" s="79"/>
      <c r="J45" s="79"/>
      <c r="K45" s="79"/>
      <c r="L45" s="79"/>
      <c r="M45" s="79"/>
      <c r="N45" s="79"/>
      <c r="O45" s="79"/>
      <c r="P45" s="79"/>
      <c r="Q45" s="79"/>
      <c r="R45" s="79"/>
      <c r="S45" s="79"/>
      <c r="T45" s="79"/>
      <c r="U45" s="79"/>
      <c r="V45" s="79"/>
      <c r="W45" s="79"/>
      <c r="X45" s="79"/>
      <c r="Y45" s="79"/>
      <c r="Z45" s="79"/>
      <c r="AA45" s="79"/>
      <c r="AB45" s="79"/>
      <c r="AC45" s="79"/>
      <c r="AD45" s="79"/>
      <c r="AE45" s="64">
        <f t="shared" si="0"/>
        <v>0</v>
      </c>
    </row>
    <row r="46" spans="1:31" ht="18" customHeight="1" x14ac:dyDescent="0.25">
      <c r="A46" s="77" t="s">
        <v>171</v>
      </c>
      <c r="B46" s="78"/>
      <c r="C46" s="57"/>
      <c r="D46" s="58">
        <f>C46*$C$44*$C$16</f>
        <v>0</v>
      </c>
      <c r="E46" s="59"/>
      <c r="F46" s="79">
        <f>SUM(G46:AD46)</f>
        <v>0</v>
      </c>
      <c r="G46" s="79"/>
      <c r="H46" s="79"/>
      <c r="I46" s="79"/>
      <c r="J46" s="79"/>
      <c r="K46" s="79"/>
      <c r="L46" s="79"/>
      <c r="M46" s="79"/>
      <c r="N46" s="79"/>
      <c r="O46" s="79"/>
      <c r="P46" s="79"/>
      <c r="Q46" s="79"/>
      <c r="R46" s="79"/>
      <c r="S46" s="79"/>
      <c r="T46" s="79"/>
      <c r="U46" s="79"/>
      <c r="V46" s="79"/>
      <c r="W46" s="79"/>
      <c r="X46" s="79"/>
      <c r="Y46" s="79"/>
      <c r="Z46" s="79"/>
      <c r="AA46" s="79"/>
      <c r="AB46" s="79"/>
      <c r="AC46" s="79"/>
      <c r="AD46" s="79"/>
      <c r="AE46" s="64">
        <f t="shared" si="0"/>
        <v>0</v>
      </c>
    </row>
    <row r="47" spans="1:31" ht="18" customHeight="1" x14ac:dyDescent="0.25">
      <c r="A47" s="77" t="s">
        <v>172</v>
      </c>
      <c r="B47" s="78"/>
      <c r="C47" s="57"/>
      <c r="D47" s="58">
        <f>C47*$C$44*$C$16</f>
        <v>0</v>
      </c>
      <c r="E47" s="59"/>
      <c r="F47" s="79">
        <f>SUM(G47:AD47)</f>
        <v>0</v>
      </c>
      <c r="G47" s="79"/>
      <c r="H47" s="79"/>
      <c r="I47" s="79"/>
      <c r="J47" s="79"/>
      <c r="K47" s="79"/>
      <c r="L47" s="79"/>
      <c r="M47" s="79"/>
      <c r="N47" s="79"/>
      <c r="O47" s="79"/>
      <c r="P47" s="79"/>
      <c r="Q47" s="79"/>
      <c r="R47" s="79"/>
      <c r="S47" s="79"/>
      <c r="T47" s="79"/>
      <c r="U47" s="79"/>
      <c r="V47" s="79"/>
      <c r="W47" s="79"/>
      <c r="X47" s="79"/>
      <c r="Y47" s="79"/>
      <c r="Z47" s="79"/>
      <c r="AA47" s="79"/>
      <c r="AB47" s="79"/>
      <c r="AC47" s="79"/>
      <c r="AD47" s="79"/>
      <c r="AE47" s="64">
        <f t="shared" ref="AE47:AE78" si="12">F47-SUM(G47:AD47)</f>
        <v>0</v>
      </c>
    </row>
    <row r="48" spans="1:31" ht="18" customHeight="1" x14ac:dyDescent="0.25">
      <c r="A48" s="77" t="s">
        <v>173</v>
      </c>
      <c r="B48" s="78"/>
      <c r="C48" s="57"/>
      <c r="D48" s="58">
        <f>C48*$C$44*$C$16</f>
        <v>0</v>
      </c>
      <c r="E48" s="59"/>
      <c r="F48" s="79">
        <f>SUM(G48:AD48)</f>
        <v>0</v>
      </c>
      <c r="G48" s="79"/>
      <c r="H48" s="79"/>
      <c r="I48" s="79"/>
      <c r="J48" s="79"/>
      <c r="K48" s="79"/>
      <c r="L48" s="79"/>
      <c r="M48" s="79"/>
      <c r="N48" s="79"/>
      <c r="O48" s="79"/>
      <c r="P48" s="79"/>
      <c r="Q48" s="79"/>
      <c r="R48" s="79"/>
      <c r="S48" s="79"/>
      <c r="T48" s="79"/>
      <c r="U48" s="79"/>
      <c r="V48" s="79"/>
      <c r="W48" s="79"/>
      <c r="X48" s="79"/>
      <c r="Y48" s="79"/>
      <c r="Z48" s="79"/>
      <c r="AA48" s="79"/>
      <c r="AB48" s="79"/>
      <c r="AC48" s="79"/>
      <c r="AD48" s="79"/>
      <c r="AE48" s="64">
        <f t="shared" si="12"/>
        <v>0</v>
      </c>
    </row>
    <row r="49" spans="1:31" ht="18" customHeight="1" x14ac:dyDescent="0.25">
      <c r="A49" s="77" t="s">
        <v>174</v>
      </c>
      <c r="B49" s="78"/>
      <c r="C49" s="57"/>
      <c r="D49" s="58">
        <f>C49*$C$44*$C$16</f>
        <v>0</v>
      </c>
      <c r="E49" s="59"/>
      <c r="F49" s="79">
        <f>SUM(G49:AD49)</f>
        <v>0</v>
      </c>
      <c r="G49" s="79"/>
      <c r="H49" s="79"/>
      <c r="I49" s="79"/>
      <c r="J49" s="79"/>
      <c r="K49" s="79"/>
      <c r="L49" s="79"/>
      <c r="M49" s="79"/>
      <c r="N49" s="79"/>
      <c r="O49" s="79"/>
      <c r="P49" s="79"/>
      <c r="Q49" s="79"/>
      <c r="R49" s="79"/>
      <c r="S49" s="79"/>
      <c r="T49" s="79"/>
      <c r="U49" s="79"/>
      <c r="V49" s="79"/>
      <c r="W49" s="79"/>
      <c r="X49" s="79"/>
      <c r="Y49" s="79"/>
      <c r="Z49" s="79"/>
      <c r="AA49" s="79"/>
      <c r="AB49" s="79"/>
      <c r="AC49" s="79"/>
      <c r="AD49" s="79"/>
      <c r="AE49" s="64">
        <f t="shared" si="12"/>
        <v>0</v>
      </c>
    </row>
    <row r="50" spans="1:31" ht="18" customHeight="1" x14ac:dyDescent="0.25">
      <c r="A50" s="72" t="s">
        <v>175</v>
      </c>
      <c r="B50" s="80"/>
      <c r="C50" s="73"/>
      <c r="D50" s="74"/>
      <c r="E50" s="75"/>
      <c r="F50" s="76">
        <f t="shared" ref="F50:AD50" si="13">SUM(F51:F55)</f>
        <v>0</v>
      </c>
      <c r="G50" s="76">
        <f t="shared" si="13"/>
        <v>0</v>
      </c>
      <c r="H50" s="76">
        <f t="shared" si="13"/>
        <v>0</v>
      </c>
      <c r="I50" s="76">
        <f t="shared" si="13"/>
        <v>0</v>
      </c>
      <c r="J50" s="76">
        <f t="shared" si="13"/>
        <v>0</v>
      </c>
      <c r="K50" s="76">
        <f t="shared" si="13"/>
        <v>0</v>
      </c>
      <c r="L50" s="76">
        <f t="shared" si="13"/>
        <v>0</v>
      </c>
      <c r="M50" s="76">
        <f t="shared" si="13"/>
        <v>0</v>
      </c>
      <c r="N50" s="76">
        <f t="shared" si="13"/>
        <v>0</v>
      </c>
      <c r="O50" s="76">
        <f t="shared" si="13"/>
        <v>0</v>
      </c>
      <c r="P50" s="76">
        <f t="shared" si="13"/>
        <v>0</v>
      </c>
      <c r="Q50" s="76">
        <f t="shared" si="13"/>
        <v>0</v>
      </c>
      <c r="R50" s="76">
        <f t="shared" si="13"/>
        <v>0</v>
      </c>
      <c r="S50" s="76">
        <f t="shared" si="13"/>
        <v>0</v>
      </c>
      <c r="T50" s="76">
        <f t="shared" si="13"/>
        <v>0</v>
      </c>
      <c r="U50" s="76">
        <f t="shared" si="13"/>
        <v>0</v>
      </c>
      <c r="V50" s="76">
        <f t="shared" si="13"/>
        <v>0</v>
      </c>
      <c r="W50" s="76">
        <f t="shared" si="13"/>
        <v>0</v>
      </c>
      <c r="X50" s="76">
        <f t="shared" si="13"/>
        <v>0</v>
      </c>
      <c r="Y50" s="76">
        <f t="shared" si="13"/>
        <v>0</v>
      </c>
      <c r="Z50" s="76">
        <f t="shared" si="13"/>
        <v>0</v>
      </c>
      <c r="AA50" s="76">
        <f t="shared" si="13"/>
        <v>0</v>
      </c>
      <c r="AB50" s="76">
        <f t="shared" si="13"/>
        <v>0</v>
      </c>
      <c r="AC50" s="76">
        <f t="shared" si="13"/>
        <v>0</v>
      </c>
      <c r="AD50" s="76">
        <f t="shared" si="13"/>
        <v>0</v>
      </c>
      <c r="AE50" s="64">
        <f t="shared" si="12"/>
        <v>0</v>
      </c>
    </row>
    <row r="51" spans="1:31" ht="18" customHeight="1" x14ac:dyDescent="0.25">
      <c r="A51" s="77" t="s">
        <v>176</v>
      </c>
      <c r="B51" s="78"/>
      <c r="C51" s="57"/>
      <c r="D51" s="58">
        <f>C51*$C$44*$C$16</f>
        <v>0</v>
      </c>
      <c r="E51" s="59"/>
      <c r="F51" s="79">
        <f>SUM(G51:AD51)</f>
        <v>0</v>
      </c>
      <c r="G51" s="79"/>
      <c r="H51" s="79"/>
      <c r="I51" s="79"/>
      <c r="J51" s="79"/>
      <c r="K51" s="79"/>
      <c r="L51" s="79"/>
      <c r="M51" s="79"/>
      <c r="N51" s="79"/>
      <c r="O51" s="79"/>
      <c r="P51" s="79"/>
      <c r="Q51" s="79"/>
      <c r="R51" s="79"/>
      <c r="S51" s="79"/>
      <c r="T51" s="79"/>
      <c r="U51" s="79"/>
      <c r="V51" s="79"/>
      <c r="W51" s="79"/>
      <c r="X51" s="79"/>
      <c r="Y51" s="79"/>
      <c r="Z51" s="79"/>
      <c r="AA51" s="79"/>
      <c r="AB51" s="79"/>
      <c r="AC51" s="79"/>
      <c r="AD51" s="79"/>
      <c r="AE51" s="64">
        <f t="shared" si="12"/>
        <v>0</v>
      </c>
    </row>
    <row r="52" spans="1:31" ht="18" customHeight="1" x14ac:dyDescent="0.25">
      <c r="A52" s="77" t="s">
        <v>177</v>
      </c>
      <c r="B52" s="78"/>
      <c r="C52" s="57"/>
      <c r="D52" s="58">
        <f>C52*$C$44*$C$16</f>
        <v>0</v>
      </c>
      <c r="E52" s="59"/>
      <c r="F52" s="79">
        <f>SUM(G52:AD52)</f>
        <v>0</v>
      </c>
      <c r="G52" s="79"/>
      <c r="H52" s="79"/>
      <c r="I52" s="79"/>
      <c r="J52" s="79"/>
      <c r="K52" s="79"/>
      <c r="L52" s="79"/>
      <c r="M52" s="79"/>
      <c r="N52" s="79"/>
      <c r="O52" s="79"/>
      <c r="P52" s="79"/>
      <c r="Q52" s="79"/>
      <c r="R52" s="79"/>
      <c r="S52" s="79"/>
      <c r="T52" s="79"/>
      <c r="U52" s="79"/>
      <c r="V52" s="79"/>
      <c r="W52" s="79"/>
      <c r="X52" s="79"/>
      <c r="Y52" s="79"/>
      <c r="Z52" s="79"/>
      <c r="AA52" s="79"/>
      <c r="AB52" s="79"/>
      <c r="AC52" s="79"/>
      <c r="AD52" s="79"/>
      <c r="AE52" s="64">
        <f t="shared" si="12"/>
        <v>0</v>
      </c>
    </row>
    <row r="53" spans="1:31" ht="18" customHeight="1" x14ac:dyDescent="0.25">
      <c r="A53" s="77" t="s">
        <v>178</v>
      </c>
      <c r="B53" s="78"/>
      <c r="C53" s="57"/>
      <c r="D53" s="58">
        <f>C53*$C$44*$C$16</f>
        <v>0</v>
      </c>
      <c r="E53" s="59"/>
      <c r="F53" s="79">
        <f>SUM(G53:AD53)</f>
        <v>0</v>
      </c>
      <c r="G53" s="79"/>
      <c r="H53" s="79"/>
      <c r="I53" s="79"/>
      <c r="J53" s="79"/>
      <c r="K53" s="79"/>
      <c r="L53" s="79"/>
      <c r="M53" s="79"/>
      <c r="N53" s="79"/>
      <c r="O53" s="79"/>
      <c r="P53" s="79"/>
      <c r="Q53" s="79"/>
      <c r="R53" s="79"/>
      <c r="S53" s="79"/>
      <c r="T53" s="79"/>
      <c r="U53" s="79"/>
      <c r="V53" s="79"/>
      <c r="W53" s="79"/>
      <c r="X53" s="79"/>
      <c r="Y53" s="79"/>
      <c r="Z53" s="79"/>
      <c r="AA53" s="79"/>
      <c r="AB53" s="79"/>
      <c r="AC53" s="79"/>
      <c r="AD53" s="79"/>
      <c r="AE53" s="64">
        <f t="shared" si="12"/>
        <v>0</v>
      </c>
    </row>
    <row r="54" spans="1:31" ht="18" customHeight="1" x14ac:dyDescent="0.25">
      <c r="A54" s="77" t="s">
        <v>179</v>
      </c>
      <c r="B54" s="78"/>
      <c r="C54" s="57"/>
      <c r="D54" s="58">
        <f>C54*$C$44*$C$16</f>
        <v>0</v>
      </c>
      <c r="E54" s="59"/>
      <c r="F54" s="79">
        <f>SUM(G54:AD54)</f>
        <v>0</v>
      </c>
      <c r="G54" s="79"/>
      <c r="H54" s="79"/>
      <c r="I54" s="79"/>
      <c r="J54" s="79"/>
      <c r="K54" s="79"/>
      <c r="L54" s="79"/>
      <c r="M54" s="79"/>
      <c r="N54" s="79"/>
      <c r="O54" s="79"/>
      <c r="P54" s="79"/>
      <c r="Q54" s="79"/>
      <c r="R54" s="79"/>
      <c r="S54" s="79"/>
      <c r="T54" s="79"/>
      <c r="U54" s="79"/>
      <c r="V54" s="79"/>
      <c r="W54" s="79"/>
      <c r="X54" s="79"/>
      <c r="Y54" s="79"/>
      <c r="Z54" s="79"/>
      <c r="AA54" s="79"/>
      <c r="AB54" s="79"/>
      <c r="AC54" s="79"/>
      <c r="AD54" s="79"/>
      <c r="AE54" s="64">
        <f t="shared" si="12"/>
        <v>0</v>
      </c>
    </row>
    <row r="55" spans="1:31" ht="18" customHeight="1" x14ac:dyDescent="0.25">
      <c r="A55" s="77" t="s">
        <v>180</v>
      </c>
      <c r="B55" s="78"/>
      <c r="C55" s="57"/>
      <c r="D55" s="58">
        <f>C55*$C$44*$C$16</f>
        <v>0</v>
      </c>
      <c r="E55" s="59"/>
      <c r="F55" s="79">
        <f>SUM(G55:AD55)</f>
        <v>0</v>
      </c>
      <c r="G55" s="79"/>
      <c r="H55" s="79"/>
      <c r="I55" s="79"/>
      <c r="J55" s="79"/>
      <c r="K55" s="79"/>
      <c r="L55" s="79"/>
      <c r="M55" s="79"/>
      <c r="N55" s="79"/>
      <c r="O55" s="79"/>
      <c r="P55" s="79"/>
      <c r="Q55" s="79"/>
      <c r="R55" s="79"/>
      <c r="S55" s="79"/>
      <c r="T55" s="79"/>
      <c r="U55" s="79"/>
      <c r="V55" s="79"/>
      <c r="W55" s="79"/>
      <c r="X55" s="79"/>
      <c r="Y55" s="79"/>
      <c r="Z55" s="79"/>
      <c r="AA55" s="79"/>
      <c r="AB55" s="79"/>
      <c r="AC55" s="79"/>
      <c r="AD55" s="79"/>
      <c r="AE55" s="64">
        <f t="shared" si="12"/>
        <v>0</v>
      </c>
    </row>
    <row r="56" spans="1:31" ht="18" customHeight="1" x14ac:dyDescent="0.25">
      <c r="A56" s="66" t="s">
        <v>181</v>
      </c>
      <c r="B56" s="81"/>
      <c r="C56" s="68"/>
      <c r="D56" s="69"/>
      <c r="E56" s="70"/>
      <c r="F56" s="71">
        <f t="shared" ref="F56:AD56" si="14">F57+F63+F69+F75+F81</f>
        <v>0</v>
      </c>
      <c r="G56" s="82">
        <f t="shared" si="14"/>
        <v>0</v>
      </c>
      <c r="H56" s="82">
        <f t="shared" si="14"/>
        <v>0</v>
      </c>
      <c r="I56" s="82">
        <f t="shared" si="14"/>
        <v>0</v>
      </c>
      <c r="J56" s="82">
        <f t="shared" si="14"/>
        <v>0</v>
      </c>
      <c r="K56" s="82">
        <f t="shared" si="14"/>
        <v>0</v>
      </c>
      <c r="L56" s="82">
        <f t="shared" si="14"/>
        <v>0</v>
      </c>
      <c r="M56" s="82">
        <f t="shared" si="14"/>
        <v>0</v>
      </c>
      <c r="N56" s="82">
        <f t="shared" si="14"/>
        <v>0</v>
      </c>
      <c r="O56" s="82">
        <f t="shared" si="14"/>
        <v>0</v>
      </c>
      <c r="P56" s="82">
        <f t="shared" si="14"/>
        <v>0</v>
      </c>
      <c r="Q56" s="82">
        <f t="shared" si="14"/>
        <v>0</v>
      </c>
      <c r="R56" s="82">
        <f t="shared" si="14"/>
        <v>0</v>
      </c>
      <c r="S56" s="82">
        <f t="shared" si="14"/>
        <v>0</v>
      </c>
      <c r="T56" s="82">
        <f t="shared" si="14"/>
        <v>0</v>
      </c>
      <c r="U56" s="82">
        <f t="shared" si="14"/>
        <v>0</v>
      </c>
      <c r="V56" s="82">
        <f t="shared" si="14"/>
        <v>0</v>
      </c>
      <c r="W56" s="82">
        <f t="shared" si="14"/>
        <v>0</v>
      </c>
      <c r="X56" s="82">
        <f t="shared" si="14"/>
        <v>0</v>
      </c>
      <c r="Y56" s="82">
        <f t="shared" si="14"/>
        <v>0</v>
      </c>
      <c r="Z56" s="82">
        <f t="shared" si="14"/>
        <v>0</v>
      </c>
      <c r="AA56" s="82">
        <f t="shared" si="14"/>
        <v>0</v>
      </c>
      <c r="AB56" s="82">
        <f t="shared" si="14"/>
        <v>0</v>
      </c>
      <c r="AC56" s="82">
        <f t="shared" si="14"/>
        <v>0</v>
      </c>
      <c r="AD56" s="82">
        <f t="shared" si="14"/>
        <v>0</v>
      </c>
      <c r="AE56" s="64">
        <f t="shared" si="12"/>
        <v>0</v>
      </c>
    </row>
    <row r="57" spans="1:31" ht="18" customHeight="1" x14ac:dyDescent="0.25">
      <c r="A57" s="72" t="s">
        <v>182</v>
      </c>
      <c r="B57" s="83"/>
      <c r="C57" s="73"/>
      <c r="D57" s="74"/>
      <c r="E57" s="75"/>
      <c r="F57" s="76">
        <f t="shared" ref="F57:AD57" si="15">SUM(F58:F62)</f>
        <v>0</v>
      </c>
      <c r="G57" s="84">
        <f t="shared" si="15"/>
        <v>0</v>
      </c>
      <c r="H57" s="84">
        <f t="shared" si="15"/>
        <v>0</v>
      </c>
      <c r="I57" s="84">
        <f t="shared" si="15"/>
        <v>0</v>
      </c>
      <c r="J57" s="84">
        <f t="shared" si="15"/>
        <v>0</v>
      </c>
      <c r="K57" s="84">
        <f t="shared" si="15"/>
        <v>0</v>
      </c>
      <c r="L57" s="84">
        <f t="shared" si="15"/>
        <v>0</v>
      </c>
      <c r="M57" s="84">
        <f t="shared" si="15"/>
        <v>0</v>
      </c>
      <c r="N57" s="84">
        <f t="shared" si="15"/>
        <v>0</v>
      </c>
      <c r="O57" s="84">
        <f t="shared" si="15"/>
        <v>0</v>
      </c>
      <c r="P57" s="84">
        <f t="shared" si="15"/>
        <v>0</v>
      </c>
      <c r="Q57" s="84">
        <f t="shared" si="15"/>
        <v>0</v>
      </c>
      <c r="R57" s="84">
        <f t="shared" si="15"/>
        <v>0</v>
      </c>
      <c r="S57" s="84">
        <f t="shared" si="15"/>
        <v>0</v>
      </c>
      <c r="T57" s="84">
        <f t="shared" si="15"/>
        <v>0</v>
      </c>
      <c r="U57" s="84">
        <f t="shared" si="15"/>
        <v>0</v>
      </c>
      <c r="V57" s="84">
        <f t="shared" si="15"/>
        <v>0</v>
      </c>
      <c r="W57" s="84">
        <f t="shared" si="15"/>
        <v>0</v>
      </c>
      <c r="X57" s="84">
        <f t="shared" si="15"/>
        <v>0</v>
      </c>
      <c r="Y57" s="84">
        <f t="shared" si="15"/>
        <v>0</v>
      </c>
      <c r="Z57" s="84">
        <f t="shared" si="15"/>
        <v>0</v>
      </c>
      <c r="AA57" s="84">
        <f t="shared" si="15"/>
        <v>0</v>
      </c>
      <c r="AB57" s="84">
        <f t="shared" si="15"/>
        <v>0</v>
      </c>
      <c r="AC57" s="84">
        <f t="shared" si="15"/>
        <v>0</v>
      </c>
      <c r="AD57" s="84">
        <f t="shared" si="15"/>
        <v>0</v>
      </c>
      <c r="AE57" s="64">
        <f t="shared" si="12"/>
        <v>0</v>
      </c>
    </row>
    <row r="58" spans="1:31" ht="18" customHeight="1" x14ac:dyDescent="0.25">
      <c r="A58" s="77" t="s">
        <v>183</v>
      </c>
      <c r="B58" s="85"/>
      <c r="C58" s="57"/>
      <c r="D58" s="58">
        <f>C58*$C$57*$C$56</f>
        <v>0</v>
      </c>
      <c r="E58" s="59"/>
      <c r="F58" s="79">
        <f>SUM(G58:AD58)</f>
        <v>0</v>
      </c>
      <c r="G58" s="79"/>
      <c r="H58" s="79"/>
      <c r="I58" s="79"/>
      <c r="J58" s="79"/>
      <c r="K58" s="79"/>
      <c r="L58" s="79"/>
      <c r="M58" s="79"/>
      <c r="N58" s="79"/>
      <c r="O58" s="79"/>
      <c r="P58" s="79"/>
      <c r="Q58" s="79"/>
      <c r="R58" s="79"/>
      <c r="S58" s="86"/>
      <c r="T58" s="86"/>
      <c r="U58" s="86"/>
      <c r="V58" s="86"/>
      <c r="W58" s="86"/>
      <c r="X58" s="86"/>
      <c r="Y58" s="86"/>
      <c r="Z58" s="86"/>
      <c r="AA58" s="86"/>
      <c r="AB58" s="86"/>
      <c r="AC58" s="86"/>
      <c r="AD58" s="86"/>
      <c r="AE58" s="64">
        <f t="shared" si="12"/>
        <v>0</v>
      </c>
    </row>
    <row r="59" spans="1:31" ht="18" customHeight="1" x14ac:dyDescent="0.25">
      <c r="A59" s="77" t="s">
        <v>184</v>
      </c>
      <c r="B59" s="85"/>
      <c r="C59" s="57"/>
      <c r="D59" s="58">
        <f>C59*$C$57*$C$56</f>
        <v>0</v>
      </c>
      <c r="E59" s="59"/>
      <c r="F59" s="79">
        <f>SUM(G59:AD59)</f>
        <v>0</v>
      </c>
      <c r="G59" s="79"/>
      <c r="H59" s="79"/>
      <c r="I59" s="79"/>
      <c r="J59" s="79"/>
      <c r="K59" s="79"/>
      <c r="L59" s="79"/>
      <c r="M59" s="79"/>
      <c r="N59" s="79"/>
      <c r="O59" s="79"/>
      <c r="P59" s="79"/>
      <c r="Q59" s="79"/>
      <c r="R59" s="79"/>
      <c r="S59" s="86"/>
      <c r="T59" s="86"/>
      <c r="U59" s="86"/>
      <c r="V59" s="86"/>
      <c r="W59" s="86"/>
      <c r="X59" s="86"/>
      <c r="Y59" s="86"/>
      <c r="Z59" s="86"/>
      <c r="AA59" s="86"/>
      <c r="AB59" s="86"/>
      <c r="AC59" s="86"/>
      <c r="AD59" s="86"/>
      <c r="AE59" s="64">
        <f t="shared" si="12"/>
        <v>0</v>
      </c>
    </row>
    <row r="60" spans="1:31" ht="18" customHeight="1" x14ac:dyDescent="0.25">
      <c r="A60" s="77" t="s">
        <v>185</v>
      </c>
      <c r="B60" s="85"/>
      <c r="C60" s="57"/>
      <c r="D60" s="58">
        <f>C60*$C$57*$C$56</f>
        <v>0</v>
      </c>
      <c r="E60" s="59"/>
      <c r="F60" s="79">
        <f>SUM(G60:AD60)</f>
        <v>0</v>
      </c>
      <c r="G60" s="79"/>
      <c r="H60" s="79"/>
      <c r="I60" s="79"/>
      <c r="J60" s="79"/>
      <c r="K60" s="79"/>
      <c r="L60" s="79"/>
      <c r="M60" s="79"/>
      <c r="N60" s="79"/>
      <c r="O60" s="79"/>
      <c r="P60" s="79"/>
      <c r="Q60" s="79"/>
      <c r="R60" s="79"/>
      <c r="S60" s="86"/>
      <c r="T60" s="86"/>
      <c r="U60" s="86"/>
      <c r="V60" s="86"/>
      <c r="W60" s="86"/>
      <c r="X60" s="86"/>
      <c r="Y60" s="86"/>
      <c r="Z60" s="86"/>
      <c r="AA60" s="86"/>
      <c r="AB60" s="86"/>
      <c r="AC60" s="86"/>
      <c r="AD60" s="86"/>
      <c r="AE60" s="64">
        <f t="shared" si="12"/>
        <v>0</v>
      </c>
    </row>
    <row r="61" spans="1:31" ht="18" customHeight="1" x14ac:dyDescent="0.25">
      <c r="A61" s="77" t="s">
        <v>186</v>
      </c>
      <c r="B61" s="85"/>
      <c r="C61" s="57"/>
      <c r="D61" s="58">
        <f>C61*$C$57*$C$56</f>
        <v>0</v>
      </c>
      <c r="E61" s="59"/>
      <c r="F61" s="79">
        <f>SUM(G61:AD61)</f>
        <v>0</v>
      </c>
      <c r="G61" s="79"/>
      <c r="H61" s="79"/>
      <c r="I61" s="79"/>
      <c r="J61" s="79"/>
      <c r="K61" s="79"/>
      <c r="L61" s="79"/>
      <c r="M61" s="79"/>
      <c r="N61" s="79"/>
      <c r="O61" s="79"/>
      <c r="P61" s="79"/>
      <c r="Q61" s="79"/>
      <c r="R61" s="79"/>
      <c r="S61" s="86"/>
      <c r="T61" s="86"/>
      <c r="U61" s="86"/>
      <c r="V61" s="86"/>
      <c r="W61" s="86"/>
      <c r="X61" s="86"/>
      <c r="Y61" s="86"/>
      <c r="Z61" s="86"/>
      <c r="AA61" s="86"/>
      <c r="AB61" s="86"/>
      <c r="AC61" s="86"/>
      <c r="AD61" s="86"/>
      <c r="AE61" s="64">
        <f t="shared" si="12"/>
        <v>0</v>
      </c>
    </row>
    <row r="62" spans="1:31" ht="18" customHeight="1" x14ac:dyDescent="0.25">
      <c r="A62" s="77" t="s">
        <v>187</v>
      </c>
      <c r="B62" s="85"/>
      <c r="C62" s="57"/>
      <c r="D62" s="58">
        <f>C62*$C$57*$C$56</f>
        <v>0</v>
      </c>
      <c r="E62" s="59"/>
      <c r="F62" s="79">
        <f>SUM(G62:AD62)</f>
        <v>0</v>
      </c>
      <c r="G62" s="79"/>
      <c r="H62" s="79"/>
      <c r="I62" s="79"/>
      <c r="J62" s="79"/>
      <c r="K62" s="79"/>
      <c r="L62" s="79"/>
      <c r="M62" s="79"/>
      <c r="N62" s="79"/>
      <c r="O62" s="79"/>
      <c r="P62" s="79"/>
      <c r="Q62" s="79"/>
      <c r="R62" s="79"/>
      <c r="S62" s="86"/>
      <c r="T62" s="86"/>
      <c r="U62" s="86"/>
      <c r="V62" s="86"/>
      <c r="W62" s="86"/>
      <c r="X62" s="86"/>
      <c r="Y62" s="86"/>
      <c r="Z62" s="86"/>
      <c r="AA62" s="86"/>
      <c r="AB62" s="86"/>
      <c r="AC62" s="86"/>
      <c r="AD62" s="86"/>
      <c r="AE62" s="64">
        <f t="shared" si="12"/>
        <v>0</v>
      </c>
    </row>
    <row r="63" spans="1:31" ht="18" customHeight="1" x14ac:dyDescent="0.25">
      <c r="A63" s="72" t="s">
        <v>188</v>
      </c>
      <c r="B63" s="83"/>
      <c r="C63" s="73"/>
      <c r="D63" s="74"/>
      <c r="E63" s="75"/>
      <c r="F63" s="76">
        <f t="shared" ref="F63:AD63" si="16">SUM(F64:F68)</f>
        <v>0</v>
      </c>
      <c r="G63" s="84">
        <f t="shared" si="16"/>
        <v>0</v>
      </c>
      <c r="H63" s="84">
        <f t="shared" si="16"/>
        <v>0</v>
      </c>
      <c r="I63" s="84">
        <f t="shared" si="16"/>
        <v>0</v>
      </c>
      <c r="J63" s="84">
        <f t="shared" si="16"/>
        <v>0</v>
      </c>
      <c r="K63" s="84">
        <f t="shared" si="16"/>
        <v>0</v>
      </c>
      <c r="L63" s="84">
        <f t="shared" si="16"/>
        <v>0</v>
      </c>
      <c r="M63" s="84">
        <f t="shared" si="16"/>
        <v>0</v>
      </c>
      <c r="N63" s="84">
        <f t="shared" si="16"/>
        <v>0</v>
      </c>
      <c r="O63" s="84">
        <f t="shared" si="16"/>
        <v>0</v>
      </c>
      <c r="P63" s="84">
        <f t="shared" si="16"/>
        <v>0</v>
      </c>
      <c r="Q63" s="84">
        <f t="shared" si="16"/>
        <v>0</v>
      </c>
      <c r="R63" s="84">
        <f t="shared" si="16"/>
        <v>0</v>
      </c>
      <c r="S63" s="84">
        <f t="shared" si="16"/>
        <v>0</v>
      </c>
      <c r="T63" s="84">
        <f t="shared" si="16"/>
        <v>0</v>
      </c>
      <c r="U63" s="84">
        <f t="shared" si="16"/>
        <v>0</v>
      </c>
      <c r="V63" s="84">
        <f t="shared" si="16"/>
        <v>0</v>
      </c>
      <c r="W63" s="84">
        <f t="shared" si="16"/>
        <v>0</v>
      </c>
      <c r="X63" s="84">
        <f t="shared" si="16"/>
        <v>0</v>
      </c>
      <c r="Y63" s="84">
        <f t="shared" si="16"/>
        <v>0</v>
      </c>
      <c r="Z63" s="84">
        <f t="shared" si="16"/>
        <v>0</v>
      </c>
      <c r="AA63" s="84">
        <f t="shared" si="16"/>
        <v>0</v>
      </c>
      <c r="AB63" s="84">
        <f t="shared" si="16"/>
        <v>0</v>
      </c>
      <c r="AC63" s="84">
        <f t="shared" si="16"/>
        <v>0</v>
      </c>
      <c r="AD63" s="84">
        <f t="shared" si="16"/>
        <v>0</v>
      </c>
      <c r="AE63" s="64">
        <f t="shared" si="12"/>
        <v>0</v>
      </c>
    </row>
    <row r="64" spans="1:31" ht="18" customHeight="1" x14ac:dyDescent="0.25">
      <c r="A64" s="77" t="s">
        <v>189</v>
      </c>
      <c r="B64" s="85"/>
      <c r="C64" s="57"/>
      <c r="D64" s="58">
        <f>C64*$C$63*$C$56</f>
        <v>0</v>
      </c>
      <c r="E64" s="59"/>
      <c r="F64" s="79">
        <f>SUM(G64:AD64)</f>
        <v>0</v>
      </c>
      <c r="G64" s="79"/>
      <c r="H64" s="79"/>
      <c r="I64" s="79"/>
      <c r="J64" s="79"/>
      <c r="K64" s="79"/>
      <c r="L64" s="79"/>
      <c r="M64" s="79"/>
      <c r="N64" s="79"/>
      <c r="O64" s="79"/>
      <c r="P64" s="79"/>
      <c r="Q64" s="79"/>
      <c r="R64" s="79"/>
      <c r="S64" s="86"/>
      <c r="T64" s="86"/>
      <c r="U64" s="86"/>
      <c r="V64" s="86"/>
      <c r="W64" s="86"/>
      <c r="X64" s="86"/>
      <c r="Y64" s="86"/>
      <c r="Z64" s="86"/>
      <c r="AA64" s="86"/>
      <c r="AB64" s="86"/>
      <c r="AC64" s="86"/>
      <c r="AD64" s="86"/>
      <c r="AE64" s="64">
        <f t="shared" si="12"/>
        <v>0</v>
      </c>
    </row>
    <row r="65" spans="1:31" ht="18" customHeight="1" x14ac:dyDescent="0.25">
      <c r="A65" s="77" t="s">
        <v>190</v>
      </c>
      <c r="B65" s="85"/>
      <c r="C65" s="57"/>
      <c r="D65" s="58">
        <f>C65*$C$63*$C$56</f>
        <v>0</v>
      </c>
      <c r="E65" s="59"/>
      <c r="F65" s="79">
        <f>SUM(G65:AD65)</f>
        <v>0</v>
      </c>
      <c r="G65" s="79"/>
      <c r="H65" s="79"/>
      <c r="I65" s="79"/>
      <c r="J65" s="79"/>
      <c r="K65" s="79"/>
      <c r="L65" s="79"/>
      <c r="M65" s="79"/>
      <c r="N65" s="79"/>
      <c r="O65" s="79"/>
      <c r="P65" s="79"/>
      <c r="Q65" s="79"/>
      <c r="R65" s="79"/>
      <c r="S65" s="86"/>
      <c r="T65" s="86"/>
      <c r="U65" s="86"/>
      <c r="V65" s="86"/>
      <c r="W65" s="86"/>
      <c r="X65" s="86"/>
      <c r="Y65" s="86"/>
      <c r="Z65" s="86"/>
      <c r="AA65" s="86"/>
      <c r="AB65" s="86"/>
      <c r="AC65" s="86"/>
      <c r="AD65" s="86"/>
      <c r="AE65" s="64">
        <f t="shared" si="12"/>
        <v>0</v>
      </c>
    </row>
    <row r="66" spans="1:31" ht="18" customHeight="1" x14ac:dyDescent="0.25">
      <c r="A66" s="77" t="s">
        <v>191</v>
      </c>
      <c r="B66" s="85"/>
      <c r="C66" s="57"/>
      <c r="D66" s="58">
        <f>C66*$C$63*$C$56</f>
        <v>0</v>
      </c>
      <c r="E66" s="59"/>
      <c r="F66" s="79">
        <f>SUM(G66:AD66)</f>
        <v>0</v>
      </c>
      <c r="G66" s="79"/>
      <c r="H66" s="79"/>
      <c r="I66" s="79"/>
      <c r="J66" s="79"/>
      <c r="K66" s="79"/>
      <c r="L66" s="79"/>
      <c r="M66" s="79"/>
      <c r="N66" s="79"/>
      <c r="O66" s="79"/>
      <c r="P66" s="79"/>
      <c r="Q66" s="79"/>
      <c r="R66" s="79"/>
      <c r="S66" s="86"/>
      <c r="T66" s="86"/>
      <c r="U66" s="86"/>
      <c r="V66" s="86"/>
      <c r="W66" s="86"/>
      <c r="X66" s="86"/>
      <c r="Y66" s="86"/>
      <c r="Z66" s="86"/>
      <c r="AA66" s="86"/>
      <c r="AB66" s="86"/>
      <c r="AC66" s="86"/>
      <c r="AD66" s="86"/>
      <c r="AE66" s="64">
        <f t="shared" si="12"/>
        <v>0</v>
      </c>
    </row>
    <row r="67" spans="1:31" ht="18" customHeight="1" x14ac:dyDescent="0.25">
      <c r="A67" s="77" t="s">
        <v>192</v>
      </c>
      <c r="B67" s="85"/>
      <c r="C67" s="57"/>
      <c r="D67" s="58">
        <f>C67*$C$63*$C$56</f>
        <v>0</v>
      </c>
      <c r="E67" s="59"/>
      <c r="F67" s="79">
        <f>SUM(G67:AD67)</f>
        <v>0</v>
      </c>
      <c r="G67" s="79"/>
      <c r="H67" s="79"/>
      <c r="I67" s="79"/>
      <c r="J67" s="79"/>
      <c r="K67" s="79"/>
      <c r="L67" s="79"/>
      <c r="M67" s="79"/>
      <c r="N67" s="79"/>
      <c r="O67" s="79"/>
      <c r="P67" s="79"/>
      <c r="Q67" s="79"/>
      <c r="R67" s="79"/>
      <c r="S67" s="86"/>
      <c r="T67" s="86"/>
      <c r="U67" s="86"/>
      <c r="V67" s="86"/>
      <c r="W67" s="86"/>
      <c r="X67" s="86"/>
      <c r="Y67" s="86"/>
      <c r="Z67" s="86"/>
      <c r="AA67" s="86"/>
      <c r="AB67" s="86"/>
      <c r="AC67" s="86"/>
      <c r="AD67" s="86"/>
      <c r="AE67" s="64">
        <f t="shared" si="12"/>
        <v>0</v>
      </c>
    </row>
    <row r="68" spans="1:31" ht="18" customHeight="1" x14ac:dyDescent="0.25">
      <c r="A68" s="77" t="s">
        <v>193</v>
      </c>
      <c r="B68" s="85"/>
      <c r="C68" s="57"/>
      <c r="D68" s="58">
        <f>C68*$C$63*$C$56</f>
        <v>0</v>
      </c>
      <c r="E68" s="59"/>
      <c r="F68" s="79">
        <f>SUM(G68:AD68)</f>
        <v>0</v>
      </c>
      <c r="G68" s="79"/>
      <c r="H68" s="79"/>
      <c r="I68" s="79"/>
      <c r="J68" s="79"/>
      <c r="K68" s="79"/>
      <c r="L68" s="79"/>
      <c r="M68" s="79"/>
      <c r="N68" s="79"/>
      <c r="O68" s="79"/>
      <c r="P68" s="79"/>
      <c r="Q68" s="79"/>
      <c r="R68" s="79"/>
      <c r="S68" s="86"/>
      <c r="T68" s="86"/>
      <c r="U68" s="86"/>
      <c r="V68" s="86"/>
      <c r="W68" s="86"/>
      <c r="X68" s="86"/>
      <c r="Y68" s="86"/>
      <c r="Z68" s="86"/>
      <c r="AA68" s="86"/>
      <c r="AB68" s="86"/>
      <c r="AC68" s="86"/>
      <c r="AD68" s="86"/>
      <c r="AE68" s="64">
        <f t="shared" si="12"/>
        <v>0</v>
      </c>
    </row>
    <row r="69" spans="1:31" ht="18" customHeight="1" x14ac:dyDescent="0.25">
      <c r="A69" s="72" t="s">
        <v>194</v>
      </c>
      <c r="B69" s="83"/>
      <c r="C69" s="73"/>
      <c r="D69" s="74"/>
      <c r="E69" s="75"/>
      <c r="F69" s="76">
        <f t="shared" ref="F69:AD69" si="17">SUM(F70:F74)</f>
        <v>0</v>
      </c>
      <c r="G69" s="84">
        <f t="shared" si="17"/>
        <v>0</v>
      </c>
      <c r="H69" s="84">
        <f t="shared" si="17"/>
        <v>0</v>
      </c>
      <c r="I69" s="84">
        <f t="shared" si="17"/>
        <v>0</v>
      </c>
      <c r="J69" s="84">
        <f t="shared" si="17"/>
        <v>0</v>
      </c>
      <c r="K69" s="84">
        <f t="shared" si="17"/>
        <v>0</v>
      </c>
      <c r="L69" s="84">
        <f t="shared" si="17"/>
        <v>0</v>
      </c>
      <c r="M69" s="84">
        <f t="shared" si="17"/>
        <v>0</v>
      </c>
      <c r="N69" s="84">
        <f t="shared" si="17"/>
        <v>0</v>
      </c>
      <c r="O69" s="84">
        <f t="shared" si="17"/>
        <v>0</v>
      </c>
      <c r="P69" s="84">
        <f t="shared" si="17"/>
        <v>0</v>
      </c>
      <c r="Q69" s="84">
        <f t="shared" si="17"/>
        <v>0</v>
      </c>
      <c r="R69" s="84">
        <f t="shared" si="17"/>
        <v>0</v>
      </c>
      <c r="S69" s="84">
        <f t="shared" si="17"/>
        <v>0</v>
      </c>
      <c r="T69" s="84">
        <f t="shared" si="17"/>
        <v>0</v>
      </c>
      <c r="U69" s="84">
        <f t="shared" si="17"/>
        <v>0</v>
      </c>
      <c r="V69" s="84">
        <f t="shared" si="17"/>
        <v>0</v>
      </c>
      <c r="W69" s="84">
        <f t="shared" si="17"/>
        <v>0</v>
      </c>
      <c r="X69" s="84">
        <f t="shared" si="17"/>
        <v>0</v>
      </c>
      <c r="Y69" s="84">
        <f t="shared" si="17"/>
        <v>0</v>
      </c>
      <c r="Z69" s="84">
        <f t="shared" si="17"/>
        <v>0</v>
      </c>
      <c r="AA69" s="84">
        <f t="shared" si="17"/>
        <v>0</v>
      </c>
      <c r="AB69" s="84">
        <f t="shared" si="17"/>
        <v>0</v>
      </c>
      <c r="AC69" s="84">
        <f t="shared" si="17"/>
        <v>0</v>
      </c>
      <c r="AD69" s="84">
        <f t="shared" si="17"/>
        <v>0</v>
      </c>
      <c r="AE69" s="64">
        <f t="shared" si="12"/>
        <v>0</v>
      </c>
    </row>
    <row r="70" spans="1:31" ht="18" customHeight="1" x14ac:dyDescent="0.25">
      <c r="A70" s="77" t="s">
        <v>195</v>
      </c>
      <c r="B70" s="85"/>
      <c r="C70" s="57"/>
      <c r="D70" s="58">
        <f>C70*$C$69*$C$56</f>
        <v>0</v>
      </c>
      <c r="E70" s="59"/>
      <c r="F70" s="79">
        <f>SUM(G70:AD70)</f>
        <v>0</v>
      </c>
      <c r="G70" s="79"/>
      <c r="H70" s="79"/>
      <c r="I70" s="79"/>
      <c r="J70" s="79"/>
      <c r="K70" s="79"/>
      <c r="L70" s="79"/>
      <c r="M70" s="79"/>
      <c r="N70" s="79"/>
      <c r="O70" s="79"/>
      <c r="P70" s="79"/>
      <c r="Q70" s="79"/>
      <c r="R70" s="79"/>
      <c r="S70" s="86"/>
      <c r="T70" s="86"/>
      <c r="U70" s="86"/>
      <c r="V70" s="86"/>
      <c r="W70" s="86"/>
      <c r="X70" s="86"/>
      <c r="Y70" s="86"/>
      <c r="Z70" s="86"/>
      <c r="AA70" s="86"/>
      <c r="AB70" s="86"/>
      <c r="AC70" s="86"/>
      <c r="AD70" s="86"/>
      <c r="AE70" s="64">
        <f t="shared" si="12"/>
        <v>0</v>
      </c>
    </row>
    <row r="71" spans="1:31" ht="18" customHeight="1" x14ac:dyDescent="0.25">
      <c r="A71" s="77" t="s">
        <v>196</v>
      </c>
      <c r="B71" s="85"/>
      <c r="C71" s="57"/>
      <c r="D71" s="58">
        <f>C71*$C$69*$C$56</f>
        <v>0</v>
      </c>
      <c r="E71" s="59"/>
      <c r="F71" s="79">
        <f>SUM(G71:AD71)</f>
        <v>0</v>
      </c>
      <c r="G71" s="79"/>
      <c r="H71" s="79"/>
      <c r="I71" s="79"/>
      <c r="J71" s="79"/>
      <c r="K71" s="79"/>
      <c r="L71" s="79"/>
      <c r="M71" s="79"/>
      <c r="N71" s="79"/>
      <c r="O71" s="79"/>
      <c r="P71" s="79"/>
      <c r="Q71" s="79"/>
      <c r="R71" s="79"/>
      <c r="S71" s="86"/>
      <c r="T71" s="86"/>
      <c r="U71" s="86"/>
      <c r="V71" s="86"/>
      <c r="W71" s="86"/>
      <c r="X71" s="86"/>
      <c r="Y71" s="86"/>
      <c r="Z71" s="86"/>
      <c r="AA71" s="86"/>
      <c r="AB71" s="86"/>
      <c r="AC71" s="86"/>
      <c r="AD71" s="86"/>
      <c r="AE71" s="64">
        <f t="shared" si="12"/>
        <v>0</v>
      </c>
    </row>
    <row r="72" spans="1:31" ht="18" customHeight="1" x14ac:dyDescent="0.25">
      <c r="A72" s="77" t="s">
        <v>197</v>
      </c>
      <c r="B72" s="85"/>
      <c r="C72" s="57"/>
      <c r="D72" s="58">
        <f>C72*$C$69*$C$56</f>
        <v>0</v>
      </c>
      <c r="E72" s="59"/>
      <c r="F72" s="79">
        <f>SUM(G72:AD72)</f>
        <v>0</v>
      </c>
      <c r="G72" s="79"/>
      <c r="H72" s="79"/>
      <c r="I72" s="79"/>
      <c r="J72" s="79"/>
      <c r="K72" s="79"/>
      <c r="L72" s="79"/>
      <c r="M72" s="79"/>
      <c r="N72" s="79"/>
      <c r="O72" s="79"/>
      <c r="P72" s="79"/>
      <c r="Q72" s="79"/>
      <c r="R72" s="79"/>
      <c r="S72" s="86"/>
      <c r="T72" s="86"/>
      <c r="U72" s="86"/>
      <c r="V72" s="86"/>
      <c r="W72" s="86"/>
      <c r="X72" s="86"/>
      <c r="Y72" s="86"/>
      <c r="Z72" s="86"/>
      <c r="AA72" s="86"/>
      <c r="AB72" s="86"/>
      <c r="AC72" s="86"/>
      <c r="AD72" s="86"/>
      <c r="AE72" s="64">
        <f t="shared" si="12"/>
        <v>0</v>
      </c>
    </row>
    <row r="73" spans="1:31" ht="18" customHeight="1" x14ac:dyDescent="0.25">
      <c r="A73" s="77" t="s">
        <v>198</v>
      </c>
      <c r="B73" s="85"/>
      <c r="C73" s="57"/>
      <c r="D73" s="58">
        <f>C73*$C$69*$C$56</f>
        <v>0</v>
      </c>
      <c r="E73" s="59"/>
      <c r="F73" s="79">
        <f>SUM(G73:AD73)</f>
        <v>0</v>
      </c>
      <c r="G73" s="79"/>
      <c r="H73" s="79"/>
      <c r="I73" s="79"/>
      <c r="J73" s="79"/>
      <c r="K73" s="79"/>
      <c r="L73" s="79"/>
      <c r="M73" s="79"/>
      <c r="N73" s="79"/>
      <c r="O73" s="79"/>
      <c r="P73" s="79"/>
      <c r="Q73" s="79"/>
      <c r="R73" s="79"/>
      <c r="S73" s="86"/>
      <c r="T73" s="86"/>
      <c r="U73" s="86"/>
      <c r="V73" s="86"/>
      <c r="W73" s="86"/>
      <c r="X73" s="86"/>
      <c r="Y73" s="86"/>
      <c r="Z73" s="86"/>
      <c r="AA73" s="86"/>
      <c r="AB73" s="86"/>
      <c r="AC73" s="86"/>
      <c r="AD73" s="86"/>
      <c r="AE73" s="64">
        <f t="shared" si="12"/>
        <v>0</v>
      </c>
    </row>
    <row r="74" spans="1:31" ht="18" customHeight="1" x14ac:dyDescent="0.25">
      <c r="A74" s="77" t="s">
        <v>199</v>
      </c>
      <c r="B74" s="85"/>
      <c r="C74" s="57"/>
      <c r="D74" s="58">
        <f>C74*$C$69*$C$56</f>
        <v>0</v>
      </c>
      <c r="E74" s="59"/>
      <c r="F74" s="79">
        <f>SUM(G74:AD74)</f>
        <v>0</v>
      </c>
      <c r="G74" s="79"/>
      <c r="H74" s="79"/>
      <c r="I74" s="79"/>
      <c r="J74" s="79"/>
      <c r="K74" s="79"/>
      <c r="L74" s="79"/>
      <c r="M74" s="79"/>
      <c r="N74" s="79"/>
      <c r="O74" s="79"/>
      <c r="P74" s="79"/>
      <c r="Q74" s="79"/>
      <c r="R74" s="79"/>
      <c r="S74" s="86"/>
      <c r="T74" s="86"/>
      <c r="U74" s="86"/>
      <c r="V74" s="86"/>
      <c r="W74" s="86"/>
      <c r="X74" s="86"/>
      <c r="Y74" s="86"/>
      <c r="Z74" s="86"/>
      <c r="AA74" s="86"/>
      <c r="AB74" s="86"/>
      <c r="AC74" s="86"/>
      <c r="AD74" s="86"/>
      <c r="AE74" s="64">
        <f t="shared" si="12"/>
        <v>0</v>
      </c>
    </row>
    <row r="75" spans="1:31" ht="18" customHeight="1" x14ac:dyDescent="0.25">
      <c r="A75" s="72" t="s">
        <v>200</v>
      </c>
      <c r="B75" s="83"/>
      <c r="C75" s="73"/>
      <c r="D75" s="74"/>
      <c r="E75" s="75"/>
      <c r="F75" s="76">
        <f t="shared" ref="F75:AD75" si="18">SUM(F76:F80)</f>
        <v>0</v>
      </c>
      <c r="G75" s="84">
        <f t="shared" si="18"/>
        <v>0</v>
      </c>
      <c r="H75" s="84">
        <f t="shared" si="18"/>
        <v>0</v>
      </c>
      <c r="I75" s="84">
        <f t="shared" si="18"/>
        <v>0</v>
      </c>
      <c r="J75" s="84">
        <f t="shared" si="18"/>
        <v>0</v>
      </c>
      <c r="K75" s="84">
        <f t="shared" si="18"/>
        <v>0</v>
      </c>
      <c r="L75" s="84">
        <f t="shared" si="18"/>
        <v>0</v>
      </c>
      <c r="M75" s="84">
        <f t="shared" si="18"/>
        <v>0</v>
      </c>
      <c r="N75" s="84">
        <f t="shared" si="18"/>
        <v>0</v>
      </c>
      <c r="O75" s="84">
        <f t="shared" si="18"/>
        <v>0</v>
      </c>
      <c r="P75" s="84">
        <f t="shared" si="18"/>
        <v>0</v>
      </c>
      <c r="Q75" s="84">
        <f t="shared" si="18"/>
        <v>0</v>
      </c>
      <c r="R75" s="84">
        <f t="shared" si="18"/>
        <v>0</v>
      </c>
      <c r="S75" s="84">
        <f t="shared" si="18"/>
        <v>0</v>
      </c>
      <c r="T75" s="84">
        <f t="shared" si="18"/>
        <v>0</v>
      </c>
      <c r="U75" s="84">
        <f t="shared" si="18"/>
        <v>0</v>
      </c>
      <c r="V75" s="84">
        <f t="shared" si="18"/>
        <v>0</v>
      </c>
      <c r="W75" s="84">
        <f t="shared" si="18"/>
        <v>0</v>
      </c>
      <c r="X75" s="84">
        <f t="shared" si="18"/>
        <v>0</v>
      </c>
      <c r="Y75" s="84">
        <f t="shared" si="18"/>
        <v>0</v>
      </c>
      <c r="Z75" s="84">
        <f t="shared" si="18"/>
        <v>0</v>
      </c>
      <c r="AA75" s="84">
        <f t="shared" si="18"/>
        <v>0</v>
      </c>
      <c r="AB75" s="84">
        <f t="shared" si="18"/>
        <v>0</v>
      </c>
      <c r="AC75" s="84">
        <f t="shared" si="18"/>
        <v>0</v>
      </c>
      <c r="AD75" s="84">
        <f t="shared" si="18"/>
        <v>0</v>
      </c>
      <c r="AE75" s="64">
        <f t="shared" si="12"/>
        <v>0</v>
      </c>
    </row>
    <row r="76" spans="1:31" ht="18" customHeight="1" x14ac:dyDescent="0.25">
      <c r="A76" s="77" t="s">
        <v>201</v>
      </c>
      <c r="B76" s="85"/>
      <c r="C76" s="57"/>
      <c r="D76" s="58">
        <f>C76*$C$75*$C$56</f>
        <v>0</v>
      </c>
      <c r="E76" s="59"/>
      <c r="F76" s="79">
        <f>SUM(G76:AD76)</f>
        <v>0</v>
      </c>
      <c r="G76" s="79"/>
      <c r="H76" s="79"/>
      <c r="I76" s="79"/>
      <c r="J76" s="79"/>
      <c r="K76" s="79"/>
      <c r="L76" s="79"/>
      <c r="M76" s="79"/>
      <c r="N76" s="79"/>
      <c r="O76" s="79"/>
      <c r="P76" s="79"/>
      <c r="Q76" s="79"/>
      <c r="R76" s="79"/>
      <c r="S76" s="86"/>
      <c r="T76" s="86"/>
      <c r="U76" s="86"/>
      <c r="V76" s="86"/>
      <c r="W76" s="86"/>
      <c r="X76" s="86"/>
      <c r="Y76" s="86"/>
      <c r="Z76" s="86"/>
      <c r="AA76" s="86"/>
      <c r="AB76" s="86"/>
      <c r="AC76" s="86"/>
      <c r="AD76" s="86"/>
      <c r="AE76" s="64">
        <f t="shared" si="12"/>
        <v>0</v>
      </c>
    </row>
    <row r="77" spans="1:31" ht="18" customHeight="1" x14ac:dyDescent="0.25">
      <c r="A77" s="77" t="s">
        <v>202</v>
      </c>
      <c r="B77" s="85"/>
      <c r="C77" s="57"/>
      <c r="D77" s="58">
        <f>C77*$C$75*$C$56</f>
        <v>0</v>
      </c>
      <c r="E77" s="59"/>
      <c r="F77" s="79">
        <f>SUM(G77:AD77)</f>
        <v>0</v>
      </c>
      <c r="G77" s="79"/>
      <c r="H77" s="79"/>
      <c r="I77" s="79"/>
      <c r="J77" s="79"/>
      <c r="K77" s="79"/>
      <c r="L77" s="79"/>
      <c r="M77" s="79"/>
      <c r="N77" s="79"/>
      <c r="O77" s="79"/>
      <c r="P77" s="79"/>
      <c r="Q77" s="79"/>
      <c r="R77" s="79"/>
      <c r="S77" s="86"/>
      <c r="T77" s="86"/>
      <c r="U77" s="86"/>
      <c r="V77" s="86"/>
      <c r="W77" s="86"/>
      <c r="X77" s="86"/>
      <c r="Y77" s="86"/>
      <c r="Z77" s="86"/>
      <c r="AA77" s="86"/>
      <c r="AB77" s="86"/>
      <c r="AC77" s="86"/>
      <c r="AD77" s="86"/>
      <c r="AE77" s="64">
        <f t="shared" si="12"/>
        <v>0</v>
      </c>
    </row>
    <row r="78" spans="1:31" ht="18" customHeight="1" x14ac:dyDescent="0.25">
      <c r="A78" s="77" t="s">
        <v>203</v>
      </c>
      <c r="B78" s="85"/>
      <c r="C78" s="57"/>
      <c r="D78" s="58">
        <f>C78*$C$75*$C$56</f>
        <v>0</v>
      </c>
      <c r="E78" s="59"/>
      <c r="F78" s="79">
        <f>SUM(G78:AD78)</f>
        <v>0</v>
      </c>
      <c r="G78" s="79"/>
      <c r="H78" s="79"/>
      <c r="I78" s="79"/>
      <c r="J78" s="79"/>
      <c r="K78" s="79"/>
      <c r="L78" s="79"/>
      <c r="M78" s="79"/>
      <c r="N78" s="79"/>
      <c r="O78" s="79"/>
      <c r="P78" s="79"/>
      <c r="Q78" s="79"/>
      <c r="R78" s="79"/>
      <c r="S78" s="86"/>
      <c r="T78" s="86"/>
      <c r="U78" s="86"/>
      <c r="V78" s="86"/>
      <c r="W78" s="86"/>
      <c r="X78" s="86"/>
      <c r="Y78" s="86"/>
      <c r="Z78" s="86"/>
      <c r="AA78" s="86"/>
      <c r="AB78" s="86"/>
      <c r="AC78" s="86"/>
      <c r="AD78" s="86"/>
      <c r="AE78" s="64">
        <f t="shared" si="12"/>
        <v>0</v>
      </c>
    </row>
    <row r="79" spans="1:31" ht="18" customHeight="1" x14ac:dyDescent="0.25">
      <c r="A79" s="77" t="s">
        <v>204</v>
      </c>
      <c r="B79" s="85"/>
      <c r="C79" s="57"/>
      <c r="D79" s="58">
        <f>C79*$C$75*$C$56</f>
        <v>0</v>
      </c>
      <c r="E79" s="59"/>
      <c r="F79" s="79">
        <f>SUM(G79:AD79)</f>
        <v>0</v>
      </c>
      <c r="G79" s="79"/>
      <c r="H79" s="79"/>
      <c r="I79" s="79"/>
      <c r="J79" s="79"/>
      <c r="K79" s="79"/>
      <c r="L79" s="79"/>
      <c r="M79" s="79"/>
      <c r="N79" s="79"/>
      <c r="O79" s="79"/>
      <c r="P79" s="79"/>
      <c r="Q79" s="79"/>
      <c r="R79" s="79"/>
      <c r="S79" s="86"/>
      <c r="T79" s="86"/>
      <c r="U79" s="86"/>
      <c r="V79" s="86"/>
      <c r="W79" s="86"/>
      <c r="X79" s="86"/>
      <c r="Y79" s="86"/>
      <c r="Z79" s="86"/>
      <c r="AA79" s="86"/>
      <c r="AB79" s="86"/>
      <c r="AC79" s="86"/>
      <c r="AD79" s="86"/>
      <c r="AE79" s="64">
        <f t="shared" ref="AE79:AE110" si="19">F79-SUM(G79:AD79)</f>
        <v>0</v>
      </c>
    </row>
    <row r="80" spans="1:31" ht="18" customHeight="1" x14ac:dyDescent="0.25">
      <c r="A80" s="77" t="s">
        <v>205</v>
      </c>
      <c r="B80" s="85"/>
      <c r="C80" s="57"/>
      <c r="D80" s="58">
        <f>C80*$C$75*$C$56</f>
        <v>0</v>
      </c>
      <c r="E80" s="59"/>
      <c r="F80" s="79">
        <f>SUM(G80:AD80)</f>
        <v>0</v>
      </c>
      <c r="G80" s="79"/>
      <c r="H80" s="79"/>
      <c r="I80" s="79"/>
      <c r="J80" s="79"/>
      <c r="K80" s="79"/>
      <c r="L80" s="79"/>
      <c r="M80" s="79"/>
      <c r="N80" s="79"/>
      <c r="O80" s="79"/>
      <c r="P80" s="79"/>
      <c r="Q80" s="79"/>
      <c r="R80" s="79"/>
      <c r="S80" s="86"/>
      <c r="T80" s="86"/>
      <c r="U80" s="86"/>
      <c r="V80" s="86"/>
      <c r="W80" s="86"/>
      <c r="X80" s="86"/>
      <c r="Y80" s="86"/>
      <c r="Z80" s="86"/>
      <c r="AA80" s="86"/>
      <c r="AB80" s="86"/>
      <c r="AC80" s="86"/>
      <c r="AD80" s="86"/>
      <c r="AE80" s="64">
        <f t="shared" si="19"/>
        <v>0</v>
      </c>
    </row>
    <row r="81" spans="1:31" ht="18" customHeight="1" x14ac:dyDescent="0.25">
      <c r="A81" s="72" t="s">
        <v>206</v>
      </c>
      <c r="B81" s="83"/>
      <c r="C81" s="73"/>
      <c r="D81" s="74"/>
      <c r="E81" s="75"/>
      <c r="F81" s="76">
        <f t="shared" ref="F81:AD81" si="20">SUM(F82:F86)</f>
        <v>0</v>
      </c>
      <c r="G81" s="84">
        <f t="shared" si="20"/>
        <v>0</v>
      </c>
      <c r="H81" s="84">
        <f t="shared" si="20"/>
        <v>0</v>
      </c>
      <c r="I81" s="84">
        <f t="shared" si="20"/>
        <v>0</v>
      </c>
      <c r="J81" s="84">
        <f t="shared" si="20"/>
        <v>0</v>
      </c>
      <c r="K81" s="84">
        <f t="shared" si="20"/>
        <v>0</v>
      </c>
      <c r="L81" s="84">
        <f t="shared" si="20"/>
        <v>0</v>
      </c>
      <c r="M81" s="84">
        <f t="shared" si="20"/>
        <v>0</v>
      </c>
      <c r="N81" s="84">
        <f t="shared" si="20"/>
        <v>0</v>
      </c>
      <c r="O81" s="84">
        <f t="shared" si="20"/>
        <v>0</v>
      </c>
      <c r="P81" s="84">
        <f t="shared" si="20"/>
        <v>0</v>
      </c>
      <c r="Q81" s="84">
        <f t="shared" si="20"/>
        <v>0</v>
      </c>
      <c r="R81" s="84">
        <f t="shared" si="20"/>
        <v>0</v>
      </c>
      <c r="S81" s="84">
        <f t="shared" si="20"/>
        <v>0</v>
      </c>
      <c r="T81" s="84">
        <f t="shared" si="20"/>
        <v>0</v>
      </c>
      <c r="U81" s="84">
        <f t="shared" si="20"/>
        <v>0</v>
      </c>
      <c r="V81" s="84">
        <f t="shared" si="20"/>
        <v>0</v>
      </c>
      <c r="W81" s="84">
        <f t="shared" si="20"/>
        <v>0</v>
      </c>
      <c r="X81" s="84">
        <f t="shared" si="20"/>
        <v>0</v>
      </c>
      <c r="Y81" s="84">
        <f t="shared" si="20"/>
        <v>0</v>
      </c>
      <c r="Z81" s="84">
        <f t="shared" si="20"/>
        <v>0</v>
      </c>
      <c r="AA81" s="84">
        <f t="shared" si="20"/>
        <v>0</v>
      </c>
      <c r="AB81" s="84">
        <f t="shared" si="20"/>
        <v>0</v>
      </c>
      <c r="AC81" s="84">
        <f t="shared" si="20"/>
        <v>0</v>
      </c>
      <c r="AD81" s="84">
        <f t="shared" si="20"/>
        <v>0</v>
      </c>
      <c r="AE81" s="64">
        <f t="shared" si="19"/>
        <v>0</v>
      </c>
    </row>
    <row r="82" spans="1:31" ht="18" customHeight="1" x14ac:dyDescent="0.25">
      <c r="A82" s="77" t="s">
        <v>207</v>
      </c>
      <c r="B82" s="85"/>
      <c r="C82" s="57"/>
      <c r="D82" s="58">
        <f>C82*$C$81*$C$56</f>
        <v>0</v>
      </c>
      <c r="E82" s="59"/>
      <c r="F82" s="79">
        <f>SUM(G82:AD82)</f>
        <v>0</v>
      </c>
      <c r="G82" s="79"/>
      <c r="H82" s="79"/>
      <c r="I82" s="79"/>
      <c r="J82" s="79"/>
      <c r="K82" s="79"/>
      <c r="L82" s="79"/>
      <c r="M82" s="79"/>
      <c r="N82" s="79"/>
      <c r="O82" s="79"/>
      <c r="P82" s="79"/>
      <c r="Q82" s="79"/>
      <c r="R82" s="79"/>
      <c r="S82" s="86"/>
      <c r="T82" s="86"/>
      <c r="U82" s="86"/>
      <c r="V82" s="86"/>
      <c r="W82" s="86"/>
      <c r="X82" s="86"/>
      <c r="Y82" s="86"/>
      <c r="Z82" s="86"/>
      <c r="AA82" s="86"/>
      <c r="AB82" s="86"/>
      <c r="AC82" s="86"/>
      <c r="AD82" s="86"/>
      <c r="AE82" s="64">
        <f t="shared" si="19"/>
        <v>0</v>
      </c>
    </row>
    <row r="83" spans="1:31" ht="18" customHeight="1" x14ac:dyDescent="0.25">
      <c r="A83" s="77" t="s">
        <v>208</v>
      </c>
      <c r="B83" s="85"/>
      <c r="C83" s="57"/>
      <c r="D83" s="58">
        <f>C83*$C$81*$C$56</f>
        <v>0</v>
      </c>
      <c r="E83" s="59"/>
      <c r="F83" s="79">
        <f>SUM(G83:AD83)</f>
        <v>0</v>
      </c>
      <c r="G83" s="79"/>
      <c r="H83" s="79"/>
      <c r="I83" s="79"/>
      <c r="J83" s="79"/>
      <c r="K83" s="79"/>
      <c r="L83" s="79"/>
      <c r="M83" s="79"/>
      <c r="N83" s="79"/>
      <c r="O83" s="79"/>
      <c r="P83" s="79"/>
      <c r="Q83" s="79"/>
      <c r="R83" s="79"/>
      <c r="S83" s="86"/>
      <c r="T83" s="86"/>
      <c r="U83" s="86"/>
      <c r="V83" s="86"/>
      <c r="W83" s="86"/>
      <c r="X83" s="86"/>
      <c r="Y83" s="86"/>
      <c r="Z83" s="86"/>
      <c r="AA83" s="86"/>
      <c r="AB83" s="86"/>
      <c r="AC83" s="86"/>
      <c r="AD83" s="86"/>
      <c r="AE83" s="64">
        <f t="shared" si="19"/>
        <v>0</v>
      </c>
    </row>
    <row r="84" spans="1:31" ht="18" customHeight="1" x14ac:dyDescent="0.25">
      <c r="A84" s="77" t="s">
        <v>209</v>
      </c>
      <c r="B84" s="85"/>
      <c r="C84" s="57"/>
      <c r="D84" s="58">
        <f>C84*$C$81*$C$56</f>
        <v>0</v>
      </c>
      <c r="E84" s="59"/>
      <c r="F84" s="79">
        <f>SUM(G84:AD84)</f>
        <v>0</v>
      </c>
      <c r="G84" s="79"/>
      <c r="H84" s="79"/>
      <c r="I84" s="79"/>
      <c r="J84" s="79"/>
      <c r="K84" s="79"/>
      <c r="L84" s="79"/>
      <c r="M84" s="79"/>
      <c r="N84" s="79"/>
      <c r="O84" s="79"/>
      <c r="P84" s="79"/>
      <c r="Q84" s="79"/>
      <c r="R84" s="79"/>
      <c r="S84" s="86"/>
      <c r="T84" s="86"/>
      <c r="U84" s="86"/>
      <c r="V84" s="86"/>
      <c r="W84" s="86"/>
      <c r="X84" s="86"/>
      <c r="Y84" s="86"/>
      <c r="Z84" s="86"/>
      <c r="AA84" s="86"/>
      <c r="AB84" s="86"/>
      <c r="AC84" s="86"/>
      <c r="AD84" s="86"/>
      <c r="AE84" s="64">
        <f t="shared" si="19"/>
        <v>0</v>
      </c>
    </row>
    <row r="85" spans="1:31" ht="18" customHeight="1" x14ac:dyDescent="0.25">
      <c r="A85" s="77" t="s">
        <v>210</v>
      </c>
      <c r="B85" s="85"/>
      <c r="C85" s="57"/>
      <c r="D85" s="58">
        <f>C85*$C$81*$C$56</f>
        <v>0</v>
      </c>
      <c r="E85" s="59"/>
      <c r="F85" s="79">
        <f>SUM(G85:AD85)</f>
        <v>0</v>
      </c>
      <c r="G85" s="79"/>
      <c r="H85" s="79"/>
      <c r="I85" s="79"/>
      <c r="J85" s="79"/>
      <c r="K85" s="79"/>
      <c r="L85" s="79"/>
      <c r="M85" s="79"/>
      <c r="N85" s="79"/>
      <c r="O85" s="79"/>
      <c r="P85" s="79"/>
      <c r="Q85" s="79"/>
      <c r="R85" s="79"/>
      <c r="S85" s="86"/>
      <c r="T85" s="86"/>
      <c r="U85" s="86"/>
      <c r="V85" s="86"/>
      <c r="W85" s="86"/>
      <c r="X85" s="86"/>
      <c r="Y85" s="86"/>
      <c r="Z85" s="86"/>
      <c r="AA85" s="86"/>
      <c r="AB85" s="86"/>
      <c r="AC85" s="86"/>
      <c r="AD85" s="86"/>
      <c r="AE85" s="64">
        <f t="shared" si="19"/>
        <v>0</v>
      </c>
    </row>
    <row r="86" spans="1:31" ht="18" customHeight="1" x14ac:dyDescent="0.25">
      <c r="A86" s="77" t="s">
        <v>211</v>
      </c>
      <c r="B86" s="85"/>
      <c r="C86" s="57"/>
      <c r="D86" s="58">
        <f>C86*$C$81*$C$56</f>
        <v>0</v>
      </c>
      <c r="E86" s="59"/>
      <c r="F86" s="79">
        <f>SUM(G86:AD86)</f>
        <v>0</v>
      </c>
      <c r="G86" s="79"/>
      <c r="H86" s="79"/>
      <c r="I86" s="79"/>
      <c r="J86" s="79"/>
      <c r="K86" s="79"/>
      <c r="L86" s="79"/>
      <c r="M86" s="79"/>
      <c r="N86" s="79"/>
      <c r="O86" s="79"/>
      <c r="P86" s="79"/>
      <c r="Q86" s="79"/>
      <c r="R86" s="79"/>
      <c r="S86" s="86"/>
      <c r="T86" s="86"/>
      <c r="U86" s="86"/>
      <c r="V86" s="86"/>
      <c r="W86" s="86"/>
      <c r="X86" s="86"/>
      <c r="Y86" s="86"/>
      <c r="Z86" s="86"/>
      <c r="AA86" s="86"/>
      <c r="AB86" s="86"/>
      <c r="AC86" s="86"/>
      <c r="AD86" s="86"/>
      <c r="AE86" s="64">
        <f t="shared" si="19"/>
        <v>0</v>
      </c>
    </row>
    <row r="87" spans="1:31" ht="18" customHeight="1" x14ac:dyDescent="0.25">
      <c r="A87" s="87" t="s">
        <v>212</v>
      </c>
      <c r="B87" s="81"/>
      <c r="C87" s="68"/>
      <c r="D87" s="69"/>
      <c r="E87" s="70"/>
      <c r="F87" s="71">
        <f t="shared" ref="F87:AD87" si="21">F88+F94+F100+F106+F112</f>
        <v>0</v>
      </c>
      <c r="G87" s="82">
        <f t="shared" si="21"/>
        <v>0</v>
      </c>
      <c r="H87" s="82">
        <f t="shared" si="21"/>
        <v>0</v>
      </c>
      <c r="I87" s="82">
        <f t="shared" si="21"/>
        <v>0</v>
      </c>
      <c r="J87" s="82">
        <f t="shared" si="21"/>
        <v>0</v>
      </c>
      <c r="K87" s="82">
        <f t="shared" si="21"/>
        <v>0</v>
      </c>
      <c r="L87" s="82">
        <f t="shared" si="21"/>
        <v>0</v>
      </c>
      <c r="M87" s="82">
        <f t="shared" si="21"/>
        <v>0</v>
      </c>
      <c r="N87" s="82">
        <f t="shared" si="21"/>
        <v>0</v>
      </c>
      <c r="O87" s="82">
        <f t="shared" si="21"/>
        <v>0</v>
      </c>
      <c r="P87" s="82">
        <f t="shared" si="21"/>
        <v>0</v>
      </c>
      <c r="Q87" s="82">
        <f t="shared" si="21"/>
        <v>0</v>
      </c>
      <c r="R87" s="82">
        <f t="shared" si="21"/>
        <v>0</v>
      </c>
      <c r="S87" s="82">
        <f t="shared" si="21"/>
        <v>0</v>
      </c>
      <c r="T87" s="82">
        <f t="shared" si="21"/>
        <v>0</v>
      </c>
      <c r="U87" s="82">
        <f t="shared" si="21"/>
        <v>0</v>
      </c>
      <c r="V87" s="82">
        <f t="shared" si="21"/>
        <v>0</v>
      </c>
      <c r="W87" s="82">
        <f t="shared" si="21"/>
        <v>0</v>
      </c>
      <c r="X87" s="82">
        <f t="shared" si="21"/>
        <v>0</v>
      </c>
      <c r="Y87" s="82">
        <f t="shared" si="21"/>
        <v>0</v>
      </c>
      <c r="Z87" s="82">
        <f t="shared" si="21"/>
        <v>0</v>
      </c>
      <c r="AA87" s="82">
        <f t="shared" si="21"/>
        <v>0</v>
      </c>
      <c r="AB87" s="82">
        <f t="shared" si="21"/>
        <v>0</v>
      </c>
      <c r="AC87" s="82">
        <f t="shared" si="21"/>
        <v>0</v>
      </c>
      <c r="AD87" s="82">
        <f t="shared" si="21"/>
        <v>0</v>
      </c>
      <c r="AE87" s="64">
        <f t="shared" si="19"/>
        <v>0</v>
      </c>
    </row>
    <row r="88" spans="1:31" ht="18" customHeight="1" x14ac:dyDescent="0.25">
      <c r="A88" s="72" t="s">
        <v>213</v>
      </c>
      <c r="B88" s="83"/>
      <c r="C88" s="73"/>
      <c r="D88" s="74"/>
      <c r="E88" s="75"/>
      <c r="F88" s="76">
        <f t="shared" ref="F88:AD88" si="22">SUM(F89:F93)</f>
        <v>0</v>
      </c>
      <c r="G88" s="84">
        <f t="shared" si="22"/>
        <v>0</v>
      </c>
      <c r="H88" s="84">
        <f t="shared" si="22"/>
        <v>0</v>
      </c>
      <c r="I88" s="84">
        <f t="shared" si="22"/>
        <v>0</v>
      </c>
      <c r="J88" s="84">
        <f t="shared" si="22"/>
        <v>0</v>
      </c>
      <c r="K88" s="84">
        <f t="shared" si="22"/>
        <v>0</v>
      </c>
      <c r="L88" s="84">
        <f t="shared" si="22"/>
        <v>0</v>
      </c>
      <c r="M88" s="84">
        <f t="shared" si="22"/>
        <v>0</v>
      </c>
      <c r="N88" s="84">
        <f t="shared" si="22"/>
        <v>0</v>
      </c>
      <c r="O88" s="84">
        <f t="shared" si="22"/>
        <v>0</v>
      </c>
      <c r="P88" s="84">
        <f t="shared" si="22"/>
        <v>0</v>
      </c>
      <c r="Q88" s="84">
        <f t="shared" si="22"/>
        <v>0</v>
      </c>
      <c r="R88" s="84">
        <f t="shared" si="22"/>
        <v>0</v>
      </c>
      <c r="S88" s="84">
        <f t="shared" si="22"/>
        <v>0</v>
      </c>
      <c r="T88" s="84">
        <f t="shared" si="22"/>
        <v>0</v>
      </c>
      <c r="U88" s="84">
        <f t="shared" si="22"/>
        <v>0</v>
      </c>
      <c r="V88" s="84">
        <f t="shared" si="22"/>
        <v>0</v>
      </c>
      <c r="W88" s="84">
        <f t="shared" si="22"/>
        <v>0</v>
      </c>
      <c r="X88" s="84">
        <f t="shared" si="22"/>
        <v>0</v>
      </c>
      <c r="Y88" s="84">
        <f t="shared" si="22"/>
        <v>0</v>
      </c>
      <c r="Z88" s="84">
        <f t="shared" si="22"/>
        <v>0</v>
      </c>
      <c r="AA88" s="84">
        <f t="shared" si="22"/>
        <v>0</v>
      </c>
      <c r="AB88" s="84">
        <f t="shared" si="22"/>
        <v>0</v>
      </c>
      <c r="AC88" s="84">
        <f t="shared" si="22"/>
        <v>0</v>
      </c>
      <c r="AD88" s="84">
        <f t="shared" si="22"/>
        <v>0</v>
      </c>
      <c r="AE88" s="64">
        <f t="shared" si="19"/>
        <v>0</v>
      </c>
    </row>
    <row r="89" spans="1:31" ht="18" customHeight="1" x14ac:dyDescent="0.25">
      <c r="A89" s="77" t="s">
        <v>214</v>
      </c>
      <c r="B89" s="85"/>
      <c r="C89" s="57"/>
      <c r="D89" s="58">
        <f>C89*$C$88*$C$87</f>
        <v>0</v>
      </c>
      <c r="E89" s="59"/>
      <c r="F89" s="79">
        <f>SUM(G89:AD89)</f>
        <v>0</v>
      </c>
      <c r="G89" s="79"/>
      <c r="H89" s="79"/>
      <c r="I89" s="79"/>
      <c r="J89" s="79"/>
      <c r="K89" s="79"/>
      <c r="L89" s="79"/>
      <c r="M89" s="79"/>
      <c r="N89" s="79"/>
      <c r="O89" s="79"/>
      <c r="P89" s="79"/>
      <c r="Q89" s="79"/>
      <c r="R89" s="79"/>
      <c r="S89" s="86"/>
      <c r="T89" s="86"/>
      <c r="U89" s="86"/>
      <c r="V89" s="86"/>
      <c r="W89" s="86"/>
      <c r="X89" s="86"/>
      <c r="Y89" s="86"/>
      <c r="Z89" s="86"/>
      <c r="AA89" s="86"/>
      <c r="AB89" s="86"/>
      <c r="AC89" s="86"/>
      <c r="AD89" s="86"/>
      <c r="AE89" s="64">
        <f t="shared" si="19"/>
        <v>0</v>
      </c>
    </row>
    <row r="90" spans="1:31" ht="18" customHeight="1" x14ac:dyDescent="0.25">
      <c r="A90" s="77" t="s">
        <v>215</v>
      </c>
      <c r="B90" s="85"/>
      <c r="C90" s="57"/>
      <c r="D90" s="58">
        <f>C90*$C$88*$C$87</f>
        <v>0</v>
      </c>
      <c r="E90" s="59"/>
      <c r="F90" s="79">
        <f>SUM(G90:AD90)</f>
        <v>0</v>
      </c>
      <c r="G90" s="79"/>
      <c r="H90" s="79"/>
      <c r="I90" s="79"/>
      <c r="J90" s="79"/>
      <c r="K90" s="79"/>
      <c r="L90" s="79"/>
      <c r="M90" s="79"/>
      <c r="N90" s="79"/>
      <c r="O90" s="79"/>
      <c r="P90" s="79"/>
      <c r="Q90" s="79"/>
      <c r="R90" s="79"/>
      <c r="S90" s="86"/>
      <c r="T90" s="86"/>
      <c r="U90" s="86"/>
      <c r="V90" s="86"/>
      <c r="W90" s="86"/>
      <c r="X90" s="86"/>
      <c r="Y90" s="86"/>
      <c r="Z90" s="86"/>
      <c r="AA90" s="86"/>
      <c r="AB90" s="86"/>
      <c r="AC90" s="86"/>
      <c r="AD90" s="86"/>
      <c r="AE90" s="64">
        <f t="shared" si="19"/>
        <v>0</v>
      </c>
    </row>
    <row r="91" spans="1:31" ht="18" customHeight="1" x14ac:dyDescent="0.25">
      <c r="A91" s="77" t="s">
        <v>216</v>
      </c>
      <c r="B91" s="85"/>
      <c r="C91" s="57"/>
      <c r="D91" s="58">
        <f>C91*$C$88*$C$87</f>
        <v>0</v>
      </c>
      <c r="E91" s="59"/>
      <c r="F91" s="79">
        <f>SUM(G91:AD91)</f>
        <v>0</v>
      </c>
      <c r="G91" s="79"/>
      <c r="H91" s="79"/>
      <c r="I91" s="79"/>
      <c r="J91" s="79"/>
      <c r="K91" s="79"/>
      <c r="L91" s="79"/>
      <c r="M91" s="79"/>
      <c r="N91" s="79"/>
      <c r="O91" s="79"/>
      <c r="P91" s="79"/>
      <c r="Q91" s="79"/>
      <c r="R91" s="79"/>
      <c r="S91" s="86"/>
      <c r="T91" s="86"/>
      <c r="U91" s="86"/>
      <c r="V91" s="86"/>
      <c r="W91" s="86"/>
      <c r="X91" s="86"/>
      <c r="Y91" s="86"/>
      <c r="Z91" s="86"/>
      <c r="AA91" s="86"/>
      <c r="AB91" s="86"/>
      <c r="AC91" s="86"/>
      <c r="AD91" s="86"/>
      <c r="AE91" s="64">
        <f t="shared" si="19"/>
        <v>0</v>
      </c>
    </row>
    <row r="92" spans="1:31" ht="18" customHeight="1" x14ac:dyDescent="0.25">
      <c r="A92" s="77" t="s">
        <v>217</v>
      </c>
      <c r="B92" s="85"/>
      <c r="C92" s="57"/>
      <c r="D92" s="58">
        <f>C92*$C$88*$C$87</f>
        <v>0</v>
      </c>
      <c r="E92" s="59"/>
      <c r="F92" s="79">
        <f>SUM(G92:AD92)</f>
        <v>0</v>
      </c>
      <c r="G92" s="79"/>
      <c r="H92" s="79"/>
      <c r="I92" s="79"/>
      <c r="J92" s="79"/>
      <c r="K92" s="79"/>
      <c r="L92" s="79"/>
      <c r="M92" s="79"/>
      <c r="N92" s="79"/>
      <c r="O92" s="79"/>
      <c r="P92" s="79"/>
      <c r="Q92" s="79"/>
      <c r="R92" s="79"/>
      <c r="S92" s="86"/>
      <c r="T92" s="86"/>
      <c r="U92" s="86"/>
      <c r="V92" s="86"/>
      <c r="W92" s="86"/>
      <c r="X92" s="86"/>
      <c r="Y92" s="86"/>
      <c r="Z92" s="86"/>
      <c r="AA92" s="86"/>
      <c r="AB92" s="86"/>
      <c r="AC92" s="86"/>
      <c r="AD92" s="86"/>
      <c r="AE92" s="64">
        <f t="shared" si="19"/>
        <v>0</v>
      </c>
    </row>
    <row r="93" spans="1:31" ht="18" customHeight="1" x14ac:dyDescent="0.25">
      <c r="A93" s="77" t="s">
        <v>218</v>
      </c>
      <c r="B93" s="85"/>
      <c r="C93" s="57"/>
      <c r="D93" s="58">
        <f>C93*$C$88*$C$87</f>
        <v>0</v>
      </c>
      <c r="E93" s="59"/>
      <c r="F93" s="79">
        <f>SUM(G93:AD93)</f>
        <v>0</v>
      </c>
      <c r="G93" s="79"/>
      <c r="H93" s="79"/>
      <c r="I93" s="79"/>
      <c r="J93" s="79"/>
      <c r="K93" s="79"/>
      <c r="L93" s="79"/>
      <c r="M93" s="79"/>
      <c r="N93" s="79"/>
      <c r="O93" s="79"/>
      <c r="P93" s="79"/>
      <c r="Q93" s="79"/>
      <c r="R93" s="79"/>
      <c r="S93" s="86"/>
      <c r="T93" s="86"/>
      <c r="U93" s="86"/>
      <c r="V93" s="86"/>
      <c r="W93" s="86"/>
      <c r="X93" s="86"/>
      <c r="Y93" s="86"/>
      <c r="Z93" s="86"/>
      <c r="AA93" s="86"/>
      <c r="AB93" s="86"/>
      <c r="AC93" s="86"/>
      <c r="AD93" s="86"/>
      <c r="AE93" s="64">
        <f t="shared" si="19"/>
        <v>0</v>
      </c>
    </row>
    <row r="94" spans="1:31" ht="18" customHeight="1" x14ac:dyDescent="0.25">
      <c r="A94" s="72" t="s">
        <v>219</v>
      </c>
      <c r="B94" s="83"/>
      <c r="C94" s="73"/>
      <c r="D94" s="74"/>
      <c r="E94" s="75"/>
      <c r="F94" s="76">
        <f t="shared" ref="F94:AD94" si="23">SUM(F95:F99)</f>
        <v>0</v>
      </c>
      <c r="G94" s="84">
        <f t="shared" si="23"/>
        <v>0</v>
      </c>
      <c r="H94" s="84">
        <f t="shared" si="23"/>
        <v>0</v>
      </c>
      <c r="I94" s="84">
        <f t="shared" si="23"/>
        <v>0</v>
      </c>
      <c r="J94" s="84">
        <f t="shared" si="23"/>
        <v>0</v>
      </c>
      <c r="K94" s="84">
        <f t="shared" si="23"/>
        <v>0</v>
      </c>
      <c r="L94" s="84">
        <f t="shared" si="23"/>
        <v>0</v>
      </c>
      <c r="M94" s="84">
        <f t="shared" si="23"/>
        <v>0</v>
      </c>
      <c r="N94" s="84">
        <f t="shared" si="23"/>
        <v>0</v>
      </c>
      <c r="O94" s="84">
        <f t="shared" si="23"/>
        <v>0</v>
      </c>
      <c r="P94" s="84">
        <f t="shared" si="23"/>
        <v>0</v>
      </c>
      <c r="Q94" s="84">
        <f t="shared" si="23"/>
        <v>0</v>
      </c>
      <c r="R94" s="84">
        <f t="shared" si="23"/>
        <v>0</v>
      </c>
      <c r="S94" s="84">
        <f t="shared" si="23"/>
        <v>0</v>
      </c>
      <c r="T94" s="84">
        <f t="shared" si="23"/>
        <v>0</v>
      </c>
      <c r="U94" s="84">
        <f t="shared" si="23"/>
        <v>0</v>
      </c>
      <c r="V94" s="84">
        <f t="shared" si="23"/>
        <v>0</v>
      </c>
      <c r="W94" s="84">
        <f t="shared" si="23"/>
        <v>0</v>
      </c>
      <c r="X94" s="84">
        <f t="shared" si="23"/>
        <v>0</v>
      </c>
      <c r="Y94" s="84">
        <f t="shared" si="23"/>
        <v>0</v>
      </c>
      <c r="Z94" s="84">
        <f t="shared" si="23"/>
        <v>0</v>
      </c>
      <c r="AA94" s="84">
        <f t="shared" si="23"/>
        <v>0</v>
      </c>
      <c r="AB94" s="84">
        <f t="shared" si="23"/>
        <v>0</v>
      </c>
      <c r="AC94" s="84">
        <f t="shared" si="23"/>
        <v>0</v>
      </c>
      <c r="AD94" s="84">
        <f t="shared" si="23"/>
        <v>0</v>
      </c>
      <c r="AE94" s="64">
        <f t="shared" si="19"/>
        <v>0</v>
      </c>
    </row>
    <row r="95" spans="1:31" ht="18" customHeight="1" x14ac:dyDescent="0.25">
      <c r="A95" s="77" t="s">
        <v>220</v>
      </c>
      <c r="B95" s="85"/>
      <c r="C95" s="57"/>
      <c r="D95" s="58">
        <f>C95*$C$94*$C$87</f>
        <v>0</v>
      </c>
      <c r="E95" s="59"/>
      <c r="F95" s="79">
        <f>SUM(G95:AD95)</f>
        <v>0</v>
      </c>
      <c r="G95" s="79"/>
      <c r="H95" s="79"/>
      <c r="I95" s="79"/>
      <c r="J95" s="79"/>
      <c r="K95" s="79"/>
      <c r="L95" s="79"/>
      <c r="M95" s="79"/>
      <c r="N95" s="79"/>
      <c r="O95" s="79"/>
      <c r="P95" s="79"/>
      <c r="Q95" s="79"/>
      <c r="R95" s="79"/>
      <c r="S95" s="86"/>
      <c r="T95" s="86"/>
      <c r="U95" s="86"/>
      <c r="V95" s="86"/>
      <c r="W95" s="86"/>
      <c r="X95" s="86"/>
      <c r="Y95" s="86"/>
      <c r="Z95" s="86"/>
      <c r="AA95" s="86"/>
      <c r="AB95" s="86"/>
      <c r="AC95" s="86"/>
      <c r="AD95" s="86"/>
      <c r="AE95" s="64">
        <f t="shared" si="19"/>
        <v>0</v>
      </c>
    </row>
    <row r="96" spans="1:31" ht="18" customHeight="1" x14ac:dyDescent="0.25">
      <c r="A96" s="77" t="s">
        <v>221</v>
      </c>
      <c r="B96" s="85"/>
      <c r="C96" s="57"/>
      <c r="D96" s="58">
        <f>C96*$C$94*$C$87</f>
        <v>0</v>
      </c>
      <c r="E96" s="59"/>
      <c r="F96" s="79">
        <f>SUM(G96:AD96)</f>
        <v>0</v>
      </c>
      <c r="G96" s="79"/>
      <c r="H96" s="79"/>
      <c r="I96" s="79"/>
      <c r="J96" s="79"/>
      <c r="K96" s="79"/>
      <c r="L96" s="79"/>
      <c r="M96" s="79"/>
      <c r="N96" s="79"/>
      <c r="O96" s="79"/>
      <c r="P96" s="79"/>
      <c r="Q96" s="79"/>
      <c r="R96" s="79"/>
      <c r="S96" s="86"/>
      <c r="T96" s="86"/>
      <c r="U96" s="86"/>
      <c r="V96" s="86"/>
      <c r="W96" s="86"/>
      <c r="X96" s="86"/>
      <c r="Y96" s="86"/>
      <c r="Z96" s="86"/>
      <c r="AA96" s="86"/>
      <c r="AB96" s="86"/>
      <c r="AC96" s="86"/>
      <c r="AD96" s="86"/>
      <c r="AE96" s="64">
        <f t="shared" si="19"/>
        <v>0</v>
      </c>
    </row>
    <row r="97" spans="1:31" ht="18" customHeight="1" x14ac:dyDescent="0.25">
      <c r="A97" s="77" t="s">
        <v>222</v>
      </c>
      <c r="B97" s="85"/>
      <c r="C97" s="57"/>
      <c r="D97" s="58">
        <f>C97*$C$94*$C$87</f>
        <v>0</v>
      </c>
      <c r="E97" s="59"/>
      <c r="F97" s="79">
        <f>SUM(G97:AD97)</f>
        <v>0</v>
      </c>
      <c r="G97" s="79"/>
      <c r="H97" s="79"/>
      <c r="I97" s="79"/>
      <c r="J97" s="79"/>
      <c r="K97" s="79"/>
      <c r="L97" s="79"/>
      <c r="M97" s="79"/>
      <c r="N97" s="79"/>
      <c r="O97" s="79"/>
      <c r="P97" s="79"/>
      <c r="Q97" s="79"/>
      <c r="R97" s="79"/>
      <c r="S97" s="86"/>
      <c r="T97" s="86"/>
      <c r="U97" s="86"/>
      <c r="V97" s="86"/>
      <c r="W97" s="86"/>
      <c r="X97" s="86"/>
      <c r="Y97" s="86"/>
      <c r="Z97" s="86"/>
      <c r="AA97" s="86"/>
      <c r="AB97" s="86"/>
      <c r="AC97" s="86"/>
      <c r="AD97" s="86"/>
      <c r="AE97" s="64">
        <f t="shared" si="19"/>
        <v>0</v>
      </c>
    </row>
    <row r="98" spans="1:31" ht="18" customHeight="1" x14ac:dyDescent="0.25">
      <c r="A98" s="77" t="s">
        <v>223</v>
      </c>
      <c r="B98" s="85"/>
      <c r="C98" s="57"/>
      <c r="D98" s="58">
        <f>C98*$C$94*$C$87</f>
        <v>0</v>
      </c>
      <c r="E98" s="59"/>
      <c r="F98" s="79">
        <f>SUM(G98:AD98)</f>
        <v>0</v>
      </c>
      <c r="G98" s="79"/>
      <c r="H98" s="79"/>
      <c r="I98" s="79"/>
      <c r="J98" s="79"/>
      <c r="K98" s="79"/>
      <c r="L98" s="79"/>
      <c r="M98" s="79"/>
      <c r="N98" s="79"/>
      <c r="O98" s="79"/>
      <c r="P98" s="79"/>
      <c r="Q98" s="79"/>
      <c r="R98" s="79"/>
      <c r="S98" s="86"/>
      <c r="T98" s="86"/>
      <c r="U98" s="86"/>
      <c r="V98" s="86"/>
      <c r="W98" s="86"/>
      <c r="X98" s="86"/>
      <c r="Y98" s="86"/>
      <c r="Z98" s="86"/>
      <c r="AA98" s="86"/>
      <c r="AB98" s="86"/>
      <c r="AC98" s="86"/>
      <c r="AD98" s="86"/>
      <c r="AE98" s="64">
        <f t="shared" si="19"/>
        <v>0</v>
      </c>
    </row>
    <row r="99" spans="1:31" ht="18" customHeight="1" x14ac:dyDescent="0.25">
      <c r="A99" s="77" t="s">
        <v>224</v>
      </c>
      <c r="B99" s="85"/>
      <c r="C99" s="57"/>
      <c r="D99" s="58">
        <f>C99*$C$94*$C$87</f>
        <v>0</v>
      </c>
      <c r="E99" s="59"/>
      <c r="F99" s="79">
        <f>SUM(G99:AD99)</f>
        <v>0</v>
      </c>
      <c r="G99" s="79"/>
      <c r="H99" s="79"/>
      <c r="I99" s="79"/>
      <c r="J99" s="79"/>
      <c r="K99" s="79"/>
      <c r="L99" s="79"/>
      <c r="M99" s="79"/>
      <c r="N99" s="79"/>
      <c r="O99" s="79"/>
      <c r="P99" s="79"/>
      <c r="Q99" s="79"/>
      <c r="R99" s="79"/>
      <c r="S99" s="86"/>
      <c r="T99" s="86"/>
      <c r="U99" s="86"/>
      <c r="V99" s="86"/>
      <c r="W99" s="86"/>
      <c r="X99" s="86"/>
      <c r="Y99" s="86"/>
      <c r="Z99" s="86"/>
      <c r="AA99" s="86"/>
      <c r="AB99" s="86"/>
      <c r="AC99" s="86"/>
      <c r="AD99" s="86"/>
      <c r="AE99" s="64">
        <f t="shared" si="19"/>
        <v>0</v>
      </c>
    </row>
    <row r="100" spans="1:31" ht="18" customHeight="1" x14ac:dyDescent="0.25">
      <c r="A100" s="72" t="s">
        <v>225</v>
      </c>
      <c r="B100" s="83"/>
      <c r="C100" s="73"/>
      <c r="D100" s="74"/>
      <c r="E100" s="75"/>
      <c r="F100" s="76">
        <f t="shared" ref="F100:AD100" si="24">SUM(F101:F105)</f>
        <v>0</v>
      </c>
      <c r="G100" s="84">
        <f t="shared" si="24"/>
        <v>0</v>
      </c>
      <c r="H100" s="84">
        <f t="shared" si="24"/>
        <v>0</v>
      </c>
      <c r="I100" s="84">
        <f t="shared" si="24"/>
        <v>0</v>
      </c>
      <c r="J100" s="84">
        <f t="shared" si="24"/>
        <v>0</v>
      </c>
      <c r="K100" s="84">
        <f t="shared" si="24"/>
        <v>0</v>
      </c>
      <c r="L100" s="84">
        <f t="shared" si="24"/>
        <v>0</v>
      </c>
      <c r="M100" s="84">
        <f t="shared" si="24"/>
        <v>0</v>
      </c>
      <c r="N100" s="84">
        <f t="shared" si="24"/>
        <v>0</v>
      </c>
      <c r="O100" s="84">
        <f t="shared" si="24"/>
        <v>0</v>
      </c>
      <c r="P100" s="84">
        <f t="shared" si="24"/>
        <v>0</v>
      </c>
      <c r="Q100" s="84">
        <f t="shared" si="24"/>
        <v>0</v>
      </c>
      <c r="R100" s="84">
        <f t="shared" si="24"/>
        <v>0</v>
      </c>
      <c r="S100" s="84">
        <f t="shared" si="24"/>
        <v>0</v>
      </c>
      <c r="T100" s="84">
        <f t="shared" si="24"/>
        <v>0</v>
      </c>
      <c r="U100" s="84">
        <f t="shared" si="24"/>
        <v>0</v>
      </c>
      <c r="V100" s="84">
        <f t="shared" si="24"/>
        <v>0</v>
      </c>
      <c r="W100" s="84">
        <f t="shared" si="24"/>
        <v>0</v>
      </c>
      <c r="X100" s="84">
        <f t="shared" si="24"/>
        <v>0</v>
      </c>
      <c r="Y100" s="84">
        <f t="shared" si="24"/>
        <v>0</v>
      </c>
      <c r="Z100" s="84">
        <f t="shared" si="24"/>
        <v>0</v>
      </c>
      <c r="AA100" s="84">
        <f t="shared" si="24"/>
        <v>0</v>
      </c>
      <c r="AB100" s="84">
        <f t="shared" si="24"/>
        <v>0</v>
      </c>
      <c r="AC100" s="84">
        <f t="shared" si="24"/>
        <v>0</v>
      </c>
      <c r="AD100" s="84">
        <f t="shared" si="24"/>
        <v>0</v>
      </c>
      <c r="AE100" s="64">
        <f t="shared" si="19"/>
        <v>0</v>
      </c>
    </row>
    <row r="101" spans="1:31" ht="18" customHeight="1" x14ac:dyDescent="0.25">
      <c r="A101" s="77" t="s">
        <v>226</v>
      </c>
      <c r="B101" s="85"/>
      <c r="C101" s="57"/>
      <c r="D101" s="58">
        <f>C101*$C$100*$C$87</f>
        <v>0</v>
      </c>
      <c r="E101" s="59"/>
      <c r="F101" s="79">
        <f>SUM(G101:AD101)</f>
        <v>0</v>
      </c>
      <c r="G101" s="79"/>
      <c r="H101" s="79"/>
      <c r="I101" s="79"/>
      <c r="J101" s="79"/>
      <c r="K101" s="79"/>
      <c r="L101" s="79"/>
      <c r="M101" s="79"/>
      <c r="N101" s="79"/>
      <c r="O101" s="79"/>
      <c r="P101" s="79"/>
      <c r="Q101" s="79"/>
      <c r="R101" s="79"/>
      <c r="S101" s="86"/>
      <c r="T101" s="86"/>
      <c r="U101" s="86"/>
      <c r="V101" s="86"/>
      <c r="W101" s="86"/>
      <c r="X101" s="86"/>
      <c r="Y101" s="86"/>
      <c r="Z101" s="86"/>
      <c r="AA101" s="86"/>
      <c r="AB101" s="86"/>
      <c r="AC101" s="86"/>
      <c r="AD101" s="86"/>
      <c r="AE101" s="64">
        <f t="shared" si="19"/>
        <v>0</v>
      </c>
    </row>
    <row r="102" spans="1:31" ht="18" customHeight="1" x14ac:dyDescent="0.25">
      <c r="A102" s="77" t="s">
        <v>227</v>
      </c>
      <c r="B102" s="85"/>
      <c r="C102" s="57"/>
      <c r="D102" s="58">
        <f>C102*$C$100*$C$87</f>
        <v>0</v>
      </c>
      <c r="E102" s="59"/>
      <c r="F102" s="79">
        <f>SUM(G102:AD102)</f>
        <v>0</v>
      </c>
      <c r="G102" s="79"/>
      <c r="H102" s="79"/>
      <c r="I102" s="79"/>
      <c r="J102" s="79"/>
      <c r="K102" s="79"/>
      <c r="L102" s="79"/>
      <c r="M102" s="79"/>
      <c r="N102" s="79"/>
      <c r="O102" s="79"/>
      <c r="P102" s="79"/>
      <c r="Q102" s="79"/>
      <c r="R102" s="79"/>
      <c r="S102" s="86"/>
      <c r="T102" s="86"/>
      <c r="U102" s="86"/>
      <c r="V102" s="86"/>
      <c r="W102" s="86"/>
      <c r="X102" s="86"/>
      <c r="Y102" s="86"/>
      <c r="Z102" s="86"/>
      <c r="AA102" s="86"/>
      <c r="AB102" s="86"/>
      <c r="AC102" s="86"/>
      <c r="AD102" s="86"/>
      <c r="AE102" s="64">
        <f t="shared" si="19"/>
        <v>0</v>
      </c>
    </row>
    <row r="103" spans="1:31" ht="18" customHeight="1" x14ac:dyDescent="0.25">
      <c r="A103" s="77" t="s">
        <v>228</v>
      </c>
      <c r="B103" s="85"/>
      <c r="C103" s="57"/>
      <c r="D103" s="58">
        <f>C103*$C$100*$C$87</f>
        <v>0</v>
      </c>
      <c r="E103" s="59"/>
      <c r="F103" s="79">
        <f>SUM(G103:AD103)</f>
        <v>0</v>
      </c>
      <c r="G103" s="79"/>
      <c r="H103" s="79"/>
      <c r="I103" s="79"/>
      <c r="J103" s="79"/>
      <c r="K103" s="79"/>
      <c r="L103" s="79"/>
      <c r="M103" s="79"/>
      <c r="N103" s="79"/>
      <c r="O103" s="79"/>
      <c r="P103" s="79"/>
      <c r="Q103" s="79"/>
      <c r="R103" s="79"/>
      <c r="S103" s="86"/>
      <c r="T103" s="86"/>
      <c r="U103" s="86"/>
      <c r="V103" s="86"/>
      <c r="W103" s="86"/>
      <c r="X103" s="86"/>
      <c r="Y103" s="86"/>
      <c r="Z103" s="86"/>
      <c r="AA103" s="86"/>
      <c r="AB103" s="86"/>
      <c r="AC103" s="86"/>
      <c r="AD103" s="86"/>
      <c r="AE103" s="64">
        <f t="shared" si="19"/>
        <v>0</v>
      </c>
    </row>
    <row r="104" spans="1:31" ht="18" customHeight="1" x14ac:dyDescent="0.25">
      <c r="A104" s="77" t="s">
        <v>229</v>
      </c>
      <c r="B104" s="85"/>
      <c r="C104" s="57"/>
      <c r="D104" s="58">
        <f>C104*$C$100*$C$87</f>
        <v>0</v>
      </c>
      <c r="E104" s="59"/>
      <c r="F104" s="79">
        <f>SUM(G104:AD104)</f>
        <v>0</v>
      </c>
      <c r="G104" s="79"/>
      <c r="H104" s="79"/>
      <c r="I104" s="79"/>
      <c r="J104" s="79"/>
      <c r="K104" s="79"/>
      <c r="L104" s="79"/>
      <c r="M104" s="79"/>
      <c r="N104" s="79"/>
      <c r="O104" s="79"/>
      <c r="P104" s="79"/>
      <c r="Q104" s="79"/>
      <c r="R104" s="79"/>
      <c r="S104" s="86"/>
      <c r="T104" s="86"/>
      <c r="U104" s="86"/>
      <c r="V104" s="86"/>
      <c r="W104" s="86"/>
      <c r="X104" s="86"/>
      <c r="Y104" s="86"/>
      <c r="Z104" s="86"/>
      <c r="AA104" s="86"/>
      <c r="AB104" s="86"/>
      <c r="AC104" s="86"/>
      <c r="AD104" s="86"/>
      <c r="AE104" s="64">
        <f t="shared" si="19"/>
        <v>0</v>
      </c>
    </row>
    <row r="105" spans="1:31" ht="18" customHeight="1" x14ac:dyDescent="0.25">
      <c r="A105" s="77" t="s">
        <v>230</v>
      </c>
      <c r="B105" s="85"/>
      <c r="C105" s="57"/>
      <c r="D105" s="58">
        <f>C105*$C$100*$C$87</f>
        <v>0</v>
      </c>
      <c r="E105" s="59"/>
      <c r="F105" s="79">
        <f>SUM(G105:AD105)</f>
        <v>0</v>
      </c>
      <c r="G105" s="79"/>
      <c r="H105" s="79"/>
      <c r="I105" s="79"/>
      <c r="J105" s="79"/>
      <c r="K105" s="79"/>
      <c r="L105" s="79"/>
      <c r="M105" s="79"/>
      <c r="N105" s="79"/>
      <c r="O105" s="79"/>
      <c r="P105" s="79"/>
      <c r="Q105" s="79"/>
      <c r="R105" s="79"/>
      <c r="S105" s="86"/>
      <c r="T105" s="86"/>
      <c r="U105" s="86"/>
      <c r="V105" s="86"/>
      <c r="W105" s="86"/>
      <c r="X105" s="86"/>
      <c r="Y105" s="86"/>
      <c r="Z105" s="86"/>
      <c r="AA105" s="86"/>
      <c r="AB105" s="86"/>
      <c r="AC105" s="86"/>
      <c r="AD105" s="86"/>
      <c r="AE105" s="64">
        <f t="shared" si="19"/>
        <v>0</v>
      </c>
    </row>
    <row r="106" spans="1:31" ht="18" customHeight="1" x14ac:dyDescent="0.25">
      <c r="A106" s="72" t="s">
        <v>231</v>
      </c>
      <c r="B106" s="83"/>
      <c r="C106" s="73"/>
      <c r="D106" s="74"/>
      <c r="E106" s="75"/>
      <c r="F106" s="76">
        <f t="shared" ref="F106:AD106" si="25">SUM(F107:F111)</f>
        <v>0</v>
      </c>
      <c r="G106" s="84">
        <f t="shared" si="25"/>
        <v>0</v>
      </c>
      <c r="H106" s="84">
        <f t="shared" si="25"/>
        <v>0</v>
      </c>
      <c r="I106" s="84">
        <f t="shared" si="25"/>
        <v>0</v>
      </c>
      <c r="J106" s="84">
        <f t="shared" si="25"/>
        <v>0</v>
      </c>
      <c r="K106" s="84">
        <f t="shared" si="25"/>
        <v>0</v>
      </c>
      <c r="L106" s="84">
        <f t="shared" si="25"/>
        <v>0</v>
      </c>
      <c r="M106" s="84">
        <f t="shared" si="25"/>
        <v>0</v>
      </c>
      <c r="N106" s="84">
        <f t="shared" si="25"/>
        <v>0</v>
      </c>
      <c r="O106" s="84">
        <f t="shared" si="25"/>
        <v>0</v>
      </c>
      <c r="P106" s="84">
        <f t="shared" si="25"/>
        <v>0</v>
      </c>
      <c r="Q106" s="84">
        <f t="shared" si="25"/>
        <v>0</v>
      </c>
      <c r="R106" s="84">
        <f t="shared" si="25"/>
        <v>0</v>
      </c>
      <c r="S106" s="84">
        <f t="shared" si="25"/>
        <v>0</v>
      </c>
      <c r="T106" s="84">
        <f t="shared" si="25"/>
        <v>0</v>
      </c>
      <c r="U106" s="84">
        <f t="shared" si="25"/>
        <v>0</v>
      </c>
      <c r="V106" s="84">
        <f t="shared" si="25"/>
        <v>0</v>
      </c>
      <c r="W106" s="84">
        <f t="shared" si="25"/>
        <v>0</v>
      </c>
      <c r="X106" s="84">
        <f t="shared" si="25"/>
        <v>0</v>
      </c>
      <c r="Y106" s="84">
        <f t="shared" si="25"/>
        <v>0</v>
      </c>
      <c r="Z106" s="84">
        <f t="shared" si="25"/>
        <v>0</v>
      </c>
      <c r="AA106" s="84">
        <f t="shared" si="25"/>
        <v>0</v>
      </c>
      <c r="AB106" s="84">
        <f t="shared" si="25"/>
        <v>0</v>
      </c>
      <c r="AC106" s="84">
        <f t="shared" si="25"/>
        <v>0</v>
      </c>
      <c r="AD106" s="84">
        <f t="shared" si="25"/>
        <v>0</v>
      </c>
      <c r="AE106" s="64">
        <f t="shared" si="19"/>
        <v>0</v>
      </c>
    </row>
    <row r="107" spans="1:31" ht="18" customHeight="1" x14ac:dyDescent="0.25">
      <c r="A107" s="77" t="s">
        <v>232</v>
      </c>
      <c r="B107" s="85"/>
      <c r="C107" s="57"/>
      <c r="D107" s="58">
        <f>C107*$C$106*$C$87</f>
        <v>0</v>
      </c>
      <c r="E107" s="59"/>
      <c r="F107" s="79">
        <f>SUM(G107:AD107)</f>
        <v>0</v>
      </c>
      <c r="G107" s="79"/>
      <c r="H107" s="79"/>
      <c r="I107" s="79"/>
      <c r="J107" s="79"/>
      <c r="K107" s="79"/>
      <c r="L107" s="79"/>
      <c r="M107" s="79"/>
      <c r="N107" s="79"/>
      <c r="O107" s="79"/>
      <c r="P107" s="79"/>
      <c r="Q107" s="79"/>
      <c r="R107" s="79"/>
      <c r="S107" s="86"/>
      <c r="T107" s="86"/>
      <c r="U107" s="86"/>
      <c r="V107" s="86"/>
      <c r="W107" s="86"/>
      <c r="X107" s="86"/>
      <c r="Y107" s="86"/>
      <c r="Z107" s="86"/>
      <c r="AA107" s="86"/>
      <c r="AB107" s="86"/>
      <c r="AC107" s="86"/>
      <c r="AD107" s="86"/>
      <c r="AE107" s="64">
        <f t="shared" si="19"/>
        <v>0</v>
      </c>
    </row>
    <row r="108" spans="1:31" ht="18" customHeight="1" x14ac:dyDescent="0.25">
      <c r="A108" s="77" t="s">
        <v>233</v>
      </c>
      <c r="B108" s="85"/>
      <c r="C108" s="57"/>
      <c r="D108" s="58">
        <f>C108*$C$106*$C$87</f>
        <v>0</v>
      </c>
      <c r="E108" s="59"/>
      <c r="F108" s="79">
        <f>SUM(G108:AD108)</f>
        <v>0</v>
      </c>
      <c r="G108" s="79"/>
      <c r="H108" s="79"/>
      <c r="I108" s="79"/>
      <c r="J108" s="79"/>
      <c r="K108" s="79"/>
      <c r="L108" s="79"/>
      <c r="M108" s="79"/>
      <c r="N108" s="79"/>
      <c r="O108" s="79"/>
      <c r="P108" s="79"/>
      <c r="Q108" s="79"/>
      <c r="R108" s="79"/>
      <c r="S108" s="86"/>
      <c r="T108" s="86"/>
      <c r="U108" s="86"/>
      <c r="V108" s="86"/>
      <c r="W108" s="86"/>
      <c r="X108" s="86"/>
      <c r="Y108" s="86"/>
      <c r="Z108" s="86"/>
      <c r="AA108" s="86"/>
      <c r="AB108" s="86"/>
      <c r="AC108" s="86"/>
      <c r="AD108" s="86"/>
      <c r="AE108" s="64">
        <f t="shared" si="19"/>
        <v>0</v>
      </c>
    </row>
    <row r="109" spans="1:31" ht="18" customHeight="1" x14ac:dyDescent="0.25">
      <c r="A109" s="77" t="s">
        <v>234</v>
      </c>
      <c r="B109" s="85"/>
      <c r="C109" s="57"/>
      <c r="D109" s="58">
        <f>C109*$C$106*$C$87</f>
        <v>0</v>
      </c>
      <c r="E109" s="59"/>
      <c r="F109" s="79">
        <f>SUM(G109:AD109)</f>
        <v>0</v>
      </c>
      <c r="G109" s="79"/>
      <c r="H109" s="79"/>
      <c r="I109" s="79"/>
      <c r="J109" s="79"/>
      <c r="K109" s="79"/>
      <c r="L109" s="79"/>
      <c r="M109" s="79"/>
      <c r="N109" s="79"/>
      <c r="O109" s="79"/>
      <c r="P109" s="79"/>
      <c r="Q109" s="79"/>
      <c r="R109" s="79"/>
      <c r="S109" s="86"/>
      <c r="T109" s="86"/>
      <c r="U109" s="86"/>
      <c r="V109" s="86"/>
      <c r="W109" s="86"/>
      <c r="X109" s="86"/>
      <c r="Y109" s="86"/>
      <c r="Z109" s="86"/>
      <c r="AA109" s="86"/>
      <c r="AB109" s="86"/>
      <c r="AC109" s="86"/>
      <c r="AD109" s="86"/>
      <c r="AE109" s="64">
        <f t="shared" si="19"/>
        <v>0</v>
      </c>
    </row>
    <row r="110" spans="1:31" ht="18" customHeight="1" x14ac:dyDescent="0.25">
      <c r="A110" s="77" t="s">
        <v>235</v>
      </c>
      <c r="B110" s="85"/>
      <c r="C110" s="57"/>
      <c r="D110" s="58">
        <f>C110*$C$106*$C$87</f>
        <v>0</v>
      </c>
      <c r="E110" s="59"/>
      <c r="F110" s="79">
        <f>SUM(G110:AD110)</f>
        <v>0</v>
      </c>
      <c r="G110" s="79"/>
      <c r="H110" s="79"/>
      <c r="I110" s="79"/>
      <c r="J110" s="79"/>
      <c r="K110" s="79"/>
      <c r="L110" s="79"/>
      <c r="M110" s="79"/>
      <c r="N110" s="79"/>
      <c r="O110" s="79"/>
      <c r="P110" s="79"/>
      <c r="Q110" s="79"/>
      <c r="R110" s="79"/>
      <c r="S110" s="86"/>
      <c r="T110" s="86"/>
      <c r="U110" s="86"/>
      <c r="V110" s="86"/>
      <c r="W110" s="86"/>
      <c r="X110" s="86"/>
      <c r="Y110" s="86"/>
      <c r="Z110" s="86"/>
      <c r="AA110" s="86"/>
      <c r="AB110" s="86"/>
      <c r="AC110" s="86"/>
      <c r="AD110" s="86"/>
      <c r="AE110" s="64">
        <f t="shared" si="19"/>
        <v>0</v>
      </c>
    </row>
    <row r="111" spans="1:31" ht="18" customHeight="1" x14ac:dyDescent="0.25">
      <c r="A111" s="77" t="s">
        <v>236</v>
      </c>
      <c r="B111" s="85"/>
      <c r="C111" s="57"/>
      <c r="D111" s="58">
        <f>C111*$C$106*$C$87</f>
        <v>0</v>
      </c>
      <c r="E111" s="59"/>
      <c r="F111" s="79">
        <f>SUM(G111:AD111)</f>
        <v>0</v>
      </c>
      <c r="G111" s="79"/>
      <c r="H111" s="79"/>
      <c r="I111" s="79"/>
      <c r="J111" s="79"/>
      <c r="K111" s="79"/>
      <c r="L111" s="79"/>
      <c r="M111" s="79"/>
      <c r="N111" s="79"/>
      <c r="O111" s="79"/>
      <c r="P111" s="79"/>
      <c r="Q111" s="79"/>
      <c r="R111" s="79"/>
      <c r="S111" s="86"/>
      <c r="T111" s="86"/>
      <c r="U111" s="86"/>
      <c r="V111" s="86"/>
      <c r="W111" s="86"/>
      <c r="X111" s="86"/>
      <c r="Y111" s="86"/>
      <c r="Z111" s="86"/>
      <c r="AA111" s="86"/>
      <c r="AB111" s="86"/>
      <c r="AC111" s="86"/>
      <c r="AD111" s="86"/>
      <c r="AE111" s="64">
        <f t="shared" ref="AE111:AE142" si="26">F111-SUM(G111:AD111)</f>
        <v>0</v>
      </c>
    </row>
    <row r="112" spans="1:31" ht="18" customHeight="1" x14ac:dyDescent="0.25">
      <c r="A112" s="72" t="s">
        <v>237</v>
      </c>
      <c r="B112" s="83"/>
      <c r="C112" s="73"/>
      <c r="D112" s="74"/>
      <c r="E112" s="75"/>
      <c r="F112" s="76">
        <f t="shared" ref="F112:AD112" si="27">SUM(F113:F117)</f>
        <v>0</v>
      </c>
      <c r="G112" s="84">
        <f t="shared" si="27"/>
        <v>0</v>
      </c>
      <c r="H112" s="84">
        <f t="shared" si="27"/>
        <v>0</v>
      </c>
      <c r="I112" s="84">
        <f t="shared" si="27"/>
        <v>0</v>
      </c>
      <c r="J112" s="84">
        <f t="shared" si="27"/>
        <v>0</v>
      </c>
      <c r="K112" s="84">
        <f t="shared" si="27"/>
        <v>0</v>
      </c>
      <c r="L112" s="84">
        <f t="shared" si="27"/>
        <v>0</v>
      </c>
      <c r="M112" s="84">
        <f t="shared" si="27"/>
        <v>0</v>
      </c>
      <c r="N112" s="84">
        <f t="shared" si="27"/>
        <v>0</v>
      </c>
      <c r="O112" s="84">
        <f t="shared" si="27"/>
        <v>0</v>
      </c>
      <c r="P112" s="84">
        <f t="shared" si="27"/>
        <v>0</v>
      </c>
      <c r="Q112" s="84">
        <f t="shared" si="27"/>
        <v>0</v>
      </c>
      <c r="R112" s="84">
        <f t="shared" si="27"/>
        <v>0</v>
      </c>
      <c r="S112" s="84">
        <f t="shared" si="27"/>
        <v>0</v>
      </c>
      <c r="T112" s="84">
        <f t="shared" si="27"/>
        <v>0</v>
      </c>
      <c r="U112" s="84">
        <f t="shared" si="27"/>
        <v>0</v>
      </c>
      <c r="V112" s="84">
        <f t="shared" si="27"/>
        <v>0</v>
      </c>
      <c r="W112" s="84">
        <f t="shared" si="27"/>
        <v>0</v>
      </c>
      <c r="X112" s="84">
        <f t="shared" si="27"/>
        <v>0</v>
      </c>
      <c r="Y112" s="84">
        <f t="shared" si="27"/>
        <v>0</v>
      </c>
      <c r="Z112" s="84">
        <f t="shared" si="27"/>
        <v>0</v>
      </c>
      <c r="AA112" s="84">
        <f t="shared" si="27"/>
        <v>0</v>
      </c>
      <c r="AB112" s="84">
        <f t="shared" si="27"/>
        <v>0</v>
      </c>
      <c r="AC112" s="84">
        <f t="shared" si="27"/>
        <v>0</v>
      </c>
      <c r="AD112" s="84">
        <f t="shared" si="27"/>
        <v>0</v>
      </c>
      <c r="AE112" s="64">
        <f t="shared" si="26"/>
        <v>0</v>
      </c>
    </row>
    <row r="113" spans="1:31" ht="18" customHeight="1" x14ac:dyDescent="0.25">
      <c r="A113" s="77" t="s">
        <v>238</v>
      </c>
      <c r="B113" s="85"/>
      <c r="C113" s="57"/>
      <c r="D113" s="58">
        <f>C113*$C$112*$C$87</f>
        <v>0</v>
      </c>
      <c r="E113" s="59"/>
      <c r="F113" s="79">
        <f>SUM(G113:AD113)</f>
        <v>0</v>
      </c>
      <c r="G113" s="79"/>
      <c r="H113" s="79"/>
      <c r="I113" s="79"/>
      <c r="J113" s="79"/>
      <c r="K113" s="79"/>
      <c r="L113" s="79"/>
      <c r="M113" s="79"/>
      <c r="N113" s="79"/>
      <c r="O113" s="79"/>
      <c r="P113" s="79"/>
      <c r="Q113" s="79"/>
      <c r="R113" s="79"/>
      <c r="S113" s="86"/>
      <c r="T113" s="86"/>
      <c r="U113" s="86"/>
      <c r="V113" s="86"/>
      <c r="W113" s="86"/>
      <c r="X113" s="86"/>
      <c r="Y113" s="86"/>
      <c r="Z113" s="86"/>
      <c r="AA113" s="86"/>
      <c r="AB113" s="86"/>
      <c r="AC113" s="86"/>
      <c r="AD113" s="86"/>
      <c r="AE113" s="64">
        <f t="shared" si="26"/>
        <v>0</v>
      </c>
    </row>
    <row r="114" spans="1:31" ht="18" customHeight="1" x14ac:dyDescent="0.25">
      <c r="A114" s="77" t="s">
        <v>239</v>
      </c>
      <c r="B114" s="85"/>
      <c r="C114" s="57"/>
      <c r="D114" s="58">
        <f>C114*$C$112*$C$87</f>
        <v>0</v>
      </c>
      <c r="E114" s="59"/>
      <c r="F114" s="79">
        <f>SUM(G114:AD114)</f>
        <v>0</v>
      </c>
      <c r="G114" s="79"/>
      <c r="H114" s="79"/>
      <c r="I114" s="79"/>
      <c r="J114" s="79"/>
      <c r="K114" s="79"/>
      <c r="L114" s="79"/>
      <c r="M114" s="79"/>
      <c r="N114" s="79"/>
      <c r="O114" s="79"/>
      <c r="P114" s="79"/>
      <c r="Q114" s="79"/>
      <c r="R114" s="79"/>
      <c r="S114" s="86"/>
      <c r="T114" s="86"/>
      <c r="U114" s="86"/>
      <c r="V114" s="86"/>
      <c r="W114" s="86"/>
      <c r="X114" s="86"/>
      <c r="Y114" s="86"/>
      <c r="Z114" s="86"/>
      <c r="AA114" s="86"/>
      <c r="AB114" s="86"/>
      <c r="AC114" s="86"/>
      <c r="AD114" s="86"/>
      <c r="AE114" s="64">
        <f t="shared" si="26"/>
        <v>0</v>
      </c>
    </row>
    <row r="115" spans="1:31" ht="18" customHeight="1" x14ac:dyDescent="0.25">
      <c r="A115" s="77" t="s">
        <v>240</v>
      </c>
      <c r="B115" s="85"/>
      <c r="C115" s="57"/>
      <c r="D115" s="58">
        <f>C115*$C$112*$C$87</f>
        <v>0</v>
      </c>
      <c r="E115" s="59"/>
      <c r="F115" s="79">
        <f>SUM(G115:AD115)</f>
        <v>0</v>
      </c>
      <c r="G115" s="79"/>
      <c r="H115" s="79"/>
      <c r="I115" s="79"/>
      <c r="J115" s="79"/>
      <c r="K115" s="79"/>
      <c r="L115" s="79"/>
      <c r="M115" s="79"/>
      <c r="N115" s="79"/>
      <c r="O115" s="79"/>
      <c r="P115" s="79"/>
      <c r="Q115" s="79"/>
      <c r="R115" s="79"/>
      <c r="S115" s="86"/>
      <c r="T115" s="86"/>
      <c r="U115" s="86"/>
      <c r="V115" s="86"/>
      <c r="W115" s="86"/>
      <c r="X115" s="86"/>
      <c r="Y115" s="86"/>
      <c r="Z115" s="86"/>
      <c r="AA115" s="86"/>
      <c r="AB115" s="86"/>
      <c r="AC115" s="86"/>
      <c r="AD115" s="86"/>
      <c r="AE115" s="64">
        <f t="shared" si="26"/>
        <v>0</v>
      </c>
    </row>
    <row r="116" spans="1:31" ht="18" customHeight="1" x14ac:dyDescent="0.25">
      <c r="A116" s="77" t="s">
        <v>241</v>
      </c>
      <c r="B116" s="85"/>
      <c r="C116" s="57"/>
      <c r="D116" s="58">
        <f>C116*$C$112*$C$87</f>
        <v>0</v>
      </c>
      <c r="E116" s="59"/>
      <c r="F116" s="79">
        <f>SUM(G116:AD116)</f>
        <v>0</v>
      </c>
      <c r="G116" s="79"/>
      <c r="H116" s="79"/>
      <c r="I116" s="79"/>
      <c r="J116" s="79"/>
      <c r="K116" s="79"/>
      <c r="L116" s="79"/>
      <c r="M116" s="79"/>
      <c r="N116" s="79"/>
      <c r="O116" s="79"/>
      <c r="P116" s="79"/>
      <c r="Q116" s="79"/>
      <c r="R116" s="79"/>
      <c r="S116" s="86"/>
      <c r="T116" s="86"/>
      <c r="U116" s="86"/>
      <c r="V116" s="86"/>
      <c r="W116" s="86"/>
      <c r="X116" s="86"/>
      <c r="Y116" s="86"/>
      <c r="Z116" s="86"/>
      <c r="AA116" s="86"/>
      <c r="AB116" s="86"/>
      <c r="AC116" s="86"/>
      <c r="AD116" s="86"/>
      <c r="AE116" s="64">
        <f t="shared" si="26"/>
        <v>0</v>
      </c>
    </row>
    <row r="117" spans="1:31" ht="18" customHeight="1" x14ac:dyDescent="0.25">
      <c r="A117" s="77" t="s">
        <v>242</v>
      </c>
      <c r="B117" s="85"/>
      <c r="C117" s="57"/>
      <c r="D117" s="58">
        <f>C117*$C$112*$C$87</f>
        <v>0</v>
      </c>
      <c r="E117" s="59"/>
      <c r="F117" s="79">
        <f>SUM(G117:AD117)</f>
        <v>0</v>
      </c>
      <c r="G117" s="79"/>
      <c r="H117" s="79"/>
      <c r="I117" s="79"/>
      <c r="J117" s="79"/>
      <c r="K117" s="79"/>
      <c r="L117" s="79"/>
      <c r="M117" s="79"/>
      <c r="N117" s="79"/>
      <c r="O117" s="79"/>
      <c r="P117" s="79"/>
      <c r="Q117" s="79"/>
      <c r="R117" s="79"/>
      <c r="S117" s="86"/>
      <c r="T117" s="86"/>
      <c r="U117" s="86"/>
      <c r="V117" s="86"/>
      <c r="W117" s="86"/>
      <c r="X117" s="86"/>
      <c r="Y117" s="86"/>
      <c r="Z117" s="86"/>
      <c r="AA117" s="86"/>
      <c r="AB117" s="86"/>
      <c r="AC117" s="86"/>
      <c r="AD117" s="86"/>
      <c r="AE117" s="64">
        <f t="shared" si="26"/>
        <v>0</v>
      </c>
    </row>
    <row r="118" spans="1:31" ht="18" customHeight="1" x14ac:dyDescent="0.25">
      <c r="A118" s="66" t="s">
        <v>243</v>
      </c>
      <c r="B118" s="81"/>
      <c r="C118" s="68"/>
      <c r="D118" s="69"/>
      <c r="E118" s="70"/>
      <c r="F118" s="71">
        <f t="shared" ref="F118:R118" si="28">F119+F125+F131+F137+F143</f>
        <v>0</v>
      </c>
      <c r="G118" s="82">
        <f t="shared" si="28"/>
        <v>0</v>
      </c>
      <c r="H118" s="82">
        <f t="shared" si="28"/>
        <v>0</v>
      </c>
      <c r="I118" s="82">
        <f t="shared" si="28"/>
        <v>0</v>
      </c>
      <c r="J118" s="82">
        <f t="shared" si="28"/>
        <v>0</v>
      </c>
      <c r="K118" s="82">
        <f t="shared" si="28"/>
        <v>0</v>
      </c>
      <c r="L118" s="82">
        <f t="shared" si="28"/>
        <v>0</v>
      </c>
      <c r="M118" s="82">
        <f t="shared" si="28"/>
        <v>0</v>
      </c>
      <c r="N118" s="82">
        <f t="shared" si="28"/>
        <v>0</v>
      </c>
      <c r="O118" s="82">
        <f t="shared" si="28"/>
        <v>0</v>
      </c>
      <c r="P118" s="82">
        <f t="shared" si="28"/>
        <v>0</v>
      </c>
      <c r="Q118" s="82">
        <f t="shared" si="28"/>
        <v>0</v>
      </c>
      <c r="R118" s="82">
        <f t="shared" si="28"/>
        <v>0</v>
      </c>
      <c r="S118" s="82">
        <f t="shared" ref="S118:AD118" si="29">S119+S125+S131</f>
        <v>0</v>
      </c>
      <c r="T118" s="82">
        <f t="shared" si="29"/>
        <v>0</v>
      </c>
      <c r="U118" s="82">
        <f t="shared" si="29"/>
        <v>0</v>
      </c>
      <c r="V118" s="82">
        <f t="shared" si="29"/>
        <v>0</v>
      </c>
      <c r="W118" s="82">
        <f t="shared" si="29"/>
        <v>0</v>
      </c>
      <c r="X118" s="82">
        <f t="shared" si="29"/>
        <v>0</v>
      </c>
      <c r="Y118" s="82">
        <f t="shared" si="29"/>
        <v>0</v>
      </c>
      <c r="Z118" s="82">
        <f t="shared" si="29"/>
        <v>0</v>
      </c>
      <c r="AA118" s="82">
        <f t="shared" si="29"/>
        <v>0</v>
      </c>
      <c r="AB118" s="82">
        <f t="shared" si="29"/>
        <v>0</v>
      </c>
      <c r="AC118" s="82">
        <f t="shared" si="29"/>
        <v>0</v>
      </c>
      <c r="AD118" s="82">
        <f t="shared" si="29"/>
        <v>0</v>
      </c>
      <c r="AE118" s="64">
        <f t="shared" si="26"/>
        <v>0</v>
      </c>
    </row>
    <row r="119" spans="1:31" ht="18" customHeight="1" x14ac:dyDescent="0.25">
      <c r="A119" s="72" t="s">
        <v>244</v>
      </c>
      <c r="B119" s="83"/>
      <c r="C119" s="73"/>
      <c r="D119" s="74"/>
      <c r="E119" s="75"/>
      <c r="F119" s="76">
        <f t="shared" ref="F119:AD119" si="30">SUM(F120:F124)</f>
        <v>0</v>
      </c>
      <c r="G119" s="84">
        <f t="shared" si="30"/>
        <v>0</v>
      </c>
      <c r="H119" s="84">
        <f t="shared" si="30"/>
        <v>0</v>
      </c>
      <c r="I119" s="84">
        <f t="shared" si="30"/>
        <v>0</v>
      </c>
      <c r="J119" s="84">
        <f t="shared" si="30"/>
        <v>0</v>
      </c>
      <c r="K119" s="84">
        <f t="shared" si="30"/>
        <v>0</v>
      </c>
      <c r="L119" s="84">
        <f t="shared" si="30"/>
        <v>0</v>
      </c>
      <c r="M119" s="84">
        <f t="shared" si="30"/>
        <v>0</v>
      </c>
      <c r="N119" s="84">
        <f t="shared" si="30"/>
        <v>0</v>
      </c>
      <c r="O119" s="84">
        <f t="shared" si="30"/>
        <v>0</v>
      </c>
      <c r="P119" s="84">
        <f t="shared" si="30"/>
        <v>0</v>
      </c>
      <c r="Q119" s="84">
        <f t="shared" si="30"/>
        <v>0</v>
      </c>
      <c r="R119" s="84">
        <f t="shared" si="30"/>
        <v>0</v>
      </c>
      <c r="S119" s="84">
        <f t="shared" si="30"/>
        <v>0</v>
      </c>
      <c r="T119" s="84">
        <f t="shared" si="30"/>
        <v>0</v>
      </c>
      <c r="U119" s="84">
        <f t="shared" si="30"/>
        <v>0</v>
      </c>
      <c r="V119" s="84">
        <f t="shared" si="30"/>
        <v>0</v>
      </c>
      <c r="W119" s="84">
        <f t="shared" si="30"/>
        <v>0</v>
      </c>
      <c r="X119" s="84">
        <f t="shared" si="30"/>
        <v>0</v>
      </c>
      <c r="Y119" s="84">
        <f t="shared" si="30"/>
        <v>0</v>
      </c>
      <c r="Z119" s="84">
        <f t="shared" si="30"/>
        <v>0</v>
      </c>
      <c r="AA119" s="84">
        <f t="shared" si="30"/>
        <v>0</v>
      </c>
      <c r="AB119" s="84">
        <f t="shared" si="30"/>
        <v>0</v>
      </c>
      <c r="AC119" s="84">
        <f t="shared" si="30"/>
        <v>0</v>
      </c>
      <c r="AD119" s="84">
        <f t="shared" si="30"/>
        <v>0</v>
      </c>
      <c r="AE119" s="64">
        <f t="shared" si="26"/>
        <v>0</v>
      </c>
    </row>
    <row r="120" spans="1:31" ht="18" customHeight="1" x14ac:dyDescent="0.25">
      <c r="A120" s="77" t="s">
        <v>245</v>
      </c>
      <c r="B120" s="85"/>
      <c r="C120" s="57"/>
      <c r="D120" s="58">
        <f>C120*$C$119*$C$118</f>
        <v>0</v>
      </c>
      <c r="E120" s="59"/>
      <c r="F120" s="79">
        <f>SUM(G120:AD120)</f>
        <v>0</v>
      </c>
      <c r="G120" s="79"/>
      <c r="H120" s="79"/>
      <c r="I120" s="79"/>
      <c r="J120" s="79"/>
      <c r="K120" s="79"/>
      <c r="L120" s="79"/>
      <c r="M120" s="79"/>
      <c r="N120" s="79"/>
      <c r="O120" s="79"/>
      <c r="P120" s="79"/>
      <c r="Q120" s="79"/>
      <c r="R120" s="79"/>
      <c r="S120" s="86"/>
      <c r="T120" s="86"/>
      <c r="U120" s="86"/>
      <c r="V120" s="86"/>
      <c r="W120" s="86"/>
      <c r="X120" s="86"/>
      <c r="Y120" s="86"/>
      <c r="Z120" s="86"/>
      <c r="AA120" s="86"/>
      <c r="AB120" s="86"/>
      <c r="AC120" s="86"/>
      <c r="AD120" s="86"/>
      <c r="AE120" s="64">
        <f t="shared" si="26"/>
        <v>0</v>
      </c>
    </row>
    <row r="121" spans="1:31" ht="18" customHeight="1" x14ac:dyDescent="0.25">
      <c r="A121" s="77" t="s">
        <v>246</v>
      </c>
      <c r="B121" s="85"/>
      <c r="C121" s="57"/>
      <c r="D121" s="58">
        <f>C121*$C$119*$C$118</f>
        <v>0</v>
      </c>
      <c r="E121" s="59"/>
      <c r="F121" s="79">
        <f>SUM(G121:AD121)</f>
        <v>0</v>
      </c>
      <c r="G121" s="79"/>
      <c r="H121" s="79"/>
      <c r="I121" s="79"/>
      <c r="J121" s="79"/>
      <c r="K121" s="79"/>
      <c r="L121" s="79"/>
      <c r="M121" s="79"/>
      <c r="N121" s="79"/>
      <c r="O121" s="79"/>
      <c r="P121" s="79"/>
      <c r="Q121" s="79"/>
      <c r="R121" s="79"/>
      <c r="S121" s="86"/>
      <c r="T121" s="86"/>
      <c r="U121" s="86"/>
      <c r="V121" s="86"/>
      <c r="W121" s="86"/>
      <c r="X121" s="86"/>
      <c r="Y121" s="86"/>
      <c r="Z121" s="86"/>
      <c r="AA121" s="86"/>
      <c r="AB121" s="86"/>
      <c r="AC121" s="86"/>
      <c r="AD121" s="86"/>
      <c r="AE121" s="64">
        <f t="shared" si="26"/>
        <v>0</v>
      </c>
    </row>
    <row r="122" spans="1:31" ht="18" customHeight="1" x14ac:dyDescent="0.25">
      <c r="A122" s="77" t="s">
        <v>247</v>
      </c>
      <c r="B122" s="85"/>
      <c r="C122" s="57"/>
      <c r="D122" s="58">
        <f>C122*$C$119*$C$118</f>
        <v>0</v>
      </c>
      <c r="E122" s="59"/>
      <c r="F122" s="79">
        <f>SUM(G122:AD122)</f>
        <v>0</v>
      </c>
      <c r="G122" s="79"/>
      <c r="H122" s="79"/>
      <c r="I122" s="79"/>
      <c r="J122" s="79"/>
      <c r="K122" s="79"/>
      <c r="L122" s="79"/>
      <c r="M122" s="79"/>
      <c r="N122" s="79"/>
      <c r="O122" s="79"/>
      <c r="P122" s="79"/>
      <c r="Q122" s="79"/>
      <c r="R122" s="79"/>
      <c r="S122" s="86"/>
      <c r="T122" s="86"/>
      <c r="U122" s="86"/>
      <c r="V122" s="86"/>
      <c r="W122" s="86"/>
      <c r="X122" s="86"/>
      <c r="Y122" s="86"/>
      <c r="Z122" s="86"/>
      <c r="AA122" s="86"/>
      <c r="AB122" s="86"/>
      <c r="AC122" s="86"/>
      <c r="AD122" s="86"/>
      <c r="AE122" s="64">
        <f t="shared" si="26"/>
        <v>0</v>
      </c>
    </row>
    <row r="123" spans="1:31" ht="18" customHeight="1" x14ac:dyDescent="0.25">
      <c r="A123" s="77" t="s">
        <v>248</v>
      </c>
      <c r="B123" s="85"/>
      <c r="C123" s="57"/>
      <c r="D123" s="58">
        <f>C123*$C$119*$C$118</f>
        <v>0</v>
      </c>
      <c r="E123" s="59"/>
      <c r="F123" s="79">
        <f>SUM(G123:AD123)</f>
        <v>0</v>
      </c>
      <c r="G123" s="79"/>
      <c r="H123" s="79"/>
      <c r="I123" s="79"/>
      <c r="J123" s="79"/>
      <c r="K123" s="79"/>
      <c r="L123" s="79"/>
      <c r="M123" s="79"/>
      <c r="N123" s="79"/>
      <c r="O123" s="79"/>
      <c r="P123" s="79"/>
      <c r="Q123" s="79"/>
      <c r="R123" s="79"/>
      <c r="S123" s="86"/>
      <c r="T123" s="86"/>
      <c r="U123" s="86"/>
      <c r="V123" s="86"/>
      <c r="W123" s="86"/>
      <c r="X123" s="86"/>
      <c r="Y123" s="86"/>
      <c r="Z123" s="86"/>
      <c r="AA123" s="86"/>
      <c r="AB123" s="86"/>
      <c r="AC123" s="86"/>
      <c r="AD123" s="86"/>
      <c r="AE123" s="64">
        <f t="shared" si="26"/>
        <v>0</v>
      </c>
    </row>
    <row r="124" spans="1:31" ht="18" customHeight="1" x14ac:dyDescent="0.25">
      <c r="A124" s="77" t="s">
        <v>249</v>
      </c>
      <c r="B124" s="85"/>
      <c r="C124" s="57"/>
      <c r="D124" s="58">
        <f>C124*$C$119*$C$118</f>
        <v>0</v>
      </c>
      <c r="E124" s="59"/>
      <c r="F124" s="79">
        <f>SUM(G124:AD124)</f>
        <v>0</v>
      </c>
      <c r="G124" s="79"/>
      <c r="H124" s="79"/>
      <c r="I124" s="79"/>
      <c r="J124" s="79"/>
      <c r="K124" s="79"/>
      <c r="L124" s="79"/>
      <c r="M124" s="79"/>
      <c r="N124" s="79"/>
      <c r="O124" s="79"/>
      <c r="P124" s="79"/>
      <c r="Q124" s="79"/>
      <c r="R124" s="79"/>
      <c r="S124" s="86"/>
      <c r="T124" s="86"/>
      <c r="U124" s="86"/>
      <c r="V124" s="86"/>
      <c r="W124" s="86"/>
      <c r="X124" s="86"/>
      <c r="Y124" s="86"/>
      <c r="Z124" s="86"/>
      <c r="AA124" s="86"/>
      <c r="AB124" s="86"/>
      <c r="AC124" s="86"/>
      <c r="AD124" s="86"/>
      <c r="AE124" s="64">
        <f t="shared" si="26"/>
        <v>0</v>
      </c>
    </row>
    <row r="125" spans="1:31" ht="18" customHeight="1" x14ac:dyDescent="0.25">
      <c r="A125" s="72" t="s">
        <v>250</v>
      </c>
      <c r="B125" s="83"/>
      <c r="C125" s="73"/>
      <c r="D125" s="74"/>
      <c r="E125" s="75"/>
      <c r="F125" s="76">
        <f t="shared" ref="F125:AD125" si="31">SUM(F126:F130)</f>
        <v>0</v>
      </c>
      <c r="G125" s="84">
        <f t="shared" si="31"/>
        <v>0</v>
      </c>
      <c r="H125" s="84">
        <f t="shared" si="31"/>
        <v>0</v>
      </c>
      <c r="I125" s="84">
        <f t="shared" si="31"/>
        <v>0</v>
      </c>
      <c r="J125" s="84">
        <f t="shared" si="31"/>
        <v>0</v>
      </c>
      <c r="K125" s="84">
        <f t="shared" si="31"/>
        <v>0</v>
      </c>
      <c r="L125" s="84">
        <f t="shared" si="31"/>
        <v>0</v>
      </c>
      <c r="M125" s="84">
        <f t="shared" si="31"/>
        <v>0</v>
      </c>
      <c r="N125" s="84">
        <f t="shared" si="31"/>
        <v>0</v>
      </c>
      <c r="O125" s="84">
        <f t="shared" si="31"/>
        <v>0</v>
      </c>
      <c r="P125" s="84">
        <f t="shared" si="31"/>
        <v>0</v>
      </c>
      <c r="Q125" s="84">
        <f t="shared" si="31"/>
        <v>0</v>
      </c>
      <c r="R125" s="84">
        <f t="shared" si="31"/>
        <v>0</v>
      </c>
      <c r="S125" s="84">
        <f t="shared" si="31"/>
        <v>0</v>
      </c>
      <c r="T125" s="84">
        <f t="shared" si="31"/>
        <v>0</v>
      </c>
      <c r="U125" s="84">
        <f t="shared" si="31"/>
        <v>0</v>
      </c>
      <c r="V125" s="84">
        <f t="shared" si="31"/>
        <v>0</v>
      </c>
      <c r="W125" s="84">
        <f t="shared" si="31"/>
        <v>0</v>
      </c>
      <c r="X125" s="84">
        <f t="shared" si="31"/>
        <v>0</v>
      </c>
      <c r="Y125" s="84">
        <f t="shared" si="31"/>
        <v>0</v>
      </c>
      <c r="Z125" s="84">
        <f t="shared" si="31"/>
        <v>0</v>
      </c>
      <c r="AA125" s="84">
        <f t="shared" si="31"/>
        <v>0</v>
      </c>
      <c r="AB125" s="84">
        <f t="shared" si="31"/>
        <v>0</v>
      </c>
      <c r="AC125" s="84">
        <f t="shared" si="31"/>
        <v>0</v>
      </c>
      <c r="AD125" s="84">
        <f t="shared" si="31"/>
        <v>0</v>
      </c>
      <c r="AE125" s="64">
        <f t="shared" si="26"/>
        <v>0</v>
      </c>
    </row>
    <row r="126" spans="1:31" ht="18" customHeight="1" x14ac:dyDescent="0.25">
      <c r="A126" s="77" t="s">
        <v>251</v>
      </c>
      <c r="B126" s="85"/>
      <c r="C126" s="57"/>
      <c r="D126" s="58">
        <f>C126*$C$125*$C$118</f>
        <v>0</v>
      </c>
      <c r="E126" s="59"/>
      <c r="F126" s="79">
        <f>SUM(G126:AD126)</f>
        <v>0</v>
      </c>
      <c r="G126" s="79"/>
      <c r="H126" s="79"/>
      <c r="I126" s="79"/>
      <c r="J126" s="79"/>
      <c r="K126" s="79"/>
      <c r="L126" s="79"/>
      <c r="M126" s="79"/>
      <c r="N126" s="79"/>
      <c r="O126" s="79"/>
      <c r="P126" s="79"/>
      <c r="Q126" s="79"/>
      <c r="R126" s="79"/>
      <c r="S126" s="86"/>
      <c r="T126" s="86"/>
      <c r="U126" s="86"/>
      <c r="V126" s="86"/>
      <c r="W126" s="86"/>
      <c r="X126" s="86"/>
      <c r="Y126" s="86"/>
      <c r="Z126" s="86"/>
      <c r="AA126" s="86"/>
      <c r="AB126" s="86"/>
      <c r="AC126" s="86"/>
      <c r="AD126" s="86"/>
      <c r="AE126" s="64">
        <f t="shared" si="26"/>
        <v>0</v>
      </c>
    </row>
    <row r="127" spans="1:31" ht="18" customHeight="1" x14ac:dyDescent="0.25">
      <c r="A127" s="77" t="s">
        <v>252</v>
      </c>
      <c r="B127" s="85"/>
      <c r="C127" s="57"/>
      <c r="D127" s="58">
        <f>C127*$C$125*$C$118</f>
        <v>0</v>
      </c>
      <c r="E127" s="59"/>
      <c r="F127" s="79">
        <f>SUM(G127:AD127)</f>
        <v>0</v>
      </c>
      <c r="G127" s="79"/>
      <c r="H127" s="79"/>
      <c r="I127" s="79"/>
      <c r="J127" s="79"/>
      <c r="K127" s="79"/>
      <c r="L127" s="79"/>
      <c r="M127" s="79"/>
      <c r="N127" s="79"/>
      <c r="O127" s="79"/>
      <c r="P127" s="79"/>
      <c r="Q127" s="79"/>
      <c r="R127" s="79"/>
      <c r="S127" s="86"/>
      <c r="T127" s="86"/>
      <c r="U127" s="86"/>
      <c r="V127" s="86"/>
      <c r="W127" s="86"/>
      <c r="X127" s="86"/>
      <c r="Y127" s="86"/>
      <c r="Z127" s="86"/>
      <c r="AA127" s="86"/>
      <c r="AB127" s="86"/>
      <c r="AC127" s="86"/>
      <c r="AD127" s="86"/>
      <c r="AE127" s="64">
        <f t="shared" si="26"/>
        <v>0</v>
      </c>
    </row>
    <row r="128" spans="1:31" ht="18" customHeight="1" x14ac:dyDescent="0.25">
      <c r="A128" s="77" t="s">
        <v>253</v>
      </c>
      <c r="B128" s="85"/>
      <c r="C128" s="57"/>
      <c r="D128" s="58">
        <f>C128*$C$125*$C$118</f>
        <v>0</v>
      </c>
      <c r="E128" s="59"/>
      <c r="F128" s="79">
        <f>SUM(G128:AD128)</f>
        <v>0</v>
      </c>
      <c r="G128" s="79"/>
      <c r="H128" s="79"/>
      <c r="I128" s="79"/>
      <c r="J128" s="79"/>
      <c r="K128" s="79"/>
      <c r="L128" s="79"/>
      <c r="M128" s="79"/>
      <c r="N128" s="79"/>
      <c r="O128" s="79"/>
      <c r="P128" s="79"/>
      <c r="Q128" s="79"/>
      <c r="R128" s="79"/>
      <c r="S128" s="86"/>
      <c r="T128" s="86"/>
      <c r="U128" s="86"/>
      <c r="V128" s="86"/>
      <c r="W128" s="86"/>
      <c r="X128" s="86"/>
      <c r="Y128" s="86"/>
      <c r="Z128" s="86"/>
      <c r="AA128" s="86"/>
      <c r="AB128" s="86"/>
      <c r="AC128" s="86"/>
      <c r="AD128" s="86"/>
      <c r="AE128" s="64">
        <f t="shared" si="26"/>
        <v>0</v>
      </c>
    </row>
    <row r="129" spans="1:31" ht="18" customHeight="1" x14ac:dyDescent="0.25">
      <c r="A129" s="77" t="s">
        <v>254</v>
      </c>
      <c r="B129" s="85"/>
      <c r="C129" s="57"/>
      <c r="D129" s="58">
        <f>C129*$C$125*$C$118</f>
        <v>0</v>
      </c>
      <c r="E129" s="59"/>
      <c r="F129" s="79">
        <f>SUM(G129:AD129)</f>
        <v>0</v>
      </c>
      <c r="G129" s="79"/>
      <c r="H129" s="79"/>
      <c r="I129" s="79"/>
      <c r="J129" s="79"/>
      <c r="K129" s="79"/>
      <c r="L129" s="79"/>
      <c r="M129" s="79"/>
      <c r="N129" s="79"/>
      <c r="O129" s="79"/>
      <c r="P129" s="79"/>
      <c r="Q129" s="79"/>
      <c r="R129" s="79"/>
      <c r="S129" s="86"/>
      <c r="T129" s="86"/>
      <c r="U129" s="86"/>
      <c r="V129" s="86"/>
      <c r="W129" s="86"/>
      <c r="X129" s="86"/>
      <c r="Y129" s="86"/>
      <c r="Z129" s="86"/>
      <c r="AA129" s="86"/>
      <c r="AB129" s="86"/>
      <c r="AC129" s="86"/>
      <c r="AD129" s="86"/>
      <c r="AE129" s="64">
        <f t="shared" si="26"/>
        <v>0</v>
      </c>
    </row>
    <row r="130" spans="1:31" ht="18" customHeight="1" x14ac:dyDescent="0.25">
      <c r="A130" s="77" t="s">
        <v>255</v>
      </c>
      <c r="B130" s="85"/>
      <c r="C130" s="57"/>
      <c r="D130" s="58">
        <f>C130*$C$125*$C$118</f>
        <v>0</v>
      </c>
      <c r="E130" s="59"/>
      <c r="F130" s="79">
        <f>SUM(G130:AD130)</f>
        <v>0</v>
      </c>
      <c r="G130" s="79"/>
      <c r="H130" s="79"/>
      <c r="I130" s="79"/>
      <c r="J130" s="79"/>
      <c r="K130" s="79"/>
      <c r="L130" s="79"/>
      <c r="M130" s="79"/>
      <c r="N130" s="79"/>
      <c r="O130" s="79"/>
      <c r="P130" s="79"/>
      <c r="Q130" s="79"/>
      <c r="R130" s="79"/>
      <c r="S130" s="86"/>
      <c r="T130" s="86"/>
      <c r="U130" s="86"/>
      <c r="V130" s="86"/>
      <c r="W130" s="86"/>
      <c r="X130" s="86"/>
      <c r="Y130" s="86"/>
      <c r="Z130" s="86"/>
      <c r="AA130" s="86"/>
      <c r="AB130" s="86"/>
      <c r="AC130" s="86"/>
      <c r="AD130" s="86"/>
      <c r="AE130" s="64">
        <f t="shared" si="26"/>
        <v>0</v>
      </c>
    </row>
    <row r="131" spans="1:31" ht="18" customHeight="1" x14ac:dyDescent="0.25">
      <c r="A131" s="72" t="s">
        <v>256</v>
      </c>
      <c r="B131" s="83"/>
      <c r="C131" s="73"/>
      <c r="D131" s="74"/>
      <c r="E131" s="75"/>
      <c r="F131" s="76">
        <f t="shared" ref="F131:AD131" si="32">SUM(F132:F136)</f>
        <v>0</v>
      </c>
      <c r="G131" s="84">
        <f t="shared" si="32"/>
        <v>0</v>
      </c>
      <c r="H131" s="84">
        <f t="shared" si="32"/>
        <v>0</v>
      </c>
      <c r="I131" s="84">
        <f t="shared" si="32"/>
        <v>0</v>
      </c>
      <c r="J131" s="84">
        <f t="shared" si="32"/>
        <v>0</v>
      </c>
      <c r="K131" s="84">
        <f t="shared" si="32"/>
        <v>0</v>
      </c>
      <c r="L131" s="84">
        <f t="shared" si="32"/>
        <v>0</v>
      </c>
      <c r="M131" s="84">
        <f t="shared" si="32"/>
        <v>0</v>
      </c>
      <c r="N131" s="84">
        <f t="shared" si="32"/>
        <v>0</v>
      </c>
      <c r="O131" s="84">
        <f t="shared" si="32"/>
        <v>0</v>
      </c>
      <c r="P131" s="84">
        <f t="shared" si="32"/>
        <v>0</v>
      </c>
      <c r="Q131" s="84">
        <f t="shared" si="32"/>
        <v>0</v>
      </c>
      <c r="R131" s="84">
        <f t="shared" si="32"/>
        <v>0</v>
      </c>
      <c r="S131" s="84">
        <f t="shared" si="32"/>
        <v>0</v>
      </c>
      <c r="T131" s="84">
        <f t="shared" si="32"/>
        <v>0</v>
      </c>
      <c r="U131" s="84">
        <f t="shared" si="32"/>
        <v>0</v>
      </c>
      <c r="V131" s="84">
        <f t="shared" si="32"/>
        <v>0</v>
      </c>
      <c r="W131" s="84">
        <f t="shared" si="32"/>
        <v>0</v>
      </c>
      <c r="X131" s="84">
        <f t="shared" si="32"/>
        <v>0</v>
      </c>
      <c r="Y131" s="84">
        <f t="shared" si="32"/>
        <v>0</v>
      </c>
      <c r="Z131" s="84">
        <f t="shared" si="32"/>
        <v>0</v>
      </c>
      <c r="AA131" s="84">
        <f t="shared" si="32"/>
        <v>0</v>
      </c>
      <c r="AB131" s="84">
        <f t="shared" si="32"/>
        <v>0</v>
      </c>
      <c r="AC131" s="84">
        <f t="shared" si="32"/>
        <v>0</v>
      </c>
      <c r="AD131" s="84">
        <f t="shared" si="32"/>
        <v>0</v>
      </c>
      <c r="AE131" s="64">
        <f t="shared" si="26"/>
        <v>0</v>
      </c>
    </row>
    <row r="132" spans="1:31" ht="18" customHeight="1" x14ac:dyDescent="0.25">
      <c r="A132" s="77" t="s">
        <v>257</v>
      </c>
      <c r="B132" s="85"/>
      <c r="C132" s="57"/>
      <c r="D132" s="58">
        <f>C132*$C$131*$C$118</f>
        <v>0</v>
      </c>
      <c r="E132" s="59"/>
      <c r="F132" s="79">
        <f>SUM(G132:AD132)</f>
        <v>0</v>
      </c>
      <c r="G132" s="79"/>
      <c r="H132" s="79"/>
      <c r="I132" s="79"/>
      <c r="J132" s="79"/>
      <c r="K132" s="79"/>
      <c r="L132" s="79"/>
      <c r="M132" s="79"/>
      <c r="N132" s="79"/>
      <c r="O132" s="79"/>
      <c r="P132" s="79"/>
      <c r="Q132" s="79"/>
      <c r="R132" s="79"/>
      <c r="S132" s="86"/>
      <c r="T132" s="86"/>
      <c r="U132" s="86"/>
      <c r="V132" s="86"/>
      <c r="W132" s="86"/>
      <c r="X132" s="86"/>
      <c r="Y132" s="86"/>
      <c r="Z132" s="86"/>
      <c r="AA132" s="86"/>
      <c r="AB132" s="86"/>
      <c r="AC132" s="86"/>
      <c r="AD132" s="86"/>
      <c r="AE132" s="64">
        <f t="shared" si="26"/>
        <v>0</v>
      </c>
    </row>
    <row r="133" spans="1:31" ht="18" customHeight="1" x14ac:dyDescent="0.25">
      <c r="A133" s="77" t="s">
        <v>258</v>
      </c>
      <c r="B133" s="85"/>
      <c r="C133" s="57"/>
      <c r="D133" s="58">
        <f>C133*$C$131*$C$118</f>
        <v>0</v>
      </c>
      <c r="E133" s="59"/>
      <c r="F133" s="79">
        <f>SUM(G133:AD133)</f>
        <v>0</v>
      </c>
      <c r="G133" s="79"/>
      <c r="H133" s="79"/>
      <c r="I133" s="79"/>
      <c r="J133" s="79"/>
      <c r="K133" s="79"/>
      <c r="L133" s="79"/>
      <c r="M133" s="79"/>
      <c r="N133" s="79"/>
      <c r="O133" s="79"/>
      <c r="P133" s="79"/>
      <c r="Q133" s="79"/>
      <c r="R133" s="79"/>
      <c r="S133" s="86"/>
      <c r="T133" s="86"/>
      <c r="U133" s="86"/>
      <c r="V133" s="86"/>
      <c r="W133" s="86"/>
      <c r="X133" s="86"/>
      <c r="Y133" s="86"/>
      <c r="Z133" s="86"/>
      <c r="AA133" s="86"/>
      <c r="AB133" s="86"/>
      <c r="AC133" s="86"/>
      <c r="AD133" s="86"/>
      <c r="AE133" s="64">
        <f t="shared" si="26"/>
        <v>0</v>
      </c>
    </row>
    <row r="134" spans="1:31" ht="18" customHeight="1" x14ac:dyDescent="0.25">
      <c r="A134" s="77" t="s">
        <v>259</v>
      </c>
      <c r="B134" s="85"/>
      <c r="C134" s="57"/>
      <c r="D134" s="58">
        <f>C134*$C$131*$C$118</f>
        <v>0</v>
      </c>
      <c r="E134" s="59"/>
      <c r="F134" s="79">
        <f>SUM(G134:AD134)</f>
        <v>0</v>
      </c>
      <c r="G134" s="79"/>
      <c r="H134" s="79"/>
      <c r="I134" s="79"/>
      <c r="J134" s="79"/>
      <c r="K134" s="79"/>
      <c r="L134" s="79"/>
      <c r="M134" s="79"/>
      <c r="N134" s="79"/>
      <c r="O134" s="79"/>
      <c r="P134" s="79"/>
      <c r="Q134" s="79"/>
      <c r="R134" s="79"/>
      <c r="S134" s="86"/>
      <c r="T134" s="86"/>
      <c r="U134" s="86"/>
      <c r="V134" s="86"/>
      <c r="W134" s="86"/>
      <c r="X134" s="86"/>
      <c r="Y134" s="86"/>
      <c r="Z134" s="86"/>
      <c r="AA134" s="86"/>
      <c r="AB134" s="86"/>
      <c r="AC134" s="86"/>
      <c r="AD134" s="86"/>
      <c r="AE134" s="64">
        <f t="shared" si="26"/>
        <v>0</v>
      </c>
    </row>
    <row r="135" spans="1:31" ht="18" customHeight="1" x14ac:dyDescent="0.25">
      <c r="A135" s="77" t="s">
        <v>260</v>
      </c>
      <c r="B135" s="85"/>
      <c r="C135" s="57"/>
      <c r="D135" s="58">
        <f>C135*$C$131*$C$118</f>
        <v>0</v>
      </c>
      <c r="E135" s="59"/>
      <c r="F135" s="79">
        <f>SUM(G135:AD135)</f>
        <v>0</v>
      </c>
      <c r="G135" s="79"/>
      <c r="H135" s="79"/>
      <c r="I135" s="79"/>
      <c r="J135" s="79"/>
      <c r="K135" s="79"/>
      <c r="L135" s="79"/>
      <c r="M135" s="79"/>
      <c r="N135" s="79"/>
      <c r="O135" s="79"/>
      <c r="P135" s="79"/>
      <c r="Q135" s="79"/>
      <c r="R135" s="79"/>
      <c r="S135" s="86"/>
      <c r="T135" s="86"/>
      <c r="U135" s="86"/>
      <c r="V135" s="86"/>
      <c r="W135" s="86"/>
      <c r="X135" s="86"/>
      <c r="Y135" s="86"/>
      <c r="Z135" s="86"/>
      <c r="AA135" s="86"/>
      <c r="AB135" s="86"/>
      <c r="AC135" s="86"/>
      <c r="AD135" s="86"/>
      <c r="AE135" s="64">
        <f t="shared" si="26"/>
        <v>0</v>
      </c>
    </row>
    <row r="136" spans="1:31" ht="18" customHeight="1" x14ac:dyDescent="0.25">
      <c r="A136" s="77" t="s">
        <v>261</v>
      </c>
      <c r="B136" s="85"/>
      <c r="C136" s="57"/>
      <c r="D136" s="58">
        <f>C136*$C$131*$C$118</f>
        <v>0</v>
      </c>
      <c r="E136" s="59"/>
      <c r="F136" s="79">
        <f>SUM(G136:AD136)</f>
        <v>0</v>
      </c>
      <c r="G136" s="79"/>
      <c r="H136" s="79"/>
      <c r="I136" s="79"/>
      <c r="J136" s="79"/>
      <c r="K136" s="79"/>
      <c r="L136" s="79"/>
      <c r="M136" s="79"/>
      <c r="N136" s="79"/>
      <c r="O136" s="79"/>
      <c r="P136" s="79"/>
      <c r="Q136" s="79"/>
      <c r="R136" s="79"/>
      <c r="S136" s="86"/>
      <c r="T136" s="86"/>
      <c r="U136" s="86"/>
      <c r="V136" s="86"/>
      <c r="W136" s="86"/>
      <c r="X136" s="86"/>
      <c r="Y136" s="86"/>
      <c r="Z136" s="86"/>
      <c r="AA136" s="86"/>
      <c r="AB136" s="86"/>
      <c r="AC136" s="86"/>
      <c r="AD136" s="86"/>
      <c r="AE136" s="64">
        <f t="shared" si="26"/>
        <v>0</v>
      </c>
    </row>
    <row r="137" spans="1:31" ht="18" customHeight="1" x14ac:dyDescent="0.25">
      <c r="A137" s="72" t="s">
        <v>262</v>
      </c>
      <c r="B137" s="83"/>
      <c r="C137" s="73"/>
      <c r="D137" s="74"/>
      <c r="E137" s="75"/>
      <c r="F137" s="76">
        <f t="shared" ref="F137:AD137" si="33">SUM(F138:F142)</f>
        <v>0</v>
      </c>
      <c r="G137" s="84">
        <f t="shared" si="33"/>
        <v>0</v>
      </c>
      <c r="H137" s="84">
        <f t="shared" si="33"/>
        <v>0</v>
      </c>
      <c r="I137" s="84">
        <f t="shared" si="33"/>
        <v>0</v>
      </c>
      <c r="J137" s="84">
        <f t="shared" si="33"/>
        <v>0</v>
      </c>
      <c r="K137" s="84">
        <f t="shared" si="33"/>
        <v>0</v>
      </c>
      <c r="L137" s="84">
        <f t="shared" si="33"/>
        <v>0</v>
      </c>
      <c r="M137" s="84">
        <f t="shared" si="33"/>
        <v>0</v>
      </c>
      <c r="N137" s="84">
        <f t="shared" si="33"/>
        <v>0</v>
      </c>
      <c r="O137" s="84">
        <f t="shared" si="33"/>
        <v>0</v>
      </c>
      <c r="P137" s="84">
        <f t="shared" si="33"/>
        <v>0</v>
      </c>
      <c r="Q137" s="84">
        <f t="shared" si="33"/>
        <v>0</v>
      </c>
      <c r="R137" s="84">
        <f t="shared" si="33"/>
        <v>0</v>
      </c>
      <c r="S137" s="84">
        <f t="shared" si="33"/>
        <v>0</v>
      </c>
      <c r="T137" s="84">
        <f t="shared" si="33"/>
        <v>0</v>
      </c>
      <c r="U137" s="84">
        <f t="shared" si="33"/>
        <v>0</v>
      </c>
      <c r="V137" s="84">
        <f t="shared" si="33"/>
        <v>0</v>
      </c>
      <c r="W137" s="84">
        <f t="shared" si="33"/>
        <v>0</v>
      </c>
      <c r="X137" s="84">
        <f t="shared" si="33"/>
        <v>0</v>
      </c>
      <c r="Y137" s="84">
        <f t="shared" si="33"/>
        <v>0</v>
      </c>
      <c r="Z137" s="84">
        <f t="shared" si="33"/>
        <v>0</v>
      </c>
      <c r="AA137" s="84">
        <f t="shared" si="33"/>
        <v>0</v>
      </c>
      <c r="AB137" s="84">
        <f t="shared" si="33"/>
        <v>0</v>
      </c>
      <c r="AC137" s="84">
        <f t="shared" si="33"/>
        <v>0</v>
      </c>
      <c r="AD137" s="84">
        <f t="shared" si="33"/>
        <v>0</v>
      </c>
      <c r="AE137" s="64">
        <f t="shared" si="26"/>
        <v>0</v>
      </c>
    </row>
    <row r="138" spans="1:31" ht="18" customHeight="1" x14ac:dyDescent="0.25">
      <c r="A138" s="77" t="s">
        <v>263</v>
      </c>
      <c r="B138" s="85"/>
      <c r="C138" s="57"/>
      <c r="D138" s="58">
        <f>C138*$C$137*$C$118</f>
        <v>0</v>
      </c>
      <c r="E138" s="59"/>
      <c r="F138" s="79">
        <f>SUM(G138:AD138)</f>
        <v>0</v>
      </c>
      <c r="G138" s="79"/>
      <c r="H138" s="79"/>
      <c r="I138" s="79"/>
      <c r="J138" s="79"/>
      <c r="K138" s="79"/>
      <c r="L138" s="79"/>
      <c r="M138" s="79"/>
      <c r="N138" s="79"/>
      <c r="O138" s="79"/>
      <c r="P138" s="79"/>
      <c r="Q138" s="79"/>
      <c r="R138" s="79"/>
      <c r="S138" s="86"/>
      <c r="T138" s="86"/>
      <c r="U138" s="86"/>
      <c r="V138" s="86"/>
      <c r="W138" s="86"/>
      <c r="X138" s="86"/>
      <c r="Y138" s="86"/>
      <c r="Z138" s="86"/>
      <c r="AA138" s="86"/>
      <c r="AB138" s="86"/>
      <c r="AC138" s="86"/>
      <c r="AD138" s="86"/>
      <c r="AE138" s="64">
        <f t="shared" si="26"/>
        <v>0</v>
      </c>
    </row>
    <row r="139" spans="1:31" ht="18" customHeight="1" x14ac:dyDescent="0.25">
      <c r="A139" s="77" t="s">
        <v>264</v>
      </c>
      <c r="B139" s="85"/>
      <c r="C139" s="57"/>
      <c r="D139" s="58">
        <f>C139*$C$137*$C$118</f>
        <v>0</v>
      </c>
      <c r="E139" s="59"/>
      <c r="F139" s="79">
        <f>SUM(G139:AD139)</f>
        <v>0</v>
      </c>
      <c r="G139" s="79"/>
      <c r="H139" s="79"/>
      <c r="I139" s="79"/>
      <c r="J139" s="79"/>
      <c r="K139" s="79"/>
      <c r="L139" s="79"/>
      <c r="M139" s="79"/>
      <c r="N139" s="79"/>
      <c r="O139" s="79"/>
      <c r="P139" s="79"/>
      <c r="Q139" s="79"/>
      <c r="R139" s="79"/>
      <c r="S139" s="86"/>
      <c r="T139" s="86"/>
      <c r="U139" s="86"/>
      <c r="V139" s="86"/>
      <c r="W139" s="86"/>
      <c r="X139" s="86"/>
      <c r="Y139" s="86"/>
      <c r="Z139" s="86"/>
      <c r="AA139" s="86"/>
      <c r="AB139" s="86"/>
      <c r="AC139" s="86"/>
      <c r="AD139" s="86"/>
      <c r="AE139" s="64">
        <f t="shared" si="26"/>
        <v>0</v>
      </c>
    </row>
    <row r="140" spans="1:31" ht="18" customHeight="1" x14ac:dyDescent="0.25">
      <c r="A140" s="77" t="s">
        <v>265</v>
      </c>
      <c r="B140" s="85"/>
      <c r="C140" s="57"/>
      <c r="D140" s="58">
        <f>C140*$C$137*$C$118</f>
        <v>0</v>
      </c>
      <c r="E140" s="59"/>
      <c r="F140" s="79">
        <f>SUM(G140:AD140)</f>
        <v>0</v>
      </c>
      <c r="G140" s="79"/>
      <c r="H140" s="79"/>
      <c r="I140" s="79"/>
      <c r="J140" s="79"/>
      <c r="K140" s="79"/>
      <c r="L140" s="79"/>
      <c r="M140" s="79"/>
      <c r="N140" s="79"/>
      <c r="O140" s="79"/>
      <c r="P140" s="79"/>
      <c r="Q140" s="79"/>
      <c r="R140" s="79"/>
      <c r="S140" s="86"/>
      <c r="T140" s="86"/>
      <c r="U140" s="86"/>
      <c r="V140" s="86"/>
      <c r="W140" s="86"/>
      <c r="X140" s="86"/>
      <c r="Y140" s="86"/>
      <c r="Z140" s="86"/>
      <c r="AA140" s="86"/>
      <c r="AB140" s="86"/>
      <c r="AC140" s="86"/>
      <c r="AD140" s="86"/>
      <c r="AE140" s="64">
        <f t="shared" si="26"/>
        <v>0</v>
      </c>
    </row>
    <row r="141" spans="1:31" ht="18" customHeight="1" x14ac:dyDescent="0.25">
      <c r="A141" s="77" t="s">
        <v>266</v>
      </c>
      <c r="B141" s="85"/>
      <c r="C141" s="57"/>
      <c r="D141" s="58">
        <f>C141*$C$137*$C$118</f>
        <v>0</v>
      </c>
      <c r="E141" s="59"/>
      <c r="F141" s="79">
        <f>SUM(G141:AD141)</f>
        <v>0</v>
      </c>
      <c r="G141" s="79"/>
      <c r="H141" s="79"/>
      <c r="I141" s="79"/>
      <c r="J141" s="79"/>
      <c r="K141" s="79"/>
      <c r="L141" s="79"/>
      <c r="M141" s="79"/>
      <c r="N141" s="79"/>
      <c r="O141" s="79"/>
      <c r="P141" s="79"/>
      <c r="Q141" s="79"/>
      <c r="R141" s="79"/>
      <c r="S141" s="86"/>
      <c r="T141" s="86"/>
      <c r="U141" s="86"/>
      <c r="V141" s="86"/>
      <c r="W141" s="86"/>
      <c r="X141" s="86"/>
      <c r="Y141" s="86"/>
      <c r="Z141" s="86"/>
      <c r="AA141" s="86"/>
      <c r="AB141" s="86"/>
      <c r="AC141" s="86"/>
      <c r="AD141" s="86"/>
      <c r="AE141" s="64">
        <f t="shared" si="26"/>
        <v>0</v>
      </c>
    </row>
    <row r="142" spans="1:31" ht="18" customHeight="1" x14ac:dyDescent="0.25">
      <c r="A142" s="77" t="s">
        <v>267</v>
      </c>
      <c r="B142" s="85"/>
      <c r="C142" s="57"/>
      <c r="D142" s="58">
        <f>C142*$C$137*$C$118</f>
        <v>0</v>
      </c>
      <c r="E142" s="59"/>
      <c r="F142" s="79">
        <f>SUM(G142:AD142)</f>
        <v>0</v>
      </c>
      <c r="G142" s="79"/>
      <c r="H142" s="79"/>
      <c r="I142" s="79"/>
      <c r="J142" s="79"/>
      <c r="K142" s="79"/>
      <c r="L142" s="79"/>
      <c r="M142" s="79"/>
      <c r="N142" s="79"/>
      <c r="O142" s="79"/>
      <c r="P142" s="79"/>
      <c r="Q142" s="79"/>
      <c r="R142" s="79"/>
      <c r="S142" s="86"/>
      <c r="T142" s="86"/>
      <c r="U142" s="86"/>
      <c r="V142" s="86"/>
      <c r="W142" s="86"/>
      <c r="X142" s="86"/>
      <c r="Y142" s="86"/>
      <c r="Z142" s="86"/>
      <c r="AA142" s="86"/>
      <c r="AB142" s="86"/>
      <c r="AC142" s="86"/>
      <c r="AD142" s="86"/>
      <c r="AE142" s="64">
        <f t="shared" si="26"/>
        <v>0</v>
      </c>
    </row>
    <row r="143" spans="1:31" ht="18" customHeight="1" x14ac:dyDescent="0.25">
      <c r="A143" s="72" t="s">
        <v>268</v>
      </c>
      <c r="B143" s="83"/>
      <c r="C143" s="73"/>
      <c r="D143" s="74"/>
      <c r="E143" s="75"/>
      <c r="F143" s="76">
        <f t="shared" ref="F143:AD143" si="34">SUM(F144:F148)</f>
        <v>0</v>
      </c>
      <c r="G143" s="84">
        <f t="shared" si="34"/>
        <v>0</v>
      </c>
      <c r="H143" s="84">
        <f t="shared" si="34"/>
        <v>0</v>
      </c>
      <c r="I143" s="84">
        <f t="shared" si="34"/>
        <v>0</v>
      </c>
      <c r="J143" s="84">
        <f t="shared" si="34"/>
        <v>0</v>
      </c>
      <c r="K143" s="84">
        <f t="shared" si="34"/>
        <v>0</v>
      </c>
      <c r="L143" s="84">
        <f t="shared" si="34"/>
        <v>0</v>
      </c>
      <c r="M143" s="84">
        <f t="shared" si="34"/>
        <v>0</v>
      </c>
      <c r="N143" s="84">
        <f t="shared" si="34"/>
        <v>0</v>
      </c>
      <c r="O143" s="84">
        <f t="shared" si="34"/>
        <v>0</v>
      </c>
      <c r="P143" s="84">
        <f t="shared" si="34"/>
        <v>0</v>
      </c>
      <c r="Q143" s="84">
        <f t="shared" si="34"/>
        <v>0</v>
      </c>
      <c r="R143" s="84">
        <f t="shared" si="34"/>
        <v>0</v>
      </c>
      <c r="S143" s="84">
        <f t="shared" si="34"/>
        <v>0</v>
      </c>
      <c r="T143" s="84">
        <f t="shared" si="34"/>
        <v>0</v>
      </c>
      <c r="U143" s="84">
        <f t="shared" si="34"/>
        <v>0</v>
      </c>
      <c r="V143" s="84">
        <f t="shared" si="34"/>
        <v>0</v>
      </c>
      <c r="W143" s="84">
        <f t="shared" si="34"/>
        <v>0</v>
      </c>
      <c r="X143" s="84">
        <f t="shared" si="34"/>
        <v>0</v>
      </c>
      <c r="Y143" s="84">
        <f t="shared" si="34"/>
        <v>0</v>
      </c>
      <c r="Z143" s="84">
        <f t="shared" si="34"/>
        <v>0</v>
      </c>
      <c r="AA143" s="84">
        <f t="shared" si="34"/>
        <v>0</v>
      </c>
      <c r="AB143" s="84">
        <f t="shared" si="34"/>
        <v>0</v>
      </c>
      <c r="AC143" s="84">
        <f t="shared" si="34"/>
        <v>0</v>
      </c>
      <c r="AD143" s="84">
        <f t="shared" si="34"/>
        <v>0</v>
      </c>
      <c r="AE143" s="64">
        <f t="shared" ref="AE143:AE174" si="35">F143-SUM(G143:AD143)</f>
        <v>0</v>
      </c>
    </row>
    <row r="144" spans="1:31" ht="18" customHeight="1" x14ac:dyDescent="0.25">
      <c r="A144" s="77" t="s">
        <v>269</v>
      </c>
      <c r="B144" s="85"/>
      <c r="C144" s="57"/>
      <c r="D144" s="58">
        <f>C144*$C$143*$C$118</f>
        <v>0</v>
      </c>
      <c r="E144" s="59"/>
      <c r="F144" s="79">
        <f>SUM(G144:AD144)</f>
        <v>0</v>
      </c>
      <c r="G144" s="79"/>
      <c r="H144" s="79"/>
      <c r="I144" s="79"/>
      <c r="J144" s="79"/>
      <c r="K144" s="79"/>
      <c r="L144" s="79"/>
      <c r="M144" s="79"/>
      <c r="N144" s="79"/>
      <c r="O144" s="79"/>
      <c r="P144" s="79"/>
      <c r="Q144" s="79"/>
      <c r="R144" s="79"/>
      <c r="S144" s="86"/>
      <c r="T144" s="86"/>
      <c r="U144" s="86"/>
      <c r="V144" s="86"/>
      <c r="W144" s="86"/>
      <c r="X144" s="86"/>
      <c r="Y144" s="86"/>
      <c r="Z144" s="86"/>
      <c r="AA144" s="86"/>
      <c r="AB144" s="86"/>
      <c r="AC144" s="86"/>
      <c r="AD144" s="86"/>
      <c r="AE144" s="64">
        <f t="shared" si="35"/>
        <v>0</v>
      </c>
    </row>
    <row r="145" spans="1:31" ht="18" customHeight="1" x14ac:dyDescent="0.25">
      <c r="A145" s="77" t="s">
        <v>270</v>
      </c>
      <c r="B145" s="85"/>
      <c r="C145" s="57"/>
      <c r="D145" s="58">
        <f>C145*$C$143*$C$118</f>
        <v>0</v>
      </c>
      <c r="E145" s="59"/>
      <c r="F145" s="79">
        <f>SUM(G145:AD145)</f>
        <v>0</v>
      </c>
      <c r="G145" s="79"/>
      <c r="H145" s="79"/>
      <c r="I145" s="79"/>
      <c r="J145" s="79"/>
      <c r="K145" s="79"/>
      <c r="L145" s="79"/>
      <c r="M145" s="79"/>
      <c r="N145" s="79"/>
      <c r="O145" s="79"/>
      <c r="P145" s="79"/>
      <c r="Q145" s="79"/>
      <c r="R145" s="79"/>
      <c r="S145" s="86"/>
      <c r="T145" s="86"/>
      <c r="U145" s="86"/>
      <c r="V145" s="86"/>
      <c r="W145" s="86"/>
      <c r="X145" s="86"/>
      <c r="Y145" s="86"/>
      <c r="Z145" s="86"/>
      <c r="AA145" s="86"/>
      <c r="AB145" s="86"/>
      <c r="AC145" s="86"/>
      <c r="AD145" s="86"/>
      <c r="AE145" s="64">
        <f t="shared" si="35"/>
        <v>0</v>
      </c>
    </row>
    <row r="146" spans="1:31" ht="18" customHeight="1" x14ac:dyDescent="0.25">
      <c r="A146" s="77" t="s">
        <v>271</v>
      </c>
      <c r="B146" s="85"/>
      <c r="C146" s="57"/>
      <c r="D146" s="58">
        <f>C146*$C$143*$C$118</f>
        <v>0</v>
      </c>
      <c r="E146" s="59"/>
      <c r="F146" s="79">
        <f>SUM(G146:AD146)</f>
        <v>0</v>
      </c>
      <c r="G146" s="79"/>
      <c r="H146" s="79"/>
      <c r="I146" s="79"/>
      <c r="J146" s="79"/>
      <c r="K146" s="79"/>
      <c r="L146" s="79"/>
      <c r="M146" s="79"/>
      <c r="N146" s="79"/>
      <c r="O146" s="79"/>
      <c r="P146" s="79"/>
      <c r="Q146" s="79"/>
      <c r="R146" s="79"/>
      <c r="S146" s="86"/>
      <c r="T146" s="86"/>
      <c r="U146" s="86"/>
      <c r="V146" s="86"/>
      <c r="W146" s="86"/>
      <c r="X146" s="86"/>
      <c r="Y146" s="86"/>
      <c r="Z146" s="86"/>
      <c r="AA146" s="86"/>
      <c r="AB146" s="86"/>
      <c r="AC146" s="86"/>
      <c r="AD146" s="86"/>
      <c r="AE146" s="64">
        <f t="shared" si="35"/>
        <v>0</v>
      </c>
    </row>
    <row r="147" spans="1:31" ht="18" customHeight="1" x14ac:dyDescent="0.25">
      <c r="A147" s="77" t="s">
        <v>272</v>
      </c>
      <c r="B147" s="85"/>
      <c r="C147" s="57"/>
      <c r="D147" s="58">
        <f>C147*$C$143*$C$118</f>
        <v>0</v>
      </c>
      <c r="E147" s="59"/>
      <c r="F147" s="79">
        <f>SUM(G147:AD147)</f>
        <v>0</v>
      </c>
      <c r="G147" s="79"/>
      <c r="H147" s="79"/>
      <c r="I147" s="79"/>
      <c r="J147" s="79"/>
      <c r="K147" s="79"/>
      <c r="L147" s="79"/>
      <c r="M147" s="79"/>
      <c r="N147" s="79"/>
      <c r="O147" s="79"/>
      <c r="P147" s="79"/>
      <c r="Q147" s="79"/>
      <c r="R147" s="79"/>
      <c r="S147" s="86"/>
      <c r="T147" s="86"/>
      <c r="U147" s="86"/>
      <c r="V147" s="86"/>
      <c r="W147" s="86"/>
      <c r="X147" s="86"/>
      <c r="Y147" s="86"/>
      <c r="Z147" s="86"/>
      <c r="AA147" s="86"/>
      <c r="AB147" s="86"/>
      <c r="AC147" s="86"/>
      <c r="AD147" s="86"/>
      <c r="AE147" s="64">
        <f t="shared" si="35"/>
        <v>0</v>
      </c>
    </row>
    <row r="148" spans="1:31" ht="18" customHeight="1" x14ac:dyDescent="0.25">
      <c r="A148" s="77" t="s">
        <v>273</v>
      </c>
      <c r="B148" s="85"/>
      <c r="C148" s="57"/>
      <c r="D148" s="58">
        <f>C148*$C$143*$C$118</f>
        <v>0</v>
      </c>
      <c r="E148" s="59"/>
      <c r="F148" s="79">
        <f>SUM(G148:AD148)</f>
        <v>0</v>
      </c>
      <c r="G148" s="79"/>
      <c r="H148" s="79"/>
      <c r="I148" s="79"/>
      <c r="J148" s="79"/>
      <c r="K148" s="79"/>
      <c r="L148" s="79"/>
      <c r="M148" s="79"/>
      <c r="N148" s="79"/>
      <c r="O148" s="79"/>
      <c r="P148" s="79"/>
      <c r="Q148" s="79"/>
      <c r="R148" s="79"/>
      <c r="S148" s="86"/>
      <c r="T148" s="86"/>
      <c r="U148" s="86"/>
      <c r="V148" s="86"/>
      <c r="W148" s="86"/>
      <c r="X148" s="86"/>
      <c r="Y148" s="86"/>
      <c r="Z148" s="86"/>
      <c r="AA148" s="86"/>
      <c r="AB148" s="86"/>
      <c r="AC148" s="86"/>
      <c r="AD148" s="86"/>
      <c r="AE148" s="64">
        <f t="shared" si="35"/>
        <v>0</v>
      </c>
    </row>
    <row r="149" spans="1:31" ht="18" customHeight="1" x14ac:dyDescent="0.25">
      <c r="A149" s="66" t="s">
        <v>274</v>
      </c>
      <c r="B149" s="81"/>
      <c r="C149" s="68"/>
      <c r="D149" s="69"/>
      <c r="E149" s="70"/>
      <c r="F149" s="71">
        <f t="shared" ref="F149:R149" si="36">F150+F156+F162+F168+F174</f>
        <v>0</v>
      </c>
      <c r="G149" s="82">
        <f t="shared" si="36"/>
        <v>0</v>
      </c>
      <c r="H149" s="82">
        <f t="shared" si="36"/>
        <v>0</v>
      </c>
      <c r="I149" s="82">
        <f t="shared" si="36"/>
        <v>0</v>
      </c>
      <c r="J149" s="82">
        <f t="shared" si="36"/>
        <v>0</v>
      </c>
      <c r="K149" s="82">
        <f t="shared" si="36"/>
        <v>0</v>
      </c>
      <c r="L149" s="82">
        <f t="shared" si="36"/>
        <v>0</v>
      </c>
      <c r="M149" s="82">
        <f t="shared" si="36"/>
        <v>0</v>
      </c>
      <c r="N149" s="82">
        <f t="shared" si="36"/>
        <v>0</v>
      </c>
      <c r="O149" s="82">
        <f t="shared" si="36"/>
        <v>0</v>
      </c>
      <c r="P149" s="82">
        <f t="shared" si="36"/>
        <v>0</v>
      </c>
      <c r="Q149" s="82">
        <f t="shared" si="36"/>
        <v>0</v>
      </c>
      <c r="R149" s="82">
        <f t="shared" si="36"/>
        <v>0</v>
      </c>
      <c r="S149" s="82">
        <f t="shared" ref="S149:AD149" si="37">S150+S156+S162</f>
        <v>0</v>
      </c>
      <c r="T149" s="82">
        <f t="shared" si="37"/>
        <v>0</v>
      </c>
      <c r="U149" s="82">
        <f t="shared" si="37"/>
        <v>0</v>
      </c>
      <c r="V149" s="82">
        <f t="shared" si="37"/>
        <v>0</v>
      </c>
      <c r="W149" s="82">
        <f t="shared" si="37"/>
        <v>0</v>
      </c>
      <c r="X149" s="82">
        <f t="shared" si="37"/>
        <v>0</v>
      </c>
      <c r="Y149" s="82">
        <f t="shared" si="37"/>
        <v>0</v>
      </c>
      <c r="Z149" s="82">
        <f t="shared" si="37"/>
        <v>0</v>
      </c>
      <c r="AA149" s="82">
        <f t="shared" si="37"/>
        <v>0</v>
      </c>
      <c r="AB149" s="82">
        <f t="shared" si="37"/>
        <v>0</v>
      </c>
      <c r="AC149" s="82">
        <f t="shared" si="37"/>
        <v>0</v>
      </c>
      <c r="AD149" s="82">
        <f t="shared" si="37"/>
        <v>0</v>
      </c>
      <c r="AE149" s="64">
        <f t="shared" si="35"/>
        <v>0</v>
      </c>
    </row>
    <row r="150" spans="1:31" ht="18" customHeight="1" x14ac:dyDescent="0.25">
      <c r="A150" s="72" t="s">
        <v>275</v>
      </c>
      <c r="B150" s="83"/>
      <c r="C150" s="73"/>
      <c r="D150" s="74"/>
      <c r="E150" s="75"/>
      <c r="F150" s="76">
        <f t="shared" ref="F150:AD150" si="38">SUM(F151:F155)</f>
        <v>0</v>
      </c>
      <c r="G150" s="84">
        <f t="shared" si="38"/>
        <v>0</v>
      </c>
      <c r="H150" s="84">
        <f t="shared" si="38"/>
        <v>0</v>
      </c>
      <c r="I150" s="84">
        <f t="shared" si="38"/>
        <v>0</v>
      </c>
      <c r="J150" s="84">
        <f t="shared" si="38"/>
        <v>0</v>
      </c>
      <c r="K150" s="84">
        <f t="shared" si="38"/>
        <v>0</v>
      </c>
      <c r="L150" s="84">
        <f t="shared" si="38"/>
        <v>0</v>
      </c>
      <c r="M150" s="84">
        <f t="shared" si="38"/>
        <v>0</v>
      </c>
      <c r="N150" s="84">
        <f t="shared" si="38"/>
        <v>0</v>
      </c>
      <c r="O150" s="84">
        <f t="shared" si="38"/>
        <v>0</v>
      </c>
      <c r="P150" s="84">
        <f t="shared" si="38"/>
        <v>0</v>
      </c>
      <c r="Q150" s="84">
        <f t="shared" si="38"/>
        <v>0</v>
      </c>
      <c r="R150" s="84">
        <f t="shared" si="38"/>
        <v>0</v>
      </c>
      <c r="S150" s="84">
        <f t="shared" si="38"/>
        <v>0</v>
      </c>
      <c r="T150" s="84">
        <f t="shared" si="38"/>
        <v>0</v>
      </c>
      <c r="U150" s="84">
        <f t="shared" si="38"/>
        <v>0</v>
      </c>
      <c r="V150" s="84">
        <f t="shared" si="38"/>
        <v>0</v>
      </c>
      <c r="W150" s="84">
        <f t="shared" si="38"/>
        <v>0</v>
      </c>
      <c r="X150" s="84">
        <f t="shared" si="38"/>
        <v>0</v>
      </c>
      <c r="Y150" s="84">
        <f t="shared" si="38"/>
        <v>0</v>
      </c>
      <c r="Z150" s="84">
        <f t="shared" si="38"/>
        <v>0</v>
      </c>
      <c r="AA150" s="84">
        <f t="shared" si="38"/>
        <v>0</v>
      </c>
      <c r="AB150" s="84">
        <f t="shared" si="38"/>
        <v>0</v>
      </c>
      <c r="AC150" s="84">
        <f t="shared" si="38"/>
        <v>0</v>
      </c>
      <c r="AD150" s="84">
        <f t="shared" si="38"/>
        <v>0</v>
      </c>
      <c r="AE150" s="64">
        <f t="shared" si="35"/>
        <v>0</v>
      </c>
    </row>
    <row r="151" spans="1:31" ht="18" customHeight="1" x14ac:dyDescent="0.25">
      <c r="A151" s="77" t="s">
        <v>276</v>
      </c>
      <c r="B151" s="85"/>
      <c r="C151" s="57"/>
      <c r="D151" s="58">
        <f>C151*$C$150*$C$149</f>
        <v>0</v>
      </c>
      <c r="E151" s="59"/>
      <c r="F151" s="79">
        <f>SUM(G151:AD151)</f>
        <v>0</v>
      </c>
      <c r="G151" s="79"/>
      <c r="H151" s="79"/>
      <c r="I151" s="79"/>
      <c r="J151" s="79"/>
      <c r="K151" s="79"/>
      <c r="L151" s="79"/>
      <c r="M151" s="79"/>
      <c r="N151" s="79"/>
      <c r="O151" s="79"/>
      <c r="P151" s="79"/>
      <c r="Q151" s="79"/>
      <c r="R151" s="79"/>
      <c r="S151" s="86"/>
      <c r="T151" s="86"/>
      <c r="U151" s="86"/>
      <c r="V151" s="86"/>
      <c r="W151" s="86"/>
      <c r="X151" s="86"/>
      <c r="Y151" s="86"/>
      <c r="Z151" s="86"/>
      <c r="AA151" s="86"/>
      <c r="AB151" s="86"/>
      <c r="AC151" s="86"/>
      <c r="AD151" s="86"/>
      <c r="AE151" s="64">
        <f t="shared" si="35"/>
        <v>0</v>
      </c>
    </row>
    <row r="152" spans="1:31" ht="18" customHeight="1" x14ac:dyDescent="0.25">
      <c r="A152" s="77" t="s">
        <v>277</v>
      </c>
      <c r="B152" s="85"/>
      <c r="C152" s="57"/>
      <c r="D152" s="58">
        <f>C152*$C$150*$C$149</f>
        <v>0</v>
      </c>
      <c r="E152" s="59"/>
      <c r="F152" s="79">
        <f>SUM(G152:AD152)</f>
        <v>0</v>
      </c>
      <c r="G152" s="79"/>
      <c r="H152" s="79"/>
      <c r="I152" s="79"/>
      <c r="J152" s="79"/>
      <c r="K152" s="79"/>
      <c r="L152" s="79"/>
      <c r="M152" s="79"/>
      <c r="N152" s="79"/>
      <c r="O152" s="79"/>
      <c r="P152" s="79"/>
      <c r="Q152" s="79"/>
      <c r="R152" s="79"/>
      <c r="S152" s="86"/>
      <c r="T152" s="86"/>
      <c r="U152" s="86"/>
      <c r="V152" s="86"/>
      <c r="W152" s="86"/>
      <c r="X152" s="86"/>
      <c r="Y152" s="86"/>
      <c r="Z152" s="86"/>
      <c r="AA152" s="86"/>
      <c r="AB152" s="86"/>
      <c r="AC152" s="86"/>
      <c r="AD152" s="86"/>
      <c r="AE152" s="64">
        <f t="shared" si="35"/>
        <v>0</v>
      </c>
    </row>
    <row r="153" spans="1:31" ht="18" customHeight="1" x14ac:dyDescent="0.25">
      <c r="A153" s="77" t="s">
        <v>278</v>
      </c>
      <c r="B153" s="85"/>
      <c r="C153" s="57"/>
      <c r="D153" s="58">
        <f>C153*$C$150*$C$149</f>
        <v>0</v>
      </c>
      <c r="E153" s="59"/>
      <c r="F153" s="79">
        <f>SUM(G153:AD153)</f>
        <v>0</v>
      </c>
      <c r="G153" s="79"/>
      <c r="H153" s="79"/>
      <c r="I153" s="79"/>
      <c r="J153" s="79"/>
      <c r="K153" s="79"/>
      <c r="L153" s="79"/>
      <c r="M153" s="79"/>
      <c r="N153" s="79"/>
      <c r="O153" s="79"/>
      <c r="P153" s="79"/>
      <c r="Q153" s="79"/>
      <c r="R153" s="79"/>
      <c r="S153" s="86"/>
      <c r="T153" s="86"/>
      <c r="U153" s="86"/>
      <c r="V153" s="86"/>
      <c r="W153" s="86"/>
      <c r="X153" s="86"/>
      <c r="Y153" s="86"/>
      <c r="Z153" s="86"/>
      <c r="AA153" s="86"/>
      <c r="AB153" s="86"/>
      <c r="AC153" s="86"/>
      <c r="AD153" s="86"/>
      <c r="AE153" s="64">
        <f t="shared" si="35"/>
        <v>0</v>
      </c>
    </row>
    <row r="154" spans="1:31" ht="18" customHeight="1" x14ac:dyDescent="0.25">
      <c r="A154" s="77" t="s">
        <v>279</v>
      </c>
      <c r="B154" s="85"/>
      <c r="C154" s="57"/>
      <c r="D154" s="58">
        <f>C154*$C$150*$C$149</f>
        <v>0</v>
      </c>
      <c r="E154" s="59"/>
      <c r="F154" s="79">
        <f>SUM(G154:AD154)</f>
        <v>0</v>
      </c>
      <c r="G154" s="79"/>
      <c r="H154" s="79"/>
      <c r="I154" s="79"/>
      <c r="J154" s="79"/>
      <c r="K154" s="79"/>
      <c r="L154" s="79"/>
      <c r="M154" s="79"/>
      <c r="N154" s="79"/>
      <c r="O154" s="79"/>
      <c r="P154" s="79"/>
      <c r="Q154" s="79"/>
      <c r="R154" s="79"/>
      <c r="S154" s="86"/>
      <c r="T154" s="86"/>
      <c r="U154" s="86"/>
      <c r="V154" s="86"/>
      <c r="W154" s="86"/>
      <c r="X154" s="86"/>
      <c r="Y154" s="86"/>
      <c r="Z154" s="86"/>
      <c r="AA154" s="86"/>
      <c r="AB154" s="86"/>
      <c r="AC154" s="86"/>
      <c r="AD154" s="86"/>
      <c r="AE154" s="64">
        <f t="shared" si="35"/>
        <v>0</v>
      </c>
    </row>
    <row r="155" spans="1:31" ht="18" customHeight="1" x14ac:dyDescent="0.25">
      <c r="A155" s="77" t="s">
        <v>280</v>
      </c>
      <c r="B155" s="85"/>
      <c r="C155" s="57"/>
      <c r="D155" s="58">
        <f>C155*$C$150*$C$149</f>
        <v>0</v>
      </c>
      <c r="E155" s="59"/>
      <c r="F155" s="79">
        <f>SUM(G155:AD155)</f>
        <v>0</v>
      </c>
      <c r="G155" s="79"/>
      <c r="H155" s="79"/>
      <c r="I155" s="79"/>
      <c r="J155" s="79"/>
      <c r="K155" s="79"/>
      <c r="L155" s="79"/>
      <c r="M155" s="79"/>
      <c r="N155" s="79"/>
      <c r="O155" s="79"/>
      <c r="P155" s="79"/>
      <c r="Q155" s="79"/>
      <c r="R155" s="79"/>
      <c r="S155" s="86"/>
      <c r="T155" s="86"/>
      <c r="U155" s="86"/>
      <c r="V155" s="86"/>
      <c r="W155" s="86"/>
      <c r="X155" s="86"/>
      <c r="Y155" s="86"/>
      <c r="Z155" s="86"/>
      <c r="AA155" s="86"/>
      <c r="AB155" s="86"/>
      <c r="AC155" s="86"/>
      <c r="AD155" s="86"/>
      <c r="AE155" s="64">
        <f t="shared" si="35"/>
        <v>0</v>
      </c>
    </row>
    <row r="156" spans="1:31" ht="18" customHeight="1" x14ac:dyDescent="0.25">
      <c r="A156" s="72" t="s">
        <v>281</v>
      </c>
      <c r="B156" s="83"/>
      <c r="C156" s="73"/>
      <c r="D156" s="74"/>
      <c r="E156" s="75"/>
      <c r="F156" s="76">
        <f t="shared" ref="F156:AD156" si="39">SUM(F157:F161)</f>
        <v>0</v>
      </c>
      <c r="G156" s="84">
        <f t="shared" si="39"/>
        <v>0</v>
      </c>
      <c r="H156" s="84">
        <f t="shared" si="39"/>
        <v>0</v>
      </c>
      <c r="I156" s="84">
        <f t="shared" si="39"/>
        <v>0</v>
      </c>
      <c r="J156" s="84">
        <f t="shared" si="39"/>
        <v>0</v>
      </c>
      <c r="K156" s="84">
        <f t="shared" si="39"/>
        <v>0</v>
      </c>
      <c r="L156" s="84">
        <f t="shared" si="39"/>
        <v>0</v>
      </c>
      <c r="M156" s="84">
        <f t="shared" si="39"/>
        <v>0</v>
      </c>
      <c r="N156" s="84">
        <f t="shared" si="39"/>
        <v>0</v>
      </c>
      <c r="O156" s="84">
        <f t="shared" si="39"/>
        <v>0</v>
      </c>
      <c r="P156" s="84">
        <f t="shared" si="39"/>
        <v>0</v>
      </c>
      <c r="Q156" s="84">
        <f t="shared" si="39"/>
        <v>0</v>
      </c>
      <c r="R156" s="84">
        <f t="shared" si="39"/>
        <v>0</v>
      </c>
      <c r="S156" s="84">
        <f t="shared" si="39"/>
        <v>0</v>
      </c>
      <c r="T156" s="84">
        <f t="shared" si="39"/>
        <v>0</v>
      </c>
      <c r="U156" s="84">
        <f t="shared" si="39"/>
        <v>0</v>
      </c>
      <c r="V156" s="84">
        <f t="shared" si="39"/>
        <v>0</v>
      </c>
      <c r="W156" s="84">
        <f t="shared" si="39"/>
        <v>0</v>
      </c>
      <c r="X156" s="84">
        <f t="shared" si="39"/>
        <v>0</v>
      </c>
      <c r="Y156" s="84">
        <f t="shared" si="39"/>
        <v>0</v>
      </c>
      <c r="Z156" s="84">
        <f t="shared" si="39"/>
        <v>0</v>
      </c>
      <c r="AA156" s="84">
        <f t="shared" si="39"/>
        <v>0</v>
      </c>
      <c r="AB156" s="84">
        <f t="shared" si="39"/>
        <v>0</v>
      </c>
      <c r="AC156" s="84">
        <f t="shared" si="39"/>
        <v>0</v>
      </c>
      <c r="AD156" s="84">
        <f t="shared" si="39"/>
        <v>0</v>
      </c>
      <c r="AE156" s="64">
        <f t="shared" si="35"/>
        <v>0</v>
      </c>
    </row>
    <row r="157" spans="1:31" ht="18" customHeight="1" x14ac:dyDescent="0.25">
      <c r="A157" s="77" t="s">
        <v>282</v>
      </c>
      <c r="B157" s="85"/>
      <c r="C157" s="57"/>
      <c r="D157" s="58">
        <f>C157*$C$156*$C$149</f>
        <v>0</v>
      </c>
      <c r="E157" s="59"/>
      <c r="F157" s="79">
        <f>SUM(G157:AD157)</f>
        <v>0</v>
      </c>
      <c r="G157" s="79"/>
      <c r="H157" s="79"/>
      <c r="I157" s="79"/>
      <c r="J157" s="79"/>
      <c r="K157" s="79"/>
      <c r="L157" s="79"/>
      <c r="M157" s="79"/>
      <c r="N157" s="79"/>
      <c r="O157" s="79"/>
      <c r="P157" s="79"/>
      <c r="Q157" s="79"/>
      <c r="R157" s="79"/>
      <c r="S157" s="86"/>
      <c r="T157" s="86"/>
      <c r="U157" s="86"/>
      <c r="V157" s="86"/>
      <c r="W157" s="86"/>
      <c r="X157" s="86"/>
      <c r="Y157" s="86"/>
      <c r="Z157" s="86"/>
      <c r="AA157" s="86"/>
      <c r="AB157" s="86"/>
      <c r="AC157" s="86"/>
      <c r="AD157" s="86"/>
      <c r="AE157" s="64">
        <f t="shared" si="35"/>
        <v>0</v>
      </c>
    </row>
    <row r="158" spans="1:31" ht="18" customHeight="1" x14ac:dyDescent="0.25">
      <c r="A158" s="77" t="s">
        <v>283</v>
      </c>
      <c r="B158" s="85"/>
      <c r="C158" s="57"/>
      <c r="D158" s="58">
        <f>C158*$C$156*$C$149</f>
        <v>0</v>
      </c>
      <c r="E158" s="59"/>
      <c r="F158" s="79">
        <f>SUM(G158:AD158)</f>
        <v>0</v>
      </c>
      <c r="G158" s="79"/>
      <c r="H158" s="79"/>
      <c r="I158" s="79"/>
      <c r="J158" s="79"/>
      <c r="K158" s="79"/>
      <c r="L158" s="79"/>
      <c r="M158" s="79"/>
      <c r="N158" s="79"/>
      <c r="O158" s="79"/>
      <c r="P158" s="79"/>
      <c r="Q158" s="79"/>
      <c r="R158" s="79"/>
      <c r="S158" s="86"/>
      <c r="T158" s="86"/>
      <c r="U158" s="86"/>
      <c r="V158" s="86"/>
      <c r="W158" s="86"/>
      <c r="X158" s="86"/>
      <c r="Y158" s="86"/>
      <c r="Z158" s="86"/>
      <c r="AA158" s="86"/>
      <c r="AB158" s="86"/>
      <c r="AC158" s="86"/>
      <c r="AD158" s="86"/>
      <c r="AE158" s="64">
        <f t="shared" si="35"/>
        <v>0</v>
      </c>
    </row>
    <row r="159" spans="1:31" ht="18" customHeight="1" x14ac:dyDescent="0.25">
      <c r="A159" s="77" t="s">
        <v>284</v>
      </c>
      <c r="B159" s="85"/>
      <c r="C159" s="57"/>
      <c r="D159" s="58">
        <f>C159*$C$156*$C$149</f>
        <v>0</v>
      </c>
      <c r="E159" s="59"/>
      <c r="F159" s="79">
        <f>SUM(G159:AD159)</f>
        <v>0</v>
      </c>
      <c r="G159" s="79"/>
      <c r="H159" s="79"/>
      <c r="I159" s="79"/>
      <c r="J159" s="79"/>
      <c r="K159" s="79"/>
      <c r="L159" s="79"/>
      <c r="M159" s="79"/>
      <c r="N159" s="79"/>
      <c r="O159" s="79"/>
      <c r="P159" s="79"/>
      <c r="Q159" s="79"/>
      <c r="R159" s="79"/>
      <c r="S159" s="86"/>
      <c r="T159" s="86"/>
      <c r="U159" s="86"/>
      <c r="V159" s="86"/>
      <c r="W159" s="86"/>
      <c r="X159" s="86"/>
      <c r="Y159" s="86"/>
      <c r="Z159" s="86"/>
      <c r="AA159" s="86"/>
      <c r="AB159" s="86"/>
      <c r="AC159" s="86"/>
      <c r="AD159" s="86"/>
      <c r="AE159" s="64">
        <f t="shared" si="35"/>
        <v>0</v>
      </c>
    </row>
    <row r="160" spans="1:31" ht="18" customHeight="1" x14ac:dyDescent="0.25">
      <c r="A160" s="77" t="s">
        <v>285</v>
      </c>
      <c r="B160" s="85"/>
      <c r="C160" s="57"/>
      <c r="D160" s="58">
        <f>C160*$C$156*$C$149</f>
        <v>0</v>
      </c>
      <c r="E160" s="59"/>
      <c r="F160" s="79">
        <f>SUM(G160:AD160)</f>
        <v>0</v>
      </c>
      <c r="G160" s="79"/>
      <c r="H160" s="79"/>
      <c r="I160" s="79"/>
      <c r="J160" s="79"/>
      <c r="K160" s="79"/>
      <c r="L160" s="79"/>
      <c r="M160" s="79"/>
      <c r="N160" s="79"/>
      <c r="O160" s="79"/>
      <c r="P160" s="79"/>
      <c r="Q160" s="79"/>
      <c r="R160" s="79"/>
      <c r="S160" s="86"/>
      <c r="T160" s="86"/>
      <c r="U160" s="86"/>
      <c r="V160" s="86"/>
      <c r="W160" s="86"/>
      <c r="X160" s="86"/>
      <c r="Y160" s="86"/>
      <c r="Z160" s="86"/>
      <c r="AA160" s="86"/>
      <c r="AB160" s="86"/>
      <c r="AC160" s="86"/>
      <c r="AD160" s="86"/>
      <c r="AE160" s="64">
        <f t="shared" si="35"/>
        <v>0</v>
      </c>
    </row>
    <row r="161" spans="1:31" ht="18" customHeight="1" x14ac:dyDescent="0.25">
      <c r="A161" s="77" t="s">
        <v>286</v>
      </c>
      <c r="B161" s="85"/>
      <c r="C161" s="57"/>
      <c r="D161" s="58">
        <f>C161*$C$156*$C$149</f>
        <v>0</v>
      </c>
      <c r="E161" s="59"/>
      <c r="F161" s="79">
        <f>SUM(G161:AD161)</f>
        <v>0</v>
      </c>
      <c r="G161" s="79"/>
      <c r="H161" s="79"/>
      <c r="I161" s="79"/>
      <c r="J161" s="79"/>
      <c r="K161" s="79"/>
      <c r="L161" s="79"/>
      <c r="M161" s="79"/>
      <c r="N161" s="79"/>
      <c r="O161" s="79"/>
      <c r="P161" s="79"/>
      <c r="Q161" s="79"/>
      <c r="R161" s="79"/>
      <c r="S161" s="86"/>
      <c r="T161" s="86"/>
      <c r="U161" s="86"/>
      <c r="V161" s="86"/>
      <c r="W161" s="86"/>
      <c r="X161" s="86"/>
      <c r="Y161" s="86"/>
      <c r="Z161" s="86"/>
      <c r="AA161" s="86"/>
      <c r="AB161" s="86"/>
      <c r="AC161" s="86"/>
      <c r="AD161" s="86"/>
      <c r="AE161" s="64">
        <f t="shared" si="35"/>
        <v>0</v>
      </c>
    </row>
    <row r="162" spans="1:31" ht="18" customHeight="1" x14ac:dyDescent="0.25">
      <c r="A162" s="72" t="s">
        <v>287</v>
      </c>
      <c r="B162" s="83"/>
      <c r="C162" s="73"/>
      <c r="D162" s="74"/>
      <c r="E162" s="75"/>
      <c r="F162" s="76">
        <f t="shared" ref="F162:AD162" si="40">SUM(F163:F167)</f>
        <v>0</v>
      </c>
      <c r="G162" s="84">
        <f t="shared" si="40"/>
        <v>0</v>
      </c>
      <c r="H162" s="84">
        <f t="shared" si="40"/>
        <v>0</v>
      </c>
      <c r="I162" s="84">
        <f t="shared" si="40"/>
        <v>0</v>
      </c>
      <c r="J162" s="84">
        <f t="shared" si="40"/>
        <v>0</v>
      </c>
      <c r="K162" s="84">
        <f t="shared" si="40"/>
        <v>0</v>
      </c>
      <c r="L162" s="84">
        <f t="shared" si="40"/>
        <v>0</v>
      </c>
      <c r="M162" s="84">
        <f t="shared" si="40"/>
        <v>0</v>
      </c>
      <c r="N162" s="84">
        <f t="shared" si="40"/>
        <v>0</v>
      </c>
      <c r="O162" s="84">
        <f t="shared" si="40"/>
        <v>0</v>
      </c>
      <c r="P162" s="84">
        <f t="shared" si="40"/>
        <v>0</v>
      </c>
      <c r="Q162" s="84">
        <f t="shared" si="40"/>
        <v>0</v>
      </c>
      <c r="R162" s="84">
        <f t="shared" si="40"/>
        <v>0</v>
      </c>
      <c r="S162" s="84">
        <f t="shared" si="40"/>
        <v>0</v>
      </c>
      <c r="T162" s="84">
        <f t="shared" si="40"/>
        <v>0</v>
      </c>
      <c r="U162" s="84">
        <f t="shared" si="40"/>
        <v>0</v>
      </c>
      <c r="V162" s="84">
        <f t="shared" si="40"/>
        <v>0</v>
      </c>
      <c r="W162" s="84">
        <f t="shared" si="40"/>
        <v>0</v>
      </c>
      <c r="X162" s="84">
        <f t="shared" si="40"/>
        <v>0</v>
      </c>
      <c r="Y162" s="84">
        <f t="shared" si="40"/>
        <v>0</v>
      </c>
      <c r="Z162" s="84">
        <f t="shared" si="40"/>
        <v>0</v>
      </c>
      <c r="AA162" s="84">
        <f t="shared" si="40"/>
        <v>0</v>
      </c>
      <c r="AB162" s="84">
        <f t="shared" si="40"/>
        <v>0</v>
      </c>
      <c r="AC162" s="84">
        <f t="shared" si="40"/>
        <v>0</v>
      </c>
      <c r="AD162" s="84">
        <f t="shared" si="40"/>
        <v>0</v>
      </c>
      <c r="AE162" s="64">
        <f t="shared" si="35"/>
        <v>0</v>
      </c>
    </row>
    <row r="163" spans="1:31" ht="18" customHeight="1" x14ac:dyDescent="0.25">
      <c r="A163" s="77" t="s">
        <v>288</v>
      </c>
      <c r="B163" s="85"/>
      <c r="C163" s="57"/>
      <c r="D163" s="58">
        <f>C163*$C$162*$C$149</f>
        <v>0</v>
      </c>
      <c r="E163" s="59"/>
      <c r="F163" s="79">
        <f>SUM(G163:AD163)</f>
        <v>0</v>
      </c>
      <c r="G163" s="79"/>
      <c r="H163" s="79"/>
      <c r="I163" s="79"/>
      <c r="J163" s="79"/>
      <c r="K163" s="79"/>
      <c r="L163" s="79"/>
      <c r="M163" s="79"/>
      <c r="N163" s="79"/>
      <c r="O163" s="79"/>
      <c r="P163" s="79"/>
      <c r="Q163" s="79"/>
      <c r="R163" s="79"/>
      <c r="S163" s="86"/>
      <c r="T163" s="86"/>
      <c r="U163" s="86"/>
      <c r="V163" s="86"/>
      <c r="W163" s="86"/>
      <c r="X163" s="86"/>
      <c r="Y163" s="86"/>
      <c r="Z163" s="86"/>
      <c r="AA163" s="86"/>
      <c r="AB163" s="86"/>
      <c r="AC163" s="86"/>
      <c r="AD163" s="86"/>
      <c r="AE163" s="64">
        <f t="shared" si="35"/>
        <v>0</v>
      </c>
    </row>
    <row r="164" spans="1:31" ht="18" customHeight="1" x14ac:dyDescent="0.25">
      <c r="A164" s="77" t="s">
        <v>289</v>
      </c>
      <c r="B164" s="85"/>
      <c r="C164" s="57"/>
      <c r="D164" s="58">
        <f>C164*$C$162*$C$149</f>
        <v>0</v>
      </c>
      <c r="E164" s="59"/>
      <c r="F164" s="79">
        <f>SUM(G164:AD164)</f>
        <v>0</v>
      </c>
      <c r="G164" s="79"/>
      <c r="H164" s="79"/>
      <c r="I164" s="79"/>
      <c r="J164" s="79"/>
      <c r="K164" s="79"/>
      <c r="L164" s="79"/>
      <c r="M164" s="79"/>
      <c r="N164" s="79"/>
      <c r="O164" s="79"/>
      <c r="P164" s="79"/>
      <c r="Q164" s="79"/>
      <c r="R164" s="79"/>
      <c r="S164" s="86"/>
      <c r="T164" s="86"/>
      <c r="U164" s="86"/>
      <c r="V164" s="86"/>
      <c r="W164" s="86"/>
      <c r="X164" s="86"/>
      <c r="Y164" s="86"/>
      <c r="Z164" s="86"/>
      <c r="AA164" s="86"/>
      <c r="AB164" s="86"/>
      <c r="AC164" s="86"/>
      <c r="AD164" s="86"/>
      <c r="AE164" s="64">
        <f t="shared" si="35"/>
        <v>0</v>
      </c>
    </row>
    <row r="165" spans="1:31" ht="18" customHeight="1" x14ac:dyDescent="0.25">
      <c r="A165" s="77" t="s">
        <v>290</v>
      </c>
      <c r="B165" s="85"/>
      <c r="C165" s="57"/>
      <c r="D165" s="58">
        <f>C165*$C$162*$C$149</f>
        <v>0</v>
      </c>
      <c r="E165" s="59"/>
      <c r="F165" s="79">
        <f>SUM(G165:AD165)</f>
        <v>0</v>
      </c>
      <c r="G165" s="79"/>
      <c r="H165" s="79"/>
      <c r="I165" s="79"/>
      <c r="J165" s="79"/>
      <c r="K165" s="79"/>
      <c r="L165" s="79"/>
      <c r="M165" s="79"/>
      <c r="N165" s="79"/>
      <c r="O165" s="79"/>
      <c r="P165" s="79"/>
      <c r="Q165" s="79"/>
      <c r="R165" s="79"/>
      <c r="S165" s="86"/>
      <c r="T165" s="86"/>
      <c r="U165" s="86"/>
      <c r="V165" s="86"/>
      <c r="W165" s="86"/>
      <c r="X165" s="86"/>
      <c r="Y165" s="86"/>
      <c r="Z165" s="86"/>
      <c r="AA165" s="86"/>
      <c r="AB165" s="86"/>
      <c r="AC165" s="86"/>
      <c r="AD165" s="86"/>
      <c r="AE165" s="64">
        <f t="shared" si="35"/>
        <v>0</v>
      </c>
    </row>
    <row r="166" spans="1:31" ht="18" customHeight="1" x14ac:dyDescent="0.25">
      <c r="A166" s="77" t="s">
        <v>291</v>
      </c>
      <c r="B166" s="85"/>
      <c r="C166" s="57"/>
      <c r="D166" s="58">
        <f>C166*$C$162*$C$149</f>
        <v>0</v>
      </c>
      <c r="E166" s="59"/>
      <c r="F166" s="79">
        <f>SUM(G166:AD166)</f>
        <v>0</v>
      </c>
      <c r="G166" s="79"/>
      <c r="H166" s="79"/>
      <c r="I166" s="79"/>
      <c r="J166" s="79"/>
      <c r="K166" s="79"/>
      <c r="L166" s="79"/>
      <c r="M166" s="79"/>
      <c r="N166" s="79"/>
      <c r="O166" s="79"/>
      <c r="P166" s="79"/>
      <c r="Q166" s="79"/>
      <c r="R166" s="79"/>
      <c r="S166" s="86"/>
      <c r="T166" s="86"/>
      <c r="U166" s="86"/>
      <c r="V166" s="86"/>
      <c r="W166" s="86"/>
      <c r="X166" s="86"/>
      <c r="Y166" s="86"/>
      <c r="Z166" s="86"/>
      <c r="AA166" s="86"/>
      <c r="AB166" s="86"/>
      <c r="AC166" s="86"/>
      <c r="AD166" s="86"/>
      <c r="AE166" s="64">
        <f t="shared" si="35"/>
        <v>0</v>
      </c>
    </row>
    <row r="167" spans="1:31" ht="18" customHeight="1" x14ac:dyDescent="0.25">
      <c r="A167" s="77" t="s">
        <v>292</v>
      </c>
      <c r="B167" s="85"/>
      <c r="C167" s="57"/>
      <c r="D167" s="58">
        <f>C167*$C$162*$C$149</f>
        <v>0</v>
      </c>
      <c r="E167" s="59"/>
      <c r="F167" s="79">
        <f>SUM(G167:AD167)</f>
        <v>0</v>
      </c>
      <c r="G167" s="79"/>
      <c r="H167" s="79"/>
      <c r="I167" s="79"/>
      <c r="J167" s="79"/>
      <c r="K167" s="79"/>
      <c r="L167" s="79"/>
      <c r="M167" s="79"/>
      <c r="N167" s="79"/>
      <c r="O167" s="79"/>
      <c r="P167" s="79"/>
      <c r="Q167" s="79"/>
      <c r="R167" s="79"/>
      <c r="S167" s="86"/>
      <c r="T167" s="86"/>
      <c r="U167" s="86"/>
      <c r="V167" s="86"/>
      <c r="W167" s="86"/>
      <c r="X167" s="86"/>
      <c r="Y167" s="86"/>
      <c r="Z167" s="86"/>
      <c r="AA167" s="86"/>
      <c r="AB167" s="86"/>
      <c r="AC167" s="86"/>
      <c r="AD167" s="86"/>
      <c r="AE167" s="64">
        <f t="shared" si="35"/>
        <v>0</v>
      </c>
    </row>
    <row r="168" spans="1:31" ht="18" customHeight="1" x14ac:dyDescent="0.25">
      <c r="A168" s="72" t="s">
        <v>293</v>
      </c>
      <c r="B168" s="83"/>
      <c r="C168" s="73"/>
      <c r="D168" s="74"/>
      <c r="E168" s="75"/>
      <c r="F168" s="76">
        <f t="shared" ref="F168:AD168" si="41">SUM(F169:F173)</f>
        <v>0</v>
      </c>
      <c r="G168" s="84">
        <f t="shared" si="41"/>
        <v>0</v>
      </c>
      <c r="H168" s="84">
        <f t="shared" si="41"/>
        <v>0</v>
      </c>
      <c r="I168" s="84">
        <f t="shared" si="41"/>
        <v>0</v>
      </c>
      <c r="J168" s="84">
        <f t="shared" si="41"/>
        <v>0</v>
      </c>
      <c r="K168" s="84">
        <f t="shared" si="41"/>
        <v>0</v>
      </c>
      <c r="L168" s="84">
        <f t="shared" si="41"/>
        <v>0</v>
      </c>
      <c r="M168" s="84">
        <f t="shared" si="41"/>
        <v>0</v>
      </c>
      <c r="N168" s="84">
        <f t="shared" si="41"/>
        <v>0</v>
      </c>
      <c r="O168" s="84">
        <f t="shared" si="41"/>
        <v>0</v>
      </c>
      <c r="P168" s="84">
        <f t="shared" si="41"/>
        <v>0</v>
      </c>
      <c r="Q168" s="84">
        <f t="shared" si="41"/>
        <v>0</v>
      </c>
      <c r="R168" s="84">
        <f t="shared" si="41"/>
        <v>0</v>
      </c>
      <c r="S168" s="84">
        <f t="shared" si="41"/>
        <v>0</v>
      </c>
      <c r="T168" s="84">
        <f t="shared" si="41"/>
        <v>0</v>
      </c>
      <c r="U168" s="84">
        <f t="shared" si="41"/>
        <v>0</v>
      </c>
      <c r="V168" s="84">
        <f t="shared" si="41"/>
        <v>0</v>
      </c>
      <c r="W168" s="84">
        <f t="shared" si="41"/>
        <v>0</v>
      </c>
      <c r="X168" s="84">
        <f t="shared" si="41"/>
        <v>0</v>
      </c>
      <c r="Y168" s="84">
        <f t="shared" si="41"/>
        <v>0</v>
      </c>
      <c r="Z168" s="84">
        <f t="shared" si="41"/>
        <v>0</v>
      </c>
      <c r="AA168" s="84">
        <f t="shared" si="41"/>
        <v>0</v>
      </c>
      <c r="AB168" s="84">
        <f t="shared" si="41"/>
        <v>0</v>
      </c>
      <c r="AC168" s="84">
        <f t="shared" si="41"/>
        <v>0</v>
      </c>
      <c r="AD168" s="84">
        <f t="shared" si="41"/>
        <v>0</v>
      </c>
      <c r="AE168" s="64">
        <f t="shared" si="35"/>
        <v>0</v>
      </c>
    </row>
    <row r="169" spans="1:31" ht="18" customHeight="1" x14ac:dyDescent="0.25">
      <c r="A169" s="77" t="s">
        <v>294</v>
      </c>
      <c r="B169" s="85"/>
      <c r="C169" s="57"/>
      <c r="D169" s="58">
        <f>C169*$C$168*$C$149</f>
        <v>0</v>
      </c>
      <c r="E169" s="59"/>
      <c r="F169" s="79">
        <f>SUM(G169:AD169)</f>
        <v>0</v>
      </c>
      <c r="G169" s="79"/>
      <c r="H169" s="79"/>
      <c r="I169" s="79"/>
      <c r="J169" s="79"/>
      <c r="K169" s="79"/>
      <c r="L169" s="79"/>
      <c r="M169" s="79"/>
      <c r="N169" s="79"/>
      <c r="O169" s="79"/>
      <c r="P169" s="79"/>
      <c r="Q169" s="79"/>
      <c r="R169" s="79"/>
      <c r="S169" s="86"/>
      <c r="T169" s="86"/>
      <c r="U169" s="86"/>
      <c r="V169" s="86"/>
      <c r="W169" s="86"/>
      <c r="X169" s="86"/>
      <c r="Y169" s="86"/>
      <c r="Z169" s="86"/>
      <c r="AA169" s="86"/>
      <c r="AB169" s="86"/>
      <c r="AC169" s="86"/>
      <c r="AD169" s="86"/>
      <c r="AE169" s="64">
        <f t="shared" si="35"/>
        <v>0</v>
      </c>
    </row>
    <row r="170" spans="1:31" ht="18" customHeight="1" x14ac:dyDescent="0.25">
      <c r="A170" s="77" t="s">
        <v>295</v>
      </c>
      <c r="B170" s="85"/>
      <c r="C170" s="57"/>
      <c r="D170" s="58">
        <f>C170*$C$168*$C$149</f>
        <v>0</v>
      </c>
      <c r="E170" s="59"/>
      <c r="F170" s="79">
        <f>SUM(G170:AD170)</f>
        <v>0</v>
      </c>
      <c r="G170" s="79"/>
      <c r="H170" s="79"/>
      <c r="I170" s="79"/>
      <c r="J170" s="79"/>
      <c r="K170" s="79"/>
      <c r="L170" s="79"/>
      <c r="M170" s="79"/>
      <c r="N170" s="79"/>
      <c r="O170" s="79"/>
      <c r="P170" s="79"/>
      <c r="Q170" s="79"/>
      <c r="R170" s="79"/>
      <c r="S170" s="86"/>
      <c r="T170" s="86"/>
      <c r="U170" s="86"/>
      <c r="V170" s="86"/>
      <c r="W170" s="86"/>
      <c r="X170" s="86"/>
      <c r="Y170" s="86"/>
      <c r="Z170" s="86"/>
      <c r="AA170" s="86"/>
      <c r="AB170" s="86"/>
      <c r="AC170" s="86"/>
      <c r="AD170" s="86"/>
      <c r="AE170" s="64">
        <f t="shared" si="35"/>
        <v>0</v>
      </c>
    </row>
    <row r="171" spans="1:31" ht="18" customHeight="1" x14ac:dyDescent="0.25">
      <c r="A171" s="77" t="s">
        <v>296</v>
      </c>
      <c r="B171" s="85"/>
      <c r="C171" s="57"/>
      <c r="D171" s="58">
        <f>C171*$C$168*$C$149</f>
        <v>0</v>
      </c>
      <c r="E171" s="59"/>
      <c r="F171" s="79">
        <f>SUM(G171:AD171)</f>
        <v>0</v>
      </c>
      <c r="G171" s="79"/>
      <c r="H171" s="79"/>
      <c r="I171" s="79"/>
      <c r="J171" s="79"/>
      <c r="K171" s="79"/>
      <c r="L171" s="79"/>
      <c r="M171" s="79"/>
      <c r="N171" s="79"/>
      <c r="O171" s="79"/>
      <c r="P171" s="79"/>
      <c r="Q171" s="79"/>
      <c r="R171" s="79"/>
      <c r="S171" s="86"/>
      <c r="T171" s="86"/>
      <c r="U171" s="86"/>
      <c r="V171" s="86"/>
      <c r="W171" s="86"/>
      <c r="X171" s="86"/>
      <c r="Y171" s="86"/>
      <c r="Z171" s="86"/>
      <c r="AA171" s="86"/>
      <c r="AB171" s="86"/>
      <c r="AC171" s="86"/>
      <c r="AD171" s="86"/>
      <c r="AE171" s="64">
        <f t="shared" si="35"/>
        <v>0</v>
      </c>
    </row>
    <row r="172" spans="1:31" ht="18" customHeight="1" x14ac:dyDescent="0.25">
      <c r="A172" s="77" t="s">
        <v>297</v>
      </c>
      <c r="B172" s="85"/>
      <c r="C172" s="57"/>
      <c r="D172" s="58">
        <f>C172*$C$168*$C$149</f>
        <v>0</v>
      </c>
      <c r="E172" s="59"/>
      <c r="F172" s="79">
        <f>SUM(G172:AD172)</f>
        <v>0</v>
      </c>
      <c r="G172" s="79"/>
      <c r="H172" s="79"/>
      <c r="I172" s="79"/>
      <c r="J172" s="79"/>
      <c r="K172" s="79"/>
      <c r="L172" s="79"/>
      <c r="M172" s="79"/>
      <c r="N172" s="79"/>
      <c r="O172" s="79"/>
      <c r="P172" s="79"/>
      <c r="Q172" s="79"/>
      <c r="R172" s="79"/>
      <c r="S172" s="86"/>
      <c r="T172" s="86"/>
      <c r="U172" s="86"/>
      <c r="V172" s="86"/>
      <c r="W172" s="86"/>
      <c r="X172" s="86"/>
      <c r="Y172" s="86"/>
      <c r="Z172" s="86"/>
      <c r="AA172" s="86"/>
      <c r="AB172" s="86"/>
      <c r="AC172" s="86"/>
      <c r="AD172" s="86"/>
      <c r="AE172" s="64">
        <f t="shared" si="35"/>
        <v>0</v>
      </c>
    </row>
    <row r="173" spans="1:31" ht="18" customHeight="1" x14ac:dyDescent="0.25">
      <c r="A173" s="77" t="s">
        <v>298</v>
      </c>
      <c r="B173" s="85"/>
      <c r="C173" s="57"/>
      <c r="D173" s="58">
        <f>C173*$C$168*$C$149</f>
        <v>0</v>
      </c>
      <c r="E173" s="59"/>
      <c r="F173" s="79">
        <f>SUM(G173:AD173)</f>
        <v>0</v>
      </c>
      <c r="G173" s="79"/>
      <c r="H173" s="79"/>
      <c r="I173" s="79"/>
      <c r="J173" s="79"/>
      <c r="K173" s="79"/>
      <c r="L173" s="79"/>
      <c r="M173" s="79"/>
      <c r="N173" s="79"/>
      <c r="O173" s="79"/>
      <c r="P173" s="79"/>
      <c r="Q173" s="79"/>
      <c r="R173" s="79"/>
      <c r="S173" s="86"/>
      <c r="T173" s="86"/>
      <c r="U173" s="86"/>
      <c r="V173" s="86"/>
      <c r="W173" s="86"/>
      <c r="X173" s="86"/>
      <c r="Y173" s="86"/>
      <c r="Z173" s="86"/>
      <c r="AA173" s="86"/>
      <c r="AB173" s="86"/>
      <c r="AC173" s="86"/>
      <c r="AD173" s="86"/>
      <c r="AE173" s="64">
        <f t="shared" si="35"/>
        <v>0</v>
      </c>
    </row>
    <row r="174" spans="1:31" ht="18" customHeight="1" x14ac:dyDescent="0.25">
      <c r="A174" s="72" t="s">
        <v>299</v>
      </c>
      <c r="B174" s="83"/>
      <c r="C174" s="73"/>
      <c r="D174" s="74"/>
      <c r="E174" s="75"/>
      <c r="F174" s="76">
        <f t="shared" ref="F174:AD174" si="42">SUM(F175:F179)</f>
        <v>0</v>
      </c>
      <c r="G174" s="84">
        <f t="shared" si="42"/>
        <v>0</v>
      </c>
      <c r="H174" s="84">
        <f t="shared" si="42"/>
        <v>0</v>
      </c>
      <c r="I174" s="84">
        <f t="shared" si="42"/>
        <v>0</v>
      </c>
      <c r="J174" s="84">
        <f t="shared" si="42"/>
        <v>0</v>
      </c>
      <c r="K174" s="84">
        <f t="shared" si="42"/>
        <v>0</v>
      </c>
      <c r="L174" s="84">
        <f t="shared" si="42"/>
        <v>0</v>
      </c>
      <c r="M174" s="84">
        <f t="shared" si="42"/>
        <v>0</v>
      </c>
      <c r="N174" s="84">
        <f t="shared" si="42"/>
        <v>0</v>
      </c>
      <c r="O174" s="84">
        <f t="shared" si="42"/>
        <v>0</v>
      </c>
      <c r="P174" s="84">
        <f t="shared" si="42"/>
        <v>0</v>
      </c>
      <c r="Q174" s="84">
        <f t="shared" si="42"/>
        <v>0</v>
      </c>
      <c r="R174" s="84">
        <f t="shared" si="42"/>
        <v>0</v>
      </c>
      <c r="S174" s="84">
        <f t="shared" si="42"/>
        <v>0</v>
      </c>
      <c r="T174" s="84">
        <f t="shared" si="42"/>
        <v>0</v>
      </c>
      <c r="U174" s="84">
        <f t="shared" si="42"/>
        <v>0</v>
      </c>
      <c r="V174" s="84">
        <f t="shared" si="42"/>
        <v>0</v>
      </c>
      <c r="W174" s="84">
        <f t="shared" si="42"/>
        <v>0</v>
      </c>
      <c r="X174" s="84">
        <f t="shared" si="42"/>
        <v>0</v>
      </c>
      <c r="Y174" s="84">
        <f t="shared" si="42"/>
        <v>0</v>
      </c>
      <c r="Z174" s="84">
        <f t="shared" si="42"/>
        <v>0</v>
      </c>
      <c r="AA174" s="84">
        <f t="shared" si="42"/>
        <v>0</v>
      </c>
      <c r="AB174" s="84">
        <f t="shared" si="42"/>
        <v>0</v>
      </c>
      <c r="AC174" s="84">
        <f t="shared" si="42"/>
        <v>0</v>
      </c>
      <c r="AD174" s="84">
        <f t="shared" si="42"/>
        <v>0</v>
      </c>
      <c r="AE174" s="64">
        <f t="shared" si="35"/>
        <v>0</v>
      </c>
    </row>
    <row r="175" spans="1:31" ht="18" customHeight="1" x14ac:dyDescent="0.25">
      <c r="A175" s="77" t="s">
        <v>300</v>
      </c>
      <c r="B175" s="85"/>
      <c r="C175" s="57"/>
      <c r="D175" s="58">
        <f>C175*$C$174*$C$149</f>
        <v>0</v>
      </c>
      <c r="E175" s="59"/>
      <c r="F175" s="79">
        <f>SUM(G175:AD175)</f>
        <v>0</v>
      </c>
      <c r="G175" s="79"/>
      <c r="H175" s="79"/>
      <c r="I175" s="79"/>
      <c r="J175" s="79"/>
      <c r="K175" s="79"/>
      <c r="L175" s="79"/>
      <c r="M175" s="79"/>
      <c r="N175" s="79"/>
      <c r="O175" s="79"/>
      <c r="P175" s="79"/>
      <c r="Q175" s="79"/>
      <c r="R175" s="79"/>
      <c r="S175" s="86"/>
      <c r="T175" s="86"/>
      <c r="U175" s="86"/>
      <c r="V175" s="86"/>
      <c r="W175" s="86"/>
      <c r="X175" s="86"/>
      <c r="Y175" s="86"/>
      <c r="Z175" s="86"/>
      <c r="AA175" s="86"/>
      <c r="AB175" s="86"/>
      <c r="AC175" s="86"/>
      <c r="AD175" s="86"/>
      <c r="AE175" s="64">
        <f t="shared" ref="AE175:AE206" si="43">F175-SUM(G175:AD175)</f>
        <v>0</v>
      </c>
    </row>
    <row r="176" spans="1:31" ht="18" customHeight="1" x14ac:dyDescent="0.25">
      <c r="A176" s="77" t="s">
        <v>301</v>
      </c>
      <c r="B176" s="85"/>
      <c r="C176" s="57"/>
      <c r="D176" s="58">
        <f>C176*$C$174*$C$149</f>
        <v>0</v>
      </c>
      <c r="E176" s="59"/>
      <c r="F176" s="79">
        <f>SUM(G176:AD176)</f>
        <v>0</v>
      </c>
      <c r="G176" s="79"/>
      <c r="H176" s="79"/>
      <c r="I176" s="79"/>
      <c r="J176" s="79"/>
      <c r="K176" s="79"/>
      <c r="L176" s="79"/>
      <c r="M176" s="79"/>
      <c r="N176" s="79"/>
      <c r="O176" s="79"/>
      <c r="P176" s="79"/>
      <c r="Q176" s="79"/>
      <c r="R176" s="79"/>
      <c r="S176" s="86"/>
      <c r="T176" s="86"/>
      <c r="U176" s="86"/>
      <c r="V176" s="86"/>
      <c r="W176" s="86"/>
      <c r="X176" s="86"/>
      <c r="Y176" s="86"/>
      <c r="Z176" s="86"/>
      <c r="AA176" s="86"/>
      <c r="AB176" s="86"/>
      <c r="AC176" s="86"/>
      <c r="AD176" s="86"/>
      <c r="AE176" s="64">
        <f t="shared" si="43"/>
        <v>0</v>
      </c>
    </row>
    <row r="177" spans="1:31" ht="18" customHeight="1" x14ac:dyDescent="0.25">
      <c r="A177" s="77" t="s">
        <v>302</v>
      </c>
      <c r="B177" s="85"/>
      <c r="C177" s="57"/>
      <c r="D177" s="58">
        <f>C177*$C$174*$C$149</f>
        <v>0</v>
      </c>
      <c r="E177" s="59"/>
      <c r="F177" s="79">
        <f>SUM(G177:AD177)</f>
        <v>0</v>
      </c>
      <c r="G177" s="79"/>
      <c r="H177" s="79"/>
      <c r="I177" s="79"/>
      <c r="J177" s="79"/>
      <c r="K177" s="79"/>
      <c r="L177" s="79"/>
      <c r="M177" s="79"/>
      <c r="N177" s="79"/>
      <c r="O177" s="79"/>
      <c r="P177" s="79"/>
      <c r="Q177" s="79"/>
      <c r="R177" s="79"/>
      <c r="S177" s="86"/>
      <c r="T177" s="86"/>
      <c r="U177" s="86"/>
      <c r="V177" s="86"/>
      <c r="W177" s="86"/>
      <c r="X177" s="86"/>
      <c r="Y177" s="86"/>
      <c r="Z177" s="86"/>
      <c r="AA177" s="86"/>
      <c r="AB177" s="86"/>
      <c r="AC177" s="86"/>
      <c r="AD177" s="86"/>
      <c r="AE177" s="64">
        <f t="shared" si="43"/>
        <v>0</v>
      </c>
    </row>
    <row r="178" spans="1:31" ht="18" customHeight="1" x14ac:dyDescent="0.25">
      <c r="A178" s="77" t="s">
        <v>303</v>
      </c>
      <c r="B178" s="85"/>
      <c r="C178" s="57"/>
      <c r="D178" s="58">
        <f>C178*$C$174*$C$149</f>
        <v>0</v>
      </c>
      <c r="E178" s="59"/>
      <c r="F178" s="79">
        <f>SUM(G178:AD178)</f>
        <v>0</v>
      </c>
      <c r="G178" s="79"/>
      <c r="H178" s="79"/>
      <c r="I178" s="79"/>
      <c r="J178" s="79"/>
      <c r="K178" s="79"/>
      <c r="L178" s="79"/>
      <c r="M178" s="79"/>
      <c r="N178" s="79"/>
      <c r="O178" s="79"/>
      <c r="P178" s="79"/>
      <c r="Q178" s="79"/>
      <c r="R178" s="79"/>
      <c r="S178" s="86"/>
      <c r="T178" s="86"/>
      <c r="U178" s="86"/>
      <c r="V178" s="86"/>
      <c r="W178" s="86"/>
      <c r="X178" s="86"/>
      <c r="Y178" s="86"/>
      <c r="Z178" s="86"/>
      <c r="AA178" s="86"/>
      <c r="AB178" s="86"/>
      <c r="AC178" s="86"/>
      <c r="AD178" s="86"/>
      <c r="AE178" s="64">
        <f t="shared" si="43"/>
        <v>0</v>
      </c>
    </row>
    <row r="179" spans="1:31" ht="18" customHeight="1" x14ac:dyDescent="0.25">
      <c r="A179" s="77" t="s">
        <v>304</v>
      </c>
      <c r="B179" s="85"/>
      <c r="C179" s="57"/>
      <c r="D179" s="58">
        <f>C179*$C$174*$C$149</f>
        <v>0</v>
      </c>
      <c r="E179" s="59"/>
      <c r="F179" s="79">
        <f>SUM(G179:AD179)</f>
        <v>0</v>
      </c>
      <c r="G179" s="79"/>
      <c r="H179" s="79"/>
      <c r="I179" s="79"/>
      <c r="J179" s="79"/>
      <c r="K179" s="79"/>
      <c r="L179" s="79"/>
      <c r="M179" s="79"/>
      <c r="N179" s="79"/>
      <c r="O179" s="79"/>
      <c r="P179" s="79"/>
      <c r="Q179" s="79"/>
      <c r="R179" s="79"/>
      <c r="S179" s="86"/>
      <c r="T179" s="86"/>
      <c r="U179" s="86"/>
      <c r="V179" s="86"/>
      <c r="W179" s="86"/>
      <c r="X179" s="86"/>
      <c r="Y179" s="86"/>
      <c r="Z179" s="86"/>
      <c r="AA179" s="86"/>
      <c r="AB179" s="86"/>
      <c r="AC179" s="86"/>
      <c r="AD179" s="86"/>
      <c r="AE179" s="64">
        <f t="shared" si="43"/>
        <v>0</v>
      </c>
    </row>
    <row r="180" spans="1:31" ht="18" customHeight="1" x14ac:dyDescent="0.25">
      <c r="A180" s="66" t="s">
        <v>305</v>
      </c>
      <c r="B180" s="81"/>
      <c r="C180" s="68"/>
      <c r="D180" s="69"/>
      <c r="E180" s="70"/>
      <c r="F180" s="71">
        <f t="shared" ref="F180:R180" si="44">F181+F187+F193+F199+F205</f>
        <v>0</v>
      </c>
      <c r="G180" s="82">
        <f t="shared" si="44"/>
        <v>0</v>
      </c>
      <c r="H180" s="82">
        <f t="shared" si="44"/>
        <v>0</v>
      </c>
      <c r="I180" s="82">
        <f t="shared" si="44"/>
        <v>0</v>
      </c>
      <c r="J180" s="82">
        <f t="shared" si="44"/>
        <v>0</v>
      </c>
      <c r="K180" s="82">
        <f t="shared" si="44"/>
        <v>0</v>
      </c>
      <c r="L180" s="82">
        <f t="shared" si="44"/>
        <v>0</v>
      </c>
      <c r="M180" s="82">
        <f t="shared" si="44"/>
        <v>0</v>
      </c>
      <c r="N180" s="82">
        <f t="shared" si="44"/>
        <v>0</v>
      </c>
      <c r="O180" s="82">
        <f t="shared" si="44"/>
        <v>0</v>
      </c>
      <c r="P180" s="82">
        <f t="shared" si="44"/>
        <v>0</v>
      </c>
      <c r="Q180" s="82">
        <f t="shared" si="44"/>
        <v>0</v>
      </c>
      <c r="R180" s="82">
        <f t="shared" si="44"/>
        <v>0</v>
      </c>
      <c r="S180" s="82">
        <f t="shared" ref="S180:AD180" si="45">S181+S187+S193</f>
        <v>0</v>
      </c>
      <c r="T180" s="82">
        <f t="shared" si="45"/>
        <v>0</v>
      </c>
      <c r="U180" s="82">
        <f t="shared" si="45"/>
        <v>0</v>
      </c>
      <c r="V180" s="82">
        <f t="shared" si="45"/>
        <v>0</v>
      </c>
      <c r="W180" s="82">
        <f t="shared" si="45"/>
        <v>0</v>
      </c>
      <c r="X180" s="82">
        <f t="shared" si="45"/>
        <v>0</v>
      </c>
      <c r="Y180" s="82">
        <f t="shared" si="45"/>
        <v>0</v>
      </c>
      <c r="Z180" s="82">
        <f t="shared" si="45"/>
        <v>0</v>
      </c>
      <c r="AA180" s="82">
        <f t="shared" si="45"/>
        <v>0</v>
      </c>
      <c r="AB180" s="82">
        <f t="shared" si="45"/>
        <v>0</v>
      </c>
      <c r="AC180" s="82">
        <f t="shared" si="45"/>
        <v>0</v>
      </c>
      <c r="AD180" s="82">
        <f t="shared" si="45"/>
        <v>0</v>
      </c>
      <c r="AE180" s="64">
        <f t="shared" si="43"/>
        <v>0</v>
      </c>
    </row>
    <row r="181" spans="1:31" ht="18" customHeight="1" x14ac:dyDescent="0.25">
      <c r="A181" s="72" t="s">
        <v>306</v>
      </c>
      <c r="B181" s="83"/>
      <c r="C181" s="73"/>
      <c r="D181" s="74"/>
      <c r="E181" s="75"/>
      <c r="F181" s="76">
        <f t="shared" ref="F181:AD181" si="46">SUM(F182:F186)</f>
        <v>0</v>
      </c>
      <c r="G181" s="84">
        <f t="shared" si="46"/>
        <v>0</v>
      </c>
      <c r="H181" s="84">
        <f t="shared" si="46"/>
        <v>0</v>
      </c>
      <c r="I181" s="84">
        <f t="shared" si="46"/>
        <v>0</v>
      </c>
      <c r="J181" s="84">
        <f t="shared" si="46"/>
        <v>0</v>
      </c>
      <c r="K181" s="84">
        <f t="shared" si="46"/>
        <v>0</v>
      </c>
      <c r="L181" s="84">
        <f t="shared" si="46"/>
        <v>0</v>
      </c>
      <c r="M181" s="84">
        <f t="shared" si="46"/>
        <v>0</v>
      </c>
      <c r="N181" s="84">
        <f t="shared" si="46"/>
        <v>0</v>
      </c>
      <c r="O181" s="84">
        <f t="shared" si="46"/>
        <v>0</v>
      </c>
      <c r="P181" s="84">
        <f t="shared" si="46"/>
        <v>0</v>
      </c>
      <c r="Q181" s="84">
        <f t="shared" si="46"/>
        <v>0</v>
      </c>
      <c r="R181" s="84">
        <f t="shared" si="46"/>
        <v>0</v>
      </c>
      <c r="S181" s="84">
        <f t="shared" si="46"/>
        <v>0</v>
      </c>
      <c r="T181" s="84">
        <f t="shared" si="46"/>
        <v>0</v>
      </c>
      <c r="U181" s="84">
        <f t="shared" si="46"/>
        <v>0</v>
      </c>
      <c r="V181" s="84">
        <f t="shared" si="46"/>
        <v>0</v>
      </c>
      <c r="W181" s="84">
        <f t="shared" si="46"/>
        <v>0</v>
      </c>
      <c r="X181" s="84">
        <f t="shared" si="46"/>
        <v>0</v>
      </c>
      <c r="Y181" s="84">
        <f t="shared" si="46"/>
        <v>0</v>
      </c>
      <c r="Z181" s="84">
        <f t="shared" si="46"/>
        <v>0</v>
      </c>
      <c r="AA181" s="84">
        <f t="shared" si="46"/>
        <v>0</v>
      </c>
      <c r="AB181" s="84">
        <f t="shared" si="46"/>
        <v>0</v>
      </c>
      <c r="AC181" s="84">
        <f t="shared" si="46"/>
        <v>0</v>
      </c>
      <c r="AD181" s="84">
        <f t="shared" si="46"/>
        <v>0</v>
      </c>
      <c r="AE181" s="64">
        <f t="shared" si="43"/>
        <v>0</v>
      </c>
    </row>
    <row r="182" spans="1:31" ht="18" customHeight="1" x14ac:dyDescent="0.25">
      <c r="A182" s="77" t="s">
        <v>307</v>
      </c>
      <c r="B182" s="85"/>
      <c r="C182" s="57"/>
      <c r="D182" s="58">
        <f>C182*$C$181*$C$180</f>
        <v>0</v>
      </c>
      <c r="E182" s="59"/>
      <c r="F182" s="79">
        <f>SUM(G182:AD182)</f>
        <v>0</v>
      </c>
      <c r="G182" s="79"/>
      <c r="H182" s="79"/>
      <c r="I182" s="79"/>
      <c r="J182" s="79"/>
      <c r="K182" s="79"/>
      <c r="L182" s="79"/>
      <c r="M182" s="79"/>
      <c r="N182" s="79"/>
      <c r="O182" s="79"/>
      <c r="P182" s="79"/>
      <c r="Q182" s="79"/>
      <c r="R182" s="79"/>
      <c r="S182" s="86"/>
      <c r="T182" s="86"/>
      <c r="U182" s="86"/>
      <c r="V182" s="86"/>
      <c r="W182" s="86"/>
      <c r="X182" s="86"/>
      <c r="Y182" s="86"/>
      <c r="Z182" s="86"/>
      <c r="AA182" s="86"/>
      <c r="AB182" s="86"/>
      <c r="AC182" s="86"/>
      <c r="AD182" s="86"/>
      <c r="AE182" s="64">
        <f t="shared" si="43"/>
        <v>0</v>
      </c>
    </row>
    <row r="183" spans="1:31" ht="18" customHeight="1" x14ac:dyDescent="0.25">
      <c r="A183" s="77" t="s">
        <v>308</v>
      </c>
      <c r="B183" s="85"/>
      <c r="C183" s="57"/>
      <c r="D183" s="58">
        <f>C183*$C$181*$C$180</f>
        <v>0</v>
      </c>
      <c r="E183" s="59"/>
      <c r="F183" s="79">
        <f>SUM(G183:AD183)</f>
        <v>0</v>
      </c>
      <c r="G183" s="79"/>
      <c r="H183" s="79"/>
      <c r="I183" s="79"/>
      <c r="J183" s="79"/>
      <c r="K183" s="79"/>
      <c r="L183" s="79"/>
      <c r="M183" s="79"/>
      <c r="N183" s="79"/>
      <c r="O183" s="79"/>
      <c r="P183" s="79"/>
      <c r="Q183" s="79"/>
      <c r="R183" s="79"/>
      <c r="S183" s="86"/>
      <c r="T183" s="86"/>
      <c r="U183" s="86"/>
      <c r="V183" s="86"/>
      <c r="W183" s="86"/>
      <c r="X183" s="86"/>
      <c r="Y183" s="86"/>
      <c r="Z183" s="86"/>
      <c r="AA183" s="86"/>
      <c r="AB183" s="86"/>
      <c r="AC183" s="86"/>
      <c r="AD183" s="86"/>
      <c r="AE183" s="64">
        <f t="shared" si="43"/>
        <v>0</v>
      </c>
    </row>
    <row r="184" spans="1:31" ht="18" customHeight="1" x14ac:dyDescent="0.25">
      <c r="A184" s="77" t="s">
        <v>309</v>
      </c>
      <c r="B184" s="85"/>
      <c r="C184" s="57"/>
      <c r="D184" s="58">
        <f>C184*$C$181*$C$180</f>
        <v>0</v>
      </c>
      <c r="E184" s="59"/>
      <c r="F184" s="79">
        <f>SUM(G184:AD184)</f>
        <v>0</v>
      </c>
      <c r="G184" s="79"/>
      <c r="H184" s="79"/>
      <c r="I184" s="79"/>
      <c r="J184" s="79"/>
      <c r="K184" s="79"/>
      <c r="L184" s="79"/>
      <c r="M184" s="79"/>
      <c r="N184" s="79"/>
      <c r="O184" s="79"/>
      <c r="P184" s="79"/>
      <c r="Q184" s="79"/>
      <c r="R184" s="79"/>
      <c r="S184" s="86"/>
      <c r="T184" s="86"/>
      <c r="U184" s="86"/>
      <c r="V184" s="86"/>
      <c r="W184" s="86"/>
      <c r="X184" s="86"/>
      <c r="Y184" s="86"/>
      <c r="Z184" s="86"/>
      <c r="AA184" s="86"/>
      <c r="AB184" s="86"/>
      <c r="AC184" s="86"/>
      <c r="AD184" s="86"/>
      <c r="AE184" s="64">
        <f t="shared" si="43"/>
        <v>0</v>
      </c>
    </row>
    <row r="185" spans="1:31" ht="18" customHeight="1" x14ac:dyDescent="0.25">
      <c r="A185" s="77" t="s">
        <v>310</v>
      </c>
      <c r="B185" s="85"/>
      <c r="C185" s="57"/>
      <c r="D185" s="58">
        <f>C185*$C$181*$C$180</f>
        <v>0</v>
      </c>
      <c r="E185" s="59"/>
      <c r="F185" s="79">
        <f>SUM(G185:AD185)</f>
        <v>0</v>
      </c>
      <c r="G185" s="79"/>
      <c r="H185" s="79"/>
      <c r="I185" s="79"/>
      <c r="J185" s="79"/>
      <c r="K185" s="79"/>
      <c r="L185" s="79"/>
      <c r="M185" s="79"/>
      <c r="N185" s="79"/>
      <c r="O185" s="79"/>
      <c r="P185" s="79"/>
      <c r="Q185" s="79"/>
      <c r="R185" s="79"/>
      <c r="S185" s="86"/>
      <c r="T185" s="86"/>
      <c r="U185" s="86"/>
      <c r="V185" s="86"/>
      <c r="W185" s="86"/>
      <c r="X185" s="86"/>
      <c r="Y185" s="86"/>
      <c r="Z185" s="86"/>
      <c r="AA185" s="86"/>
      <c r="AB185" s="86"/>
      <c r="AC185" s="86"/>
      <c r="AD185" s="86"/>
      <c r="AE185" s="64">
        <f t="shared" si="43"/>
        <v>0</v>
      </c>
    </row>
    <row r="186" spans="1:31" ht="18" customHeight="1" x14ac:dyDescent="0.25">
      <c r="A186" s="77" t="s">
        <v>311</v>
      </c>
      <c r="B186" s="85"/>
      <c r="C186" s="57"/>
      <c r="D186" s="58">
        <f>C186*$C$181*$C$180</f>
        <v>0</v>
      </c>
      <c r="E186" s="59"/>
      <c r="F186" s="79">
        <f>SUM(G186:AD186)</f>
        <v>0</v>
      </c>
      <c r="G186" s="79"/>
      <c r="H186" s="79"/>
      <c r="I186" s="79"/>
      <c r="J186" s="79"/>
      <c r="K186" s="79"/>
      <c r="L186" s="79"/>
      <c r="M186" s="79"/>
      <c r="N186" s="79"/>
      <c r="O186" s="79"/>
      <c r="P186" s="79"/>
      <c r="Q186" s="79"/>
      <c r="R186" s="79"/>
      <c r="S186" s="86"/>
      <c r="T186" s="86"/>
      <c r="U186" s="86"/>
      <c r="V186" s="86"/>
      <c r="W186" s="86"/>
      <c r="X186" s="86"/>
      <c r="Y186" s="86"/>
      <c r="Z186" s="86"/>
      <c r="AA186" s="86"/>
      <c r="AB186" s="86"/>
      <c r="AC186" s="86"/>
      <c r="AD186" s="86"/>
      <c r="AE186" s="64">
        <f t="shared" si="43"/>
        <v>0</v>
      </c>
    </row>
    <row r="187" spans="1:31" ht="18" customHeight="1" x14ac:dyDescent="0.25">
      <c r="A187" s="72" t="s">
        <v>312</v>
      </c>
      <c r="B187" s="83"/>
      <c r="C187" s="73"/>
      <c r="D187" s="74"/>
      <c r="E187" s="75"/>
      <c r="F187" s="76">
        <f t="shared" ref="F187:AD187" si="47">SUM(F188:F192)</f>
        <v>0</v>
      </c>
      <c r="G187" s="84">
        <f t="shared" si="47"/>
        <v>0</v>
      </c>
      <c r="H187" s="84">
        <f t="shared" si="47"/>
        <v>0</v>
      </c>
      <c r="I187" s="84">
        <f t="shared" si="47"/>
        <v>0</v>
      </c>
      <c r="J187" s="84">
        <f t="shared" si="47"/>
        <v>0</v>
      </c>
      <c r="K187" s="84">
        <f t="shared" si="47"/>
        <v>0</v>
      </c>
      <c r="L187" s="84">
        <f t="shared" si="47"/>
        <v>0</v>
      </c>
      <c r="M187" s="84">
        <f t="shared" si="47"/>
        <v>0</v>
      </c>
      <c r="N187" s="84">
        <f t="shared" si="47"/>
        <v>0</v>
      </c>
      <c r="O187" s="84">
        <f t="shared" si="47"/>
        <v>0</v>
      </c>
      <c r="P187" s="84">
        <f t="shared" si="47"/>
        <v>0</v>
      </c>
      <c r="Q187" s="84">
        <f t="shared" si="47"/>
        <v>0</v>
      </c>
      <c r="R187" s="84">
        <f t="shared" si="47"/>
        <v>0</v>
      </c>
      <c r="S187" s="84">
        <f t="shared" si="47"/>
        <v>0</v>
      </c>
      <c r="T187" s="84">
        <f t="shared" si="47"/>
        <v>0</v>
      </c>
      <c r="U187" s="84">
        <f t="shared" si="47"/>
        <v>0</v>
      </c>
      <c r="V187" s="84">
        <f t="shared" si="47"/>
        <v>0</v>
      </c>
      <c r="W187" s="84">
        <f t="shared" si="47"/>
        <v>0</v>
      </c>
      <c r="X187" s="84">
        <f t="shared" si="47"/>
        <v>0</v>
      </c>
      <c r="Y187" s="84">
        <f t="shared" si="47"/>
        <v>0</v>
      </c>
      <c r="Z187" s="84">
        <f t="shared" si="47"/>
        <v>0</v>
      </c>
      <c r="AA187" s="84">
        <f t="shared" si="47"/>
        <v>0</v>
      </c>
      <c r="AB187" s="84">
        <f t="shared" si="47"/>
        <v>0</v>
      </c>
      <c r="AC187" s="84">
        <f t="shared" si="47"/>
        <v>0</v>
      </c>
      <c r="AD187" s="84">
        <f t="shared" si="47"/>
        <v>0</v>
      </c>
      <c r="AE187" s="64">
        <f t="shared" si="43"/>
        <v>0</v>
      </c>
    </row>
    <row r="188" spans="1:31" ht="18" customHeight="1" x14ac:dyDescent="0.25">
      <c r="A188" s="77" t="s">
        <v>313</v>
      </c>
      <c r="B188" s="85"/>
      <c r="C188" s="57"/>
      <c r="D188" s="58">
        <f>C188*$C$187*$C$180</f>
        <v>0</v>
      </c>
      <c r="E188" s="59"/>
      <c r="F188" s="79">
        <f>SUM(G188:AD188)</f>
        <v>0</v>
      </c>
      <c r="G188" s="79"/>
      <c r="H188" s="79"/>
      <c r="I188" s="79"/>
      <c r="J188" s="79"/>
      <c r="K188" s="79"/>
      <c r="L188" s="79"/>
      <c r="M188" s="79"/>
      <c r="N188" s="79"/>
      <c r="O188" s="79"/>
      <c r="P188" s="79"/>
      <c r="Q188" s="79"/>
      <c r="R188" s="79"/>
      <c r="S188" s="86"/>
      <c r="T188" s="86"/>
      <c r="U188" s="86"/>
      <c r="V188" s="86"/>
      <c r="W188" s="86"/>
      <c r="X188" s="86"/>
      <c r="Y188" s="86"/>
      <c r="Z188" s="86"/>
      <c r="AA188" s="86"/>
      <c r="AB188" s="86"/>
      <c r="AC188" s="86"/>
      <c r="AD188" s="86"/>
      <c r="AE188" s="64">
        <f t="shared" si="43"/>
        <v>0</v>
      </c>
    </row>
    <row r="189" spans="1:31" ht="18" customHeight="1" x14ac:dyDescent="0.25">
      <c r="A189" s="77" t="s">
        <v>314</v>
      </c>
      <c r="B189" s="85"/>
      <c r="C189" s="57"/>
      <c r="D189" s="58">
        <f>C189*$C$187*$C$180</f>
        <v>0</v>
      </c>
      <c r="E189" s="59"/>
      <c r="F189" s="79">
        <f>SUM(G189:AD189)</f>
        <v>0</v>
      </c>
      <c r="G189" s="79"/>
      <c r="H189" s="79"/>
      <c r="I189" s="79"/>
      <c r="J189" s="79"/>
      <c r="K189" s="79"/>
      <c r="L189" s="79"/>
      <c r="M189" s="79"/>
      <c r="N189" s="79"/>
      <c r="O189" s="79"/>
      <c r="P189" s="79"/>
      <c r="Q189" s="79"/>
      <c r="R189" s="79"/>
      <c r="S189" s="86"/>
      <c r="T189" s="86"/>
      <c r="U189" s="86"/>
      <c r="V189" s="86"/>
      <c r="W189" s="86"/>
      <c r="X189" s="86"/>
      <c r="Y189" s="86"/>
      <c r="Z189" s="86"/>
      <c r="AA189" s="86"/>
      <c r="AB189" s="86"/>
      <c r="AC189" s="86"/>
      <c r="AD189" s="86"/>
      <c r="AE189" s="64">
        <f t="shared" si="43"/>
        <v>0</v>
      </c>
    </row>
    <row r="190" spans="1:31" ht="18" customHeight="1" x14ac:dyDescent="0.25">
      <c r="A190" s="77" t="s">
        <v>315</v>
      </c>
      <c r="B190" s="85"/>
      <c r="C190" s="57"/>
      <c r="D190" s="58">
        <f>C190*$C$187*$C$180</f>
        <v>0</v>
      </c>
      <c r="E190" s="59"/>
      <c r="F190" s="79">
        <f>SUM(G190:AD190)</f>
        <v>0</v>
      </c>
      <c r="G190" s="79"/>
      <c r="H190" s="79"/>
      <c r="I190" s="79"/>
      <c r="J190" s="79"/>
      <c r="K190" s="79"/>
      <c r="L190" s="79"/>
      <c r="M190" s="79"/>
      <c r="N190" s="79"/>
      <c r="O190" s="79"/>
      <c r="P190" s="79"/>
      <c r="Q190" s="79"/>
      <c r="R190" s="79"/>
      <c r="S190" s="86"/>
      <c r="T190" s="86"/>
      <c r="U190" s="86"/>
      <c r="V190" s="86"/>
      <c r="W190" s="86"/>
      <c r="X190" s="86"/>
      <c r="Y190" s="86"/>
      <c r="Z190" s="86"/>
      <c r="AA190" s="86"/>
      <c r="AB190" s="86"/>
      <c r="AC190" s="86"/>
      <c r="AD190" s="86"/>
      <c r="AE190" s="64">
        <f t="shared" si="43"/>
        <v>0</v>
      </c>
    </row>
    <row r="191" spans="1:31" ht="18" customHeight="1" x14ac:dyDescent="0.25">
      <c r="A191" s="77" t="s">
        <v>316</v>
      </c>
      <c r="B191" s="85"/>
      <c r="C191" s="57"/>
      <c r="D191" s="58">
        <f>C191*$C$187*$C$180</f>
        <v>0</v>
      </c>
      <c r="E191" s="59"/>
      <c r="F191" s="79">
        <f>SUM(G191:AD191)</f>
        <v>0</v>
      </c>
      <c r="G191" s="79"/>
      <c r="H191" s="79"/>
      <c r="I191" s="79"/>
      <c r="J191" s="79"/>
      <c r="K191" s="79"/>
      <c r="L191" s="79"/>
      <c r="M191" s="79"/>
      <c r="N191" s="79"/>
      <c r="O191" s="79"/>
      <c r="P191" s="79"/>
      <c r="Q191" s="79"/>
      <c r="R191" s="79"/>
      <c r="S191" s="86"/>
      <c r="T191" s="86"/>
      <c r="U191" s="86"/>
      <c r="V191" s="86"/>
      <c r="W191" s="86"/>
      <c r="X191" s="86"/>
      <c r="Y191" s="86"/>
      <c r="Z191" s="86"/>
      <c r="AA191" s="86"/>
      <c r="AB191" s="86"/>
      <c r="AC191" s="86"/>
      <c r="AD191" s="86"/>
      <c r="AE191" s="64">
        <f t="shared" si="43"/>
        <v>0</v>
      </c>
    </row>
    <row r="192" spans="1:31" ht="18" customHeight="1" x14ac:dyDescent="0.25">
      <c r="A192" s="77" t="s">
        <v>317</v>
      </c>
      <c r="B192" s="85"/>
      <c r="C192" s="57"/>
      <c r="D192" s="58">
        <f>C192*$C$187*$C$180</f>
        <v>0</v>
      </c>
      <c r="E192" s="59"/>
      <c r="F192" s="79">
        <f>SUM(G192:AD192)</f>
        <v>0</v>
      </c>
      <c r="G192" s="79"/>
      <c r="H192" s="79"/>
      <c r="I192" s="79"/>
      <c r="J192" s="79"/>
      <c r="K192" s="79"/>
      <c r="L192" s="79"/>
      <c r="M192" s="79"/>
      <c r="N192" s="79"/>
      <c r="O192" s="79"/>
      <c r="P192" s="79"/>
      <c r="Q192" s="79"/>
      <c r="R192" s="79"/>
      <c r="S192" s="86"/>
      <c r="T192" s="86"/>
      <c r="U192" s="86"/>
      <c r="V192" s="86"/>
      <c r="W192" s="86"/>
      <c r="X192" s="86"/>
      <c r="Y192" s="86"/>
      <c r="Z192" s="86"/>
      <c r="AA192" s="86"/>
      <c r="AB192" s="86"/>
      <c r="AC192" s="86"/>
      <c r="AD192" s="86"/>
      <c r="AE192" s="64">
        <f t="shared" si="43"/>
        <v>0</v>
      </c>
    </row>
    <row r="193" spans="1:31" ht="18" customHeight="1" x14ac:dyDescent="0.25">
      <c r="A193" s="72" t="s">
        <v>318</v>
      </c>
      <c r="B193" s="83"/>
      <c r="C193" s="73"/>
      <c r="D193" s="74"/>
      <c r="E193" s="75"/>
      <c r="F193" s="76">
        <f t="shared" ref="F193:AD193" si="48">SUM(F194:F198)</f>
        <v>0</v>
      </c>
      <c r="G193" s="84">
        <f t="shared" si="48"/>
        <v>0</v>
      </c>
      <c r="H193" s="84">
        <f t="shared" si="48"/>
        <v>0</v>
      </c>
      <c r="I193" s="84">
        <f t="shared" si="48"/>
        <v>0</v>
      </c>
      <c r="J193" s="84">
        <f t="shared" si="48"/>
        <v>0</v>
      </c>
      <c r="K193" s="84">
        <f t="shared" si="48"/>
        <v>0</v>
      </c>
      <c r="L193" s="84">
        <f t="shared" si="48"/>
        <v>0</v>
      </c>
      <c r="M193" s="84">
        <f t="shared" si="48"/>
        <v>0</v>
      </c>
      <c r="N193" s="84">
        <f t="shared" si="48"/>
        <v>0</v>
      </c>
      <c r="O193" s="84">
        <f t="shared" si="48"/>
        <v>0</v>
      </c>
      <c r="P193" s="84">
        <f t="shared" si="48"/>
        <v>0</v>
      </c>
      <c r="Q193" s="84">
        <f t="shared" si="48"/>
        <v>0</v>
      </c>
      <c r="R193" s="84">
        <f t="shared" si="48"/>
        <v>0</v>
      </c>
      <c r="S193" s="84">
        <f t="shared" si="48"/>
        <v>0</v>
      </c>
      <c r="T193" s="84">
        <f t="shared" si="48"/>
        <v>0</v>
      </c>
      <c r="U193" s="84">
        <f t="shared" si="48"/>
        <v>0</v>
      </c>
      <c r="V193" s="84">
        <f t="shared" si="48"/>
        <v>0</v>
      </c>
      <c r="W193" s="84">
        <f t="shared" si="48"/>
        <v>0</v>
      </c>
      <c r="X193" s="84">
        <f t="shared" si="48"/>
        <v>0</v>
      </c>
      <c r="Y193" s="84">
        <f t="shared" si="48"/>
        <v>0</v>
      </c>
      <c r="Z193" s="84">
        <f t="shared" si="48"/>
        <v>0</v>
      </c>
      <c r="AA193" s="84">
        <f t="shared" si="48"/>
        <v>0</v>
      </c>
      <c r="AB193" s="84">
        <f t="shared" si="48"/>
        <v>0</v>
      </c>
      <c r="AC193" s="84">
        <f t="shared" si="48"/>
        <v>0</v>
      </c>
      <c r="AD193" s="84">
        <f t="shared" si="48"/>
        <v>0</v>
      </c>
      <c r="AE193" s="64">
        <f t="shared" si="43"/>
        <v>0</v>
      </c>
    </row>
    <row r="194" spans="1:31" ht="18" customHeight="1" x14ac:dyDescent="0.25">
      <c r="A194" s="77" t="s">
        <v>319</v>
      </c>
      <c r="B194" s="85"/>
      <c r="C194" s="57"/>
      <c r="D194" s="58">
        <f>C194*$C$193*$C$180</f>
        <v>0</v>
      </c>
      <c r="E194" s="59"/>
      <c r="F194" s="79">
        <f>SUM(G194:AD194)</f>
        <v>0</v>
      </c>
      <c r="G194" s="79"/>
      <c r="H194" s="79"/>
      <c r="I194" s="79"/>
      <c r="J194" s="79"/>
      <c r="K194" s="79"/>
      <c r="L194" s="79"/>
      <c r="M194" s="79"/>
      <c r="N194" s="79"/>
      <c r="O194" s="79"/>
      <c r="P194" s="79"/>
      <c r="Q194" s="79"/>
      <c r="R194" s="79"/>
      <c r="S194" s="86"/>
      <c r="T194" s="86"/>
      <c r="U194" s="86"/>
      <c r="V194" s="86"/>
      <c r="W194" s="86"/>
      <c r="X194" s="86"/>
      <c r="Y194" s="86"/>
      <c r="Z194" s="86"/>
      <c r="AA194" s="86"/>
      <c r="AB194" s="86"/>
      <c r="AC194" s="86"/>
      <c r="AD194" s="86"/>
      <c r="AE194" s="64">
        <f t="shared" si="43"/>
        <v>0</v>
      </c>
    </row>
    <row r="195" spans="1:31" ht="18" customHeight="1" x14ac:dyDescent="0.25">
      <c r="A195" s="77" t="s">
        <v>320</v>
      </c>
      <c r="B195" s="85"/>
      <c r="C195" s="57"/>
      <c r="D195" s="58">
        <f>C195*$C$193*$C$180</f>
        <v>0</v>
      </c>
      <c r="E195" s="59"/>
      <c r="F195" s="79">
        <f>SUM(G195:AD195)</f>
        <v>0</v>
      </c>
      <c r="G195" s="79"/>
      <c r="H195" s="79"/>
      <c r="I195" s="79"/>
      <c r="J195" s="79"/>
      <c r="K195" s="79"/>
      <c r="L195" s="79"/>
      <c r="M195" s="79"/>
      <c r="N195" s="79"/>
      <c r="O195" s="79"/>
      <c r="P195" s="79"/>
      <c r="Q195" s="79"/>
      <c r="R195" s="79"/>
      <c r="S195" s="86"/>
      <c r="T195" s="86"/>
      <c r="U195" s="86"/>
      <c r="V195" s="86"/>
      <c r="W195" s="86"/>
      <c r="X195" s="86"/>
      <c r="Y195" s="86"/>
      <c r="Z195" s="86"/>
      <c r="AA195" s="86"/>
      <c r="AB195" s="86"/>
      <c r="AC195" s="86"/>
      <c r="AD195" s="86"/>
      <c r="AE195" s="64">
        <f t="shared" si="43"/>
        <v>0</v>
      </c>
    </row>
    <row r="196" spans="1:31" ht="18" customHeight="1" x14ac:dyDescent="0.25">
      <c r="A196" s="77" t="s">
        <v>321</v>
      </c>
      <c r="B196" s="85"/>
      <c r="C196" s="57"/>
      <c r="D196" s="58">
        <f>C196*$C$193*$C$180</f>
        <v>0</v>
      </c>
      <c r="E196" s="59"/>
      <c r="F196" s="79">
        <f>SUM(G196:AD196)</f>
        <v>0</v>
      </c>
      <c r="G196" s="79"/>
      <c r="H196" s="79"/>
      <c r="I196" s="79"/>
      <c r="J196" s="79"/>
      <c r="K196" s="79"/>
      <c r="L196" s="79"/>
      <c r="M196" s="79"/>
      <c r="N196" s="79"/>
      <c r="O196" s="79"/>
      <c r="P196" s="79"/>
      <c r="Q196" s="79"/>
      <c r="R196" s="79"/>
      <c r="S196" s="86"/>
      <c r="T196" s="86"/>
      <c r="U196" s="86"/>
      <c r="V196" s="86"/>
      <c r="W196" s="86"/>
      <c r="X196" s="86"/>
      <c r="Y196" s="86"/>
      <c r="Z196" s="86"/>
      <c r="AA196" s="86"/>
      <c r="AB196" s="86"/>
      <c r="AC196" s="86"/>
      <c r="AD196" s="86"/>
      <c r="AE196" s="64">
        <f t="shared" si="43"/>
        <v>0</v>
      </c>
    </row>
    <row r="197" spans="1:31" ht="18" customHeight="1" x14ac:dyDescent="0.25">
      <c r="A197" s="77" t="s">
        <v>322</v>
      </c>
      <c r="B197" s="85"/>
      <c r="C197" s="57"/>
      <c r="D197" s="58">
        <f>C197*$C$193*$C$180</f>
        <v>0</v>
      </c>
      <c r="E197" s="59"/>
      <c r="F197" s="79">
        <f>SUM(G197:AD197)</f>
        <v>0</v>
      </c>
      <c r="G197" s="79"/>
      <c r="H197" s="79"/>
      <c r="I197" s="79"/>
      <c r="J197" s="79"/>
      <c r="K197" s="79"/>
      <c r="L197" s="79"/>
      <c r="M197" s="79"/>
      <c r="N197" s="79"/>
      <c r="O197" s="79"/>
      <c r="P197" s="79"/>
      <c r="Q197" s="79"/>
      <c r="R197" s="79"/>
      <c r="S197" s="86"/>
      <c r="T197" s="86"/>
      <c r="U197" s="86"/>
      <c r="V197" s="86"/>
      <c r="W197" s="86"/>
      <c r="X197" s="86"/>
      <c r="Y197" s="86"/>
      <c r="Z197" s="86"/>
      <c r="AA197" s="86"/>
      <c r="AB197" s="86"/>
      <c r="AC197" s="86"/>
      <c r="AD197" s="86"/>
      <c r="AE197" s="64">
        <f t="shared" si="43"/>
        <v>0</v>
      </c>
    </row>
    <row r="198" spans="1:31" ht="18" customHeight="1" x14ac:dyDescent="0.25">
      <c r="A198" s="77" t="s">
        <v>323</v>
      </c>
      <c r="B198" s="85"/>
      <c r="C198" s="57"/>
      <c r="D198" s="58">
        <f>C198*$C$193*$C$180</f>
        <v>0</v>
      </c>
      <c r="E198" s="59"/>
      <c r="F198" s="79">
        <f>SUM(G198:AD198)</f>
        <v>0</v>
      </c>
      <c r="G198" s="79"/>
      <c r="H198" s="79"/>
      <c r="I198" s="79"/>
      <c r="J198" s="79"/>
      <c r="K198" s="79"/>
      <c r="L198" s="79"/>
      <c r="M198" s="79"/>
      <c r="N198" s="79"/>
      <c r="O198" s="79"/>
      <c r="P198" s="79"/>
      <c r="Q198" s="79"/>
      <c r="R198" s="79"/>
      <c r="S198" s="86"/>
      <c r="T198" s="86"/>
      <c r="U198" s="86"/>
      <c r="V198" s="86"/>
      <c r="W198" s="86"/>
      <c r="X198" s="86"/>
      <c r="Y198" s="86"/>
      <c r="Z198" s="86"/>
      <c r="AA198" s="86"/>
      <c r="AB198" s="86"/>
      <c r="AC198" s="86"/>
      <c r="AD198" s="86"/>
      <c r="AE198" s="64">
        <f t="shared" si="43"/>
        <v>0</v>
      </c>
    </row>
    <row r="199" spans="1:31" ht="18" customHeight="1" x14ac:dyDescent="0.25">
      <c r="A199" s="72" t="s">
        <v>324</v>
      </c>
      <c r="B199" s="83"/>
      <c r="C199" s="73"/>
      <c r="D199" s="74"/>
      <c r="E199" s="75"/>
      <c r="F199" s="76">
        <f t="shared" ref="F199:AD199" si="49">SUM(F200:F204)</f>
        <v>0</v>
      </c>
      <c r="G199" s="84">
        <f t="shared" si="49"/>
        <v>0</v>
      </c>
      <c r="H199" s="84">
        <f t="shared" si="49"/>
        <v>0</v>
      </c>
      <c r="I199" s="84">
        <f t="shared" si="49"/>
        <v>0</v>
      </c>
      <c r="J199" s="84">
        <f t="shared" si="49"/>
        <v>0</v>
      </c>
      <c r="K199" s="84">
        <f t="shared" si="49"/>
        <v>0</v>
      </c>
      <c r="L199" s="84">
        <f t="shared" si="49"/>
        <v>0</v>
      </c>
      <c r="M199" s="84">
        <f t="shared" si="49"/>
        <v>0</v>
      </c>
      <c r="N199" s="84">
        <f t="shared" si="49"/>
        <v>0</v>
      </c>
      <c r="O199" s="84">
        <f t="shared" si="49"/>
        <v>0</v>
      </c>
      <c r="P199" s="84">
        <f t="shared" si="49"/>
        <v>0</v>
      </c>
      <c r="Q199" s="84">
        <f t="shared" si="49"/>
        <v>0</v>
      </c>
      <c r="R199" s="84">
        <f t="shared" si="49"/>
        <v>0</v>
      </c>
      <c r="S199" s="84">
        <f t="shared" si="49"/>
        <v>0</v>
      </c>
      <c r="T199" s="84">
        <f t="shared" si="49"/>
        <v>0</v>
      </c>
      <c r="U199" s="84">
        <f t="shared" si="49"/>
        <v>0</v>
      </c>
      <c r="V199" s="84">
        <f t="shared" si="49"/>
        <v>0</v>
      </c>
      <c r="W199" s="84">
        <f t="shared" si="49"/>
        <v>0</v>
      </c>
      <c r="X199" s="84">
        <f t="shared" si="49"/>
        <v>0</v>
      </c>
      <c r="Y199" s="84">
        <f t="shared" si="49"/>
        <v>0</v>
      </c>
      <c r="Z199" s="84">
        <f t="shared" si="49"/>
        <v>0</v>
      </c>
      <c r="AA199" s="84">
        <f t="shared" si="49"/>
        <v>0</v>
      </c>
      <c r="AB199" s="84">
        <f t="shared" si="49"/>
        <v>0</v>
      </c>
      <c r="AC199" s="84">
        <f t="shared" si="49"/>
        <v>0</v>
      </c>
      <c r="AD199" s="84">
        <f t="shared" si="49"/>
        <v>0</v>
      </c>
      <c r="AE199" s="64">
        <f t="shared" si="43"/>
        <v>0</v>
      </c>
    </row>
    <row r="200" spans="1:31" ht="18" customHeight="1" x14ac:dyDescent="0.25">
      <c r="A200" s="77" t="s">
        <v>325</v>
      </c>
      <c r="B200" s="85"/>
      <c r="C200" s="57"/>
      <c r="D200" s="58">
        <f>C200*$C$199*$C$180</f>
        <v>0</v>
      </c>
      <c r="E200" s="59"/>
      <c r="F200" s="79">
        <f>SUM(G200:AD200)</f>
        <v>0</v>
      </c>
      <c r="G200" s="79"/>
      <c r="H200" s="79"/>
      <c r="I200" s="79"/>
      <c r="J200" s="79"/>
      <c r="K200" s="79"/>
      <c r="L200" s="79"/>
      <c r="M200" s="79"/>
      <c r="N200" s="79"/>
      <c r="O200" s="79"/>
      <c r="P200" s="79"/>
      <c r="Q200" s="79"/>
      <c r="R200" s="79"/>
      <c r="S200" s="86"/>
      <c r="T200" s="86"/>
      <c r="U200" s="86"/>
      <c r="V200" s="86"/>
      <c r="W200" s="86"/>
      <c r="X200" s="86"/>
      <c r="Y200" s="86"/>
      <c r="Z200" s="86"/>
      <c r="AA200" s="86"/>
      <c r="AB200" s="86"/>
      <c r="AC200" s="86"/>
      <c r="AD200" s="86"/>
      <c r="AE200" s="64">
        <f t="shared" si="43"/>
        <v>0</v>
      </c>
    </row>
    <row r="201" spans="1:31" ht="18" customHeight="1" x14ac:dyDescent="0.25">
      <c r="A201" s="77" t="s">
        <v>326</v>
      </c>
      <c r="B201" s="85"/>
      <c r="C201" s="57"/>
      <c r="D201" s="58">
        <f>C201*$C$199*$C$180</f>
        <v>0</v>
      </c>
      <c r="E201" s="59"/>
      <c r="F201" s="79">
        <f>SUM(G201:AD201)</f>
        <v>0</v>
      </c>
      <c r="G201" s="79"/>
      <c r="H201" s="79"/>
      <c r="I201" s="79"/>
      <c r="J201" s="79"/>
      <c r="K201" s="79"/>
      <c r="L201" s="79"/>
      <c r="M201" s="79"/>
      <c r="N201" s="79"/>
      <c r="O201" s="79"/>
      <c r="P201" s="79"/>
      <c r="Q201" s="79"/>
      <c r="R201" s="79"/>
      <c r="S201" s="86"/>
      <c r="T201" s="86"/>
      <c r="U201" s="86"/>
      <c r="V201" s="86"/>
      <c r="W201" s="86"/>
      <c r="X201" s="86"/>
      <c r="Y201" s="86"/>
      <c r="Z201" s="86"/>
      <c r="AA201" s="86"/>
      <c r="AB201" s="86"/>
      <c r="AC201" s="86"/>
      <c r="AD201" s="86"/>
      <c r="AE201" s="64">
        <f t="shared" si="43"/>
        <v>0</v>
      </c>
    </row>
    <row r="202" spans="1:31" ht="18" customHeight="1" x14ac:dyDescent="0.25">
      <c r="A202" s="77" t="s">
        <v>327</v>
      </c>
      <c r="B202" s="85"/>
      <c r="C202" s="57"/>
      <c r="D202" s="58">
        <f>C202*$C$199*$C$180</f>
        <v>0</v>
      </c>
      <c r="E202" s="59"/>
      <c r="F202" s="79">
        <f>SUM(G202:AD202)</f>
        <v>0</v>
      </c>
      <c r="G202" s="79"/>
      <c r="H202" s="79"/>
      <c r="I202" s="79"/>
      <c r="J202" s="79"/>
      <c r="K202" s="79"/>
      <c r="L202" s="79"/>
      <c r="M202" s="79"/>
      <c r="N202" s="79"/>
      <c r="O202" s="79"/>
      <c r="P202" s="79"/>
      <c r="Q202" s="79"/>
      <c r="R202" s="79"/>
      <c r="S202" s="86"/>
      <c r="T202" s="86"/>
      <c r="U202" s="86"/>
      <c r="V202" s="86"/>
      <c r="W202" s="86"/>
      <c r="X202" s="86"/>
      <c r="Y202" s="86"/>
      <c r="Z202" s="86"/>
      <c r="AA202" s="86"/>
      <c r="AB202" s="86"/>
      <c r="AC202" s="86"/>
      <c r="AD202" s="86"/>
      <c r="AE202" s="64">
        <f t="shared" si="43"/>
        <v>0</v>
      </c>
    </row>
    <row r="203" spans="1:31" ht="18" customHeight="1" x14ac:dyDescent="0.25">
      <c r="A203" s="77" t="s">
        <v>328</v>
      </c>
      <c r="B203" s="85"/>
      <c r="C203" s="57"/>
      <c r="D203" s="58">
        <f>C203*$C$199*$C$180</f>
        <v>0</v>
      </c>
      <c r="E203" s="59"/>
      <c r="F203" s="79">
        <f>SUM(G203:AD203)</f>
        <v>0</v>
      </c>
      <c r="G203" s="79"/>
      <c r="H203" s="79"/>
      <c r="I203" s="79"/>
      <c r="J203" s="79"/>
      <c r="K203" s="79"/>
      <c r="L203" s="79"/>
      <c r="M203" s="79"/>
      <c r="N203" s="79"/>
      <c r="O203" s="79"/>
      <c r="P203" s="79"/>
      <c r="Q203" s="79"/>
      <c r="R203" s="79"/>
      <c r="S203" s="86"/>
      <c r="T203" s="86"/>
      <c r="U203" s="86"/>
      <c r="V203" s="86"/>
      <c r="W203" s="86"/>
      <c r="X203" s="86"/>
      <c r="Y203" s="86"/>
      <c r="Z203" s="86"/>
      <c r="AA203" s="86"/>
      <c r="AB203" s="86"/>
      <c r="AC203" s="86"/>
      <c r="AD203" s="86"/>
      <c r="AE203" s="64">
        <f t="shared" si="43"/>
        <v>0</v>
      </c>
    </row>
    <row r="204" spans="1:31" ht="18" customHeight="1" x14ac:dyDescent="0.25">
      <c r="A204" s="77" t="s">
        <v>329</v>
      </c>
      <c r="B204" s="85"/>
      <c r="C204" s="57"/>
      <c r="D204" s="58">
        <f>C204*$C$199*$C$180</f>
        <v>0</v>
      </c>
      <c r="E204" s="59"/>
      <c r="F204" s="79">
        <f>SUM(G204:AD204)</f>
        <v>0</v>
      </c>
      <c r="G204" s="79"/>
      <c r="H204" s="79"/>
      <c r="I204" s="79"/>
      <c r="J204" s="79"/>
      <c r="K204" s="79"/>
      <c r="L204" s="79"/>
      <c r="M204" s="79"/>
      <c r="N204" s="79"/>
      <c r="O204" s="79"/>
      <c r="P204" s="79"/>
      <c r="Q204" s="79"/>
      <c r="R204" s="79"/>
      <c r="S204" s="86"/>
      <c r="T204" s="86"/>
      <c r="U204" s="86"/>
      <c r="V204" s="86"/>
      <c r="W204" s="86"/>
      <c r="X204" s="86"/>
      <c r="Y204" s="86"/>
      <c r="Z204" s="86"/>
      <c r="AA204" s="86"/>
      <c r="AB204" s="86"/>
      <c r="AC204" s="86"/>
      <c r="AD204" s="86"/>
      <c r="AE204" s="64">
        <f t="shared" si="43"/>
        <v>0</v>
      </c>
    </row>
    <row r="205" spans="1:31" ht="18" customHeight="1" x14ac:dyDescent="0.25">
      <c r="A205" s="72" t="s">
        <v>330</v>
      </c>
      <c r="B205" s="83"/>
      <c r="C205" s="73"/>
      <c r="D205" s="74"/>
      <c r="E205" s="75"/>
      <c r="F205" s="76">
        <f t="shared" ref="F205:AD205" si="50">SUM(F206:F210)</f>
        <v>0</v>
      </c>
      <c r="G205" s="84">
        <f t="shared" si="50"/>
        <v>0</v>
      </c>
      <c r="H205" s="84">
        <f t="shared" si="50"/>
        <v>0</v>
      </c>
      <c r="I205" s="84">
        <f t="shared" si="50"/>
        <v>0</v>
      </c>
      <c r="J205" s="84">
        <f t="shared" si="50"/>
        <v>0</v>
      </c>
      <c r="K205" s="84">
        <f t="shared" si="50"/>
        <v>0</v>
      </c>
      <c r="L205" s="84">
        <f t="shared" si="50"/>
        <v>0</v>
      </c>
      <c r="M205" s="84">
        <f t="shared" si="50"/>
        <v>0</v>
      </c>
      <c r="N205" s="84">
        <f t="shared" si="50"/>
        <v>0</v>
      </c>
      <c r="O205" s="84">
        <f t="shared" si="50"/>
        <v>0</v>
      </c>
      <c r="P205" s="84">
        <f t="shared" si="50"/>
        <v>0</v>
      </c>
      <c r="Q205" s="84">
        <f t="shared" si="50"/>
        <v>0</v>
      </c>
      <c r="R205" s="84">
        <f t="shared" si="50"/>
        <v>0</v>
      </c>
      <c r="S205" s="84">
        <f t="shared" si="50"/>
        <v>0</v>
      </c>
      <c r="T205" s="84">
        <f t="shared" si="50"/>
        <v>0</v>
      </c>
      <c r="U205" s="84">
        <f t="shared" si="50"/>
        <v>0</v>
      </c>
      <c r="V205" s="84">
        <f t="shared" si="50"/>
        <v>0</v>
      </c>
      <c r="W205" s="84">
        <f t="shared" si="50"/>
        <v>0</v>
      </c>
      <c r="X205" s="84">
        <f t="shared" si="50"/>
        <v>0</v>
      </c>
      <c r="Y205" s="84">
        <f t="shared" si="50"/>
        <v>0</v>
      </c>
      <c r="Z205" s="84">
        <f t="shared" si="50"/>
        <v>0</v>
      </c>
      <c r="AA205" s="84">
        <f t="shared" si="50"/>
        <v>0</v>
      </c>
      <c r="AB205" s="84">
        <f t="shared" si="50"/>
        <v>0</v>
      </c>
      <c r="AC205" s="84">
        <f t="shared" si="50"/>
        <v>0</v>
      </c>
      <c r="AD205" s="84">
        <f t="shared" si="50"/>
        <v>0</v>
      </c>
      <c r="AE205" s="64">
        <f t="shared" si="43"/>
        <v>0</v>
      </c>
    </row>
    <row r="206" spans="1:31" ht="18" customHeight="1" x14ac:dyDescent="0.25">
      <c r="A206" s="77" t="s">
        <v>331</v>
      </c>
      <c r="B206" s="85"/>
      <c r="C206" s="57"/>
      <c r="D206" s="58">
        <f>C206*$C$205*$C$180</f>
        <v>0</v>
      </c>
      <c r="E206" s="59"/>
      <c r="F206" s="79">
        <f>SUM(G206:AD206)</f>
        <v>0</v>
      </c>
      <c r="G206" s="79"/>
      <c r="H206" s="79"/>
      <c r="I206" s="79"/>
      <c r="J206" s="79"/>
      <c r="K206" s="79"/>
      <c r="L206" s="79"/>
      <c r="M206" s="79"/>
      <c r="N206" s="79"/>
      <c r="O206" s="79"/>
      <c r="P206" s="79"/>
      <c r="Q206" s="79"/>
      <c r="R206" s="79"/>
      <c r="S206" s="86"/>
      <c r="T206" s="86"/>
      <c r="U206" s="86"/>
      <c r="V206" s="86"/>
      <c r="W206" s="86"/>
      <c r="X206" s="86"/>
      <c r="Y206" s="86"/>
      <c r="Z206" s="86"/>
      <c r="AA206" s="86"/>
      <c r="AB206" s="86"/>
      <c r="AC206" s="86"/>
      <c r="AD206" s="86"/>
      <c r="AE206" s="64">
        <f t="shared" si="43"/>
        <v>0</v>
      </c>
    </row>
    <row r="207" spans="1:31" ht="18" customHeight="1" x14ac:dyDescent="0.25">
      <c r="A207" s="77" t="s">
        <v>332</v>
      </c>
      <c r="B207" s="85"/>
      <c r="C207" s="57"/>
      <c r="D207" s="58">
        <f>C207*$C$205*$C$180</f>
        <v>0</v>
      </c>
      <c r="E207" s="59"/>
      <c r="F207" s="79">
        <f>SUM(G207:AD207)</f>
        <v>0</v>
      </c>
      <c r="G207" s="79"/>
      <c r="H207" s="79"/>
      <c r="I207" s="79"/>
      <c r="J207" s="79"/>
      <c r="K207" s="79"/>
      <c r="L207" s="79"/>
      <c r="M207" s="79"/>
      <c r="N207" s="79"/>
      <c r="O207" s="79"/>
      <c r="P207" s="79"/>
      <c r="Q207" s="79"/>
      <c r="R207" s="79"/>
      <c r="S207" s="86"/>
      <c r="T207" s="86"/>
      <c r="U207" s="86"/>
      <c r="V207" s="86"/>
      <c r="W207" s="86"/>
      <c r="X207" s="86"/>
      <c r="Y207" s="86"/>
      <c r="Z207" s="86"/>
      <c r="AA207" s="86"/>
      <c r="AB207" s="86"/>
      <c r="AC207" s="86"/>
      <c r="AD207" s="86"/>
      <c r="AE207" s="64">
        <f t="shared" ref="AE207:AE238" si="51">F207-SUM(G207:AD207)</f>
        <v>0</v>
      </c>
    </row>
    <row r="208" spans="1:31" ht="18" customHeight="1" x14ac:dyDescent="0.25">
      <c r="A208" s="77" t="s">
        <v>333</v>
      </c>
      <c r="B208" s="85"/>
      <c r="C208" s="57"/>
      <c r="D208" s="58">
        <f>C208*$C$205*$C$180</f>
        <v>0</v>
      </c>
      <c r="E208" s="59"/>
      <c r="F208" s="79">
        <f>SUM(G208:AD208)</f>
        <v>0</v>
      </c>
      <c r="G208" s="79"/>
      <c r="H208" s="79"/>
      <c r="I208" s="79"/>
      <c r="J208" s="79"/>
      <c r="K208" s="79"/>
      <c r="L208" s="79"/>
      <c r="M208" s="79"/>
      <c r="N208" s="79"/>
      <c r="O208" s="79"/>
      <c r="P208" s="79"/>
      <c r="Q208" s="79"/>
      <c r="R208" s="79"/>
      <c r="S208" s="86"/>
      <c r="T208" s="86"/>
      <c r="U208" s="86"/>
      <c r="V208" s="86"/>
      <c r="W208" s="86"/>
      <c r="X208" s="86"/>
      <c r="Y208" s="86"/>
      <c r="Z208" s="86"/>
      <c r="AA208" s="86"/>
      <c r="AB208" s="86"/>
      <c r="AC208" s="86"/>
      <c r="AD208" s="86"/>
      <c r="AE208" s="64">
        <f t="shared" si="51"/>
        <v>0</v>
      </c>
    </row>
    <row r="209" spans="1:33" ht="18" customHeight="1" x14ac:dyDescent="0.25">
      <c r="A209" s="77" t="s">
        <v>334</v>
      </c>
      <c r="B209" s="85"/>
      <c r="C209" s="57"/>
      <c r="D209" s="58">
        <f>C209*$C$205*$C$180</f>
        <v>0</v>
      </c>
      <c r="E209" s="59"/>
      <c r="F209" s="79">
        <f>SUM(G209:AD209)</f>
        <v>0</v>
      </c>
      <c r="G209" s="79"/>
      <c r="H209" s="79"/>
      <c r="I209" s="79"/>
      <c r="J209" s="79"/>
      <c r="K209" s="79"/>
      <c r="L209" s="79"/>
      <c r="M209" s="79"/>
      <c r="N209" s="79"/>
      <c r="O209" s="79"/>
      <c r="P209" s="79"/>
      <c r="Q209" s="79"/>
      <c r="R209" s="79"/>
      <c r="S209" s="86"/>
      <c r="T209" s="86"/>
      <c r="U209" s="86"/>
      <c r="V209" s="86"/>
      <c r="W209" s="86"/>
      <c r="X209" s="86"/>
      <c r="Y209" s="86"/>
      <c r="Z209" s="86"/>
      <c r="AA209" s="86"/>
      <c r="AB209" s="86"/>
      <c r="AC209" s="86"/>
      <c r="AD209" s="86"/>
      <c r="AE209" s="64">
        <f t="shared" si="51"/>
        <v>0</v>
      </c>
    </row>
    <row r="210" spans="1:33" ht="18" customHeight="1" x14ac:dyDescent="0.25">
      <c r="A210" s="77" t="s">
        <v>335</v>
      </c>
      <c r="B210" s="85"/>
      <c r="C210" s="57"/>
      <c r="D210" s="58">
        <f>C210*$C$205*$C$180</f>
        <v>0</v>
      </c>
      <c r="E210" s="59"/>
      <c r="F210" s="79">
        <f>SUM(G210:AD210)</f>
        <v>0</v>
      </c>
      <c r="G210" s="79"/>
      <c r="H210" s="79"/>
      <c r="I210" s="79"/>
      <c r="J210" s="79"/>
      <c r="K210" s="79"/>
      <c r="L210" s="79"/>
      <c r="M210" s="79"/>
      <c r="N210" s="79"/>
      <c r="O210" s="79"/>
      <c r="P210" s="79"/>
      <c r="Q210" s="79"/>
      <c r="R210" s="79"/>
      <c r="S210" s="86"/>
      <c r="T210" s="86"/>
      <c r="U210" s="86"/>
      <c r="V210" s="86"/>
      <c r="W210" s="86"/>
      <c r="X210" s="86"/>
      <c r="Y210" s="86"/>
      <c r="Z210" s="86"/>
      <c r="AA210" s="86"/>
      <c r="AB210" s="86"/>
      <c r="AC210" s="86"/>
      <c r="AD210" s="86"/>
      <c r="AE210" s="64">
        <f t="shared" si="51"/>
        <v>0</v>
      </c>
    </row>
    <row r="211" spans="1:33" ht="18" customHeight="1" x14ac:dyDescent="0.25">
      <c r="A211" s="986" t="s">
        <v>336</v>
      </c>
      <c r="B211" s="986"/>
      <c r="C211" s="986"/>
      <c r="D211" s="986"/>
      <c r="E211" s="986"/>
      <c r="F211" s="986"/>
      <c r="G211" s="88">
        <f t="shared" ref="G211:AD211" si="52">(IFERROR(((G18/$F$18)*$D$18),0)+(IFERROR(((G19/$F$19)*$D$19),0)))+(IFERROR(((G20/$F$20)*$D$20),0))+(IFERROR(((G21/$F$21)*$D$21),0))+(IFERROR(((G22/$F$22)*$D$22),0))+(IFERROR(((G23/$F$23)*$D$23),0))+(IFERROR(((G24/$F$24)*$D$24),0))+(IFERROR(((G26/$F$26)*$D$26),0))+(IFERROR(((G27/$F$27)*$D$27),0))+(IFERROR(((G28/$F$28)*$D$28),0))+(IFERROR(((G29/$F$29)*$D$29),0))+(IFERROR(((G30/$F$30)*$D$30),0))+(IFERROR(((G31/$F$31)*$D$31),0))+(IFERROR(((G33/$F$33)*$D$33),0))+(IFERROR(((G34/$F$34)*$D$34),0))+(IFERROR(((G35/$F$35)*$D$35),0))+(IFERROR(((G36/$F$36)*$D$36),0))+(IFERROR(((G37/$F$37)*$D$37),0))+(IFERROR(((G39/$F$39)*$D$39),0))+(IFERROR(((G40/$F$40)*$D$40),0))+(IFERROR(((G41/$F$41)*$D$41),0))+(IFERROR(((G42/$F$42)*$D$42),0))+(IFERROR(((G43/$F$43)*$D$43),0))+(IFERROR(((G45/$F$45)*$D$45),0))+(IFERROR(((G46/$F$46)*$D$46),0))+(IFERROR(((G47/$F$47)*$D$47),0))+(IFERROR(((G48/$F$48)*$D$48),0))+(IFERROR(((G49/$F$49)*$D$49),0))+(IFERROR(((G51/$F$51)*$D$51),0))+(IFERROR(((G52/$F$52)*$D$52),0))+(IFERROR(((G53/$F$53)*$D$53),0))+(IFERROR(((G54/$F$54)*$D$54),0))+(IFERROR(((G55/$F$55)*$D$55),0))+(IFERROR(((G58/$F$58)*$D$58),0))+(IFERROR(((G59/$F$59)*$D$59),0))+(IFERROR(((G60/$F$60)*$D$60),0))+(IFERROR(((G61/$F$61)*$D$61),0))+(IFERROR(((G62/$F$62)*$D$62),0))+(IFERROR(((G64/$F$64)*$D$64),0))+(IFERROR(((G65/$F$65)*$D$65),0))+(IFERROR(((G66/$F$66)*$D$66),0))+(IFERROR(((G67/$F$67)*$D$67),0))+(IFERROR(((G68/$F$68)*$D$68),0))+(IFERROR(((G70/$F$70)*$D$70),0))+(IFERROR(((G71/$F$71)*$D$71),0))+(IFERROR(((G72/$F$72)*$D$72),0))+(IFERROR(((G73/$F$73)*$D$73),0))+(IFERROR(((G74/$F$74)*$D$74),0))+(IFERROR(((G76/$F$76)*$D$76),0))+(IFERROR(((G77/$F$77)*$D$77),0))+(IFERROR(((G78/$F$78)*$D$78),0))+(IFERROR(((G79/$F$79)*$D$79),0))+(IFERROR(((G80/$F$80)*$D$80),0))+(IFERROR(((G82/$F$82)*$D$82),0))+(IFERROR(((G83/$F$83)*$D$83),0))+(IFERROR(((G84/$F$84)*$D$84),0))+(IFERROR(((G85/$F$85)*$D$85),0))+(IFERROR(((G86/$F$86)*$D$86),0))+(IFERROR(((G89/$F$89)*$D$89),0))+(IFERROR(((G90/$F$90)*$D$90),0))+(IFERROR(((G91/$F$91)*$D$91),0))+(IFERROR(((G92/$F$92)*$D$92),0))+(IFERROR(((G93/$F$93)*$D$93),0))+(IFERROR(((G95/$F$95)*$D$95),0))+(IFERROR(((G96/$F$96)*$D$96),0))+(IFERROR(((G97/$F$97)*$D$97),0))+(IFERROR(((G98/$F$98)*$D$98),0))+(IFERROR(((G99/$F$99)*$D$99),0))+(IFERROR(((G101/$F$101)*$D$101),0))+(IFERROR(((G102/$F$102)*$D$102),0))+(IFERROR(((G103/$F$103)*$D$103),0))+(IFERROR(((G104/$F$104)*$D$104),0))+(IFERROR(((G105/$F$105)*$D$105),0))+(IFERROR(((G107/$F$107)*$D$107),0))+(IFERROR(((G108/$F$108)*$D$108),0))+(IFERROR(((G109/$F$109)*$D$109),0))+(IFERROR(((G110/$F$110)*$D$110),0))+(IFERROR(((G111/$F$111)*$D$111),0))+(IFERROR(((G113/$F$113)*$D$113),0))+(IFERROR(((G114/$F$114)*$D$114),0))+(IFERROR(((G115/$F$115)*$D$115),0))+(IFERROR(((G116/$F$116)*$D$116),0))+(IFERROR(((G117/$F$117)*$D$117),0))+(IFERROR(((G120/$F$120)*$D$120),0))+(IFERROR(((G121/$F$121)*$D$121),0))+(IFERROR(((G122/$F$122)*$D$122),0))+(IFERROR(((G123/$F$123)*$D$123),0))+(IFERROR(((G124/$F$124)*$D$124),0))+(IFERROR(((G126/$F$126)*$D$126),0))+(IFERROR(((G127/$F$127)*$D$127),0))+(IFERROR(((G128/$F$128)*$D$128),0))+(IFERROR(((G129/$F$129)*$D$129),0))+(IFERROR(((G130/$F$130)*$D$130),0))+(IFERROR(((G132/$F$132)*$D$132),0))+(IFERROR(((G133/$F$133)*$D$133),0))+(IFERROR(((G134/$F$134)*$D$134),0))+(IFERROR(((G135/$F$135)*$D$135),0))+(IFERROR(((G136/$F$136)*$D$136),0))+(IFERROR(((G138/$F$138)*$D$138),0))+(IFERROR(((G139/$F$139)*$D$139),0))+(IFERROR(((G140/$F$140)*$D$140),0))+(IFERROR(((G141/$F$141)*$D$141),0))+(IFERROR(((G142/$F$142)*$D$142),0))+(IFERROR(((G144/$F$144)*$D$144),0))+(IFERROR(((G145/$F$145)*$D$145),0))+(IFERROR(((G146/$F$146)*$D$146),0))+(IFERROR(((G147/$F$147)*$D$147),0))+(IFERROR(((G148/$F$148)*$D$148),0))+(IFERROR(((G151/$F$151)*$D$151),0))+(IFERROR(((G152/$F$152)*$D$152),0))+(IFERROR(((G153/$F$153)*$D$153),0))+(IFERROR(((G154/$F$154)*$D$154),0))+(IFERROR(((G155/$F$155)*$D$155),0))+(IFERROR(((G157/$F$157)*$D$157),0))+(IFERROR(((G158/$F$158)*$D$158),0))+(IFERROR(((G159/$F$159)*$D$159),0))+(IFERROR(((G160/$F$160)*$D$160),0))+(IFERROR(((G161/$F$161)*$D$161),0))+(IFERROR(((G163/$F$163)*$D$163),0))+(IFERROR(((G164/$F$164)*$D$164),0))+(IFERROR(((G165/$F$165)*$D$165),0))+(IFERROR(((G166/$F$166)*$D$166),0))+(IFERROR(((G167/$F$167)*$D$167),0))+(IFERROR(((G169/$F$169)*$D$169),0))+(IFERROR(((G170/F170)*D170),0))+(IFERROR(((G171/$F$171)*$D$171),0))+(IFERROR(((G172/$F$172)*$D$172),0))+(IFERROR(((G173/$F$173)*$D$173),0))+(IFERROR(((G175/$F$175)*$D$175),0))+(IFERROR(((G176/$F$176)*$D$176),0))+(IFERROR(((G177/$F$177)*$D$177),0))+(IFERROR(((G178/$F$178)*$D$178),0))+(IFERROR(((G179/$F$179)*$D$179),0))+(IFERROR(((G182/$F$182)*$D$182),0))+(IFERROR(((G183/$F$183)*$D$183),0))+(IFERROR(((G184/$F$184)*$D$184),0))+(IFERROR(((G185/$F$185)*$D$185),0))+(IFERROR(((G186/$F$186)*$D$186),0))+(IFERROR(((G188/$F$188)*$D$188),0))+(IFERROR(((G189/$F$189)*$D$189),0))+(IFERROR(((G190/$F$190)*$D$190),0))+(IFERROR(((G191/$F$191)*$D$191),0))+(IFERROR(((G192/$F$192)*$D$192),0))+(IFERROR(((G194/$F$194)*$D$194),0))+(IFERROR(((G195/$F$195)*$D$195),0))+(IFERROR(((G196/$F$196)*$D$196),0))+(IFERROR(((G197/$F$197)*$D$197),0))+(IFERROR(((G198/$F$198)*$D$198),0))+(IFERROR(((G200/$F$200)*$D$200),0))+(IFERROR(((G201/$F$201)*$D$201),0))+(IFERROR(((G202/$F$202)*$D$202),0))+(IFERROR(((G203/$F$203)*$D$203),0))+(IFERROR(((G204/$F$204)*$D$204),0))+(IFERROR(((G206/$F$206)*$D$206),0))+(IFERROR(((G207/$F$207)*$D$207),0))+(IFERROR(((G208/$F$208)*$D$208),0))+(IFERROR(((G209/$F$209)*$D$209),0))+(IFERROR(((G210/$F$210)*$D$210),0))</f>
        <v>0</v>
      </c>
      <c r="H211" s="88">
        <f t="shared" si="52"/>
        <v>0</v>
      </c>
      <c r="I211" s="88">
        <f t="shared" si="52"/>
        <v>0</v>
      </c>
      <c r="J211" s="88">
        <f t="shared" si="52"/>
        <v>0</v>
      </c>
      <c r="K211" s="88">
        <f t="shared" si="52"/>
        <v>0</v>
      </c>
      <c r="L211" s="88">
        <f t="shared" si="52"/>
        <v>0</v>
      </c>
      <c r="M211" s="88">
        <f t="shared" si="52"/>
        <v>0</v>
      </c>
      <c r="N211" s="88">
        <f t="shared" si="52"/>
        <v>0</v>
      </c>
      <c r="O211" s="88">
        <f t="shared" si="52"/>
        <v>0</v>
      </c>
      <c r="P211" s="88">
        <f t="shared" si="52"/>
        <v>0</v>
      </c>
      <c r="Q211" s="88">
        <f t="shared" si="52"/>
        <v>0</v>
      </c>
      <c r="R211" s="88">
        <f t="shared" si="52"/>
        <v>0</v>
      </c>
      <c r="S211" s="88">
        <f t="shared" si="52"/>
        <v>0</v>
      </c>
      <c r="T211" s="88">
        <f t="shared" si="52"/>
        <v>0</v>
      </c>
      <c r="U211" s="88">
        <f t="shared" si="52"/>
        <v>0</v>
      </c>
      <c r="V211" s="88">
        <f t="shared" si="52"/>
        <v>0</v>
      </c>
      <c r="W211" s="88">
        <f t="shared" si="52"/>
        <v>0</v>
      </c>
      <c r="X211" s="88">
        <f t="shared" si="52"/>
        <v>0</v>
      </c>
      <c r="Y211" s="88">
        <f t="shared" si="52"/>
        <v>0</v>
      </c>
      <c r="Z211" s="88">
        <f t="shared" si="52"/>
        <v>0</v>
      </c>
      <c r="AA211" s="88">
        <f t="shared" si="52"/>
        <v>0</v>
      </c>
      <c r="AB211" s="88">
        <f t="shared" si="52"/>
        <v>0</v>
      </c>
      <c r="AC211" s="88">
        <f t="shared" si="52"/>
        <v>0</v>
      </c>
      <c r="AD211" s="88">
        <f t="shared" si="52"/>
        <v>0</v>
      </c>
    </row>
    <row r="212" spans="1:33" ht="18" customHeight="1" x14ac:dyDescent="0.25">
      <c r="A212" s="987" t="s">
        <v>337</v>
      </c>
      <c r="B212" s="987"/>
      <c r="C212" s="987"/>
      <c r="D212" s="987"/>
      <c r="E212" s="987"/>
      <c r="F212" s="987"/>
      <c r="G212" s="89">
        <f>G211</f>
        <v>0</v>
      </c>
      <c r="H212" s="89">
        <f t="shared" ref="H212:AD212" si="53">H211+G212</f>
        <v>0</v>
      </c>
      <c r="I212" s="89">
        <f t="shared" si="53"/>
        <v>0</v>
      </c>
      <c r="J212" s="89">
        <f t="shared" si="53"/>
        <v>0</v>
      </c>
      <c r="K212" s="89">
        <f t="shared" si="53"/>
        <v>0</v>
      </c>
      <c r="L212" s="89">
        <f t="shared" si="53"/>
        <v>0</v>
      </c>
      <c r="M212" s="89">
        <f t="shared" si="53"/>
        <v>0</v>
      </c>
      <c r="N212" s="89">
        <f t="shared" si="53"/>
        <v>0</v>
      </c>
      <c r="O212" s="89">
        <f t="shared" si="53"/>
        <v>0</v>
      </c>
      <c r="P212" s="89">
        <f t="shared" si="53"/>
        <v>0</v>
      </c>
      <c r="Q212" s="89">
        <f t="shared" si="53"/>
        <v>0</v>
      </c>
      <c r="R212" s="89">
        <f t="shared" si="53"/>
        <v>0</v>
      </c>
      <c r="S212" s="89">
        <f t="shared" si="53"/>
        <v>0</v>
      </c>
      <c r="T212" s="89">
        <f t="shared" si="53"/>
        <v>0</v>
      </c>
      <c r="U212" s="89">
        <f t="shared" si="53"/>
        <v>0</v>
      </c>
      <c r="V212" s="89">
        <f t="shared" si="53"/>
        <v>0</v>
      </c>
      <c r="W212" s="89">
        <f t="shared" si="53"/>
        <v>0</v>
      </c>
      <c r="X212" s="89">
        <f t="shared" si="53"/>
        <v>0</v>
      </c>
      <c r="Y212" s="89">
        <f t="shared" si="53"/>
        <v>0</v>
      </c>
      <c r="Z212" s="89">
        <f t="shared" si="53"/>
        <v>0</v>
      </c>
      <c r="AA212" s="89">
        <f t="shared" si="53"/>
        <v>0</v>
      </c>
      <c r="AB212" s="89">
        <f t="shared" si="53"/>
        <v>0</v>
      </c>
      <c r="AC212" s="89">
        <f t="shared" si="53"/>
        <v>0</v>
      </c>
      <c r="AD212" s="89">
        <f t="shared" si="53"/>
        <v>0</v>
      </c>
    </row>
    <row r="213" spans="1:33" ht="18" customHeight="1" x14ac:dyDescent="0.25">
      <c r="A213" s="51"/>
      <c r="B213" s="51"/>
      <c r="C213" s="51"/>
      <c r="D213" s="52"/>
      <c r="E213" s="51"/>
      <c r="F213" s="51"/>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row>
    <row r="214" spans="1:33" ht="18" customHeight="1" x14ac:dyDescent="0.25">
      <c r="A214" s="91"/>
      <c r="C214" s="92"/>
      <c r="E214" s="988" t="s">
        <v>338</v>
      </c>
      <c r="F214" s="988"/>
      <c r="G214" s="988"/>
      <c r="H214" s="988"/>
      <c r="I214" s="988"/>
      <c r="J214" s="988"/>
      <c r="K214" s="988"/>
      <c r="L214" s="988"/>
      <c r="M214" s="988"/>
      <c r="N214" s="988"/>
      <c r="O214" s="988"/>
      <c r="P214" s="988"/>
      <c r="Q214" s="988"/>
      <c r="R214" s="93" t="s">
        <v>339</v>
      </c>
      <c r="S214" s="989"/>
      <c r="T214" s="989"/>
      <c r="U214" s="989"/>
      <c r="V214" s="989"/>
      <c r="W214" s="989"/>
      <c r="X214" s="989"/>
      <c r="Y214" s="989"/>
      <c r="Z214" s="989"/>
      <c r="AA214" s="989"/>
      <c r="AB214" s="989"/>
      <c r="AC214" s="989"/>
      <c r="AD214" s="989"/>
    </row>
    <row r="215" spans="1:33" ht="18" customHeight="1" x14ac:dyDescent="0.25">
      <c r="E215" s="990" t="s">
        <v>340</v>
      </c>
      <c r="F215" s="990"/>
      <c r="G215" s="990"/>
      <c r="H215" s="990"/>
      <c r="I215" s="990"/>
      <c r="J215" s="990"/>
      <c r="K215" s="990"/>
      <c r="L215" s="990"/>
      <c r="M215" s="990"/>
      <c r="N215" s="990"/>
      <c r="O215" s="990"/>
      <c r="P215" s="990"/>
      <c r="Q215" s="990"/>
      <c r="R215" s="990"/>
      <c r="S215" s="990"/>
      <c r="T215" s="990"/>
      <c r="U215" s="990"/>
      <c r="V215" s="990"/>
      <c r="W215" s="990"/>
      <c r="X215" s="990"/>
      <c r="Y215" s="990"/>
      <c r="Z215" s="990"/>
      <c r="AA215" s="990"/>
      <c r="AB215" s="990"/>
      <c r="AC215" s="990"/>
      <c r="AD215" s="990"/>
    </row>
    <row r="216" spans="1:33" ht="18" customHeight="1" x14ac:dyDescent="0.25">
      <c r="E216" s="991" t="s">
        <v>341</v>
      </c>
      <c r="F216" s="983" t="s">
        <v>342</v>
      </c>
      <c r="G216" s="992" t="s">
        <v>343</v>
      </c>
      <c r="H216" s="992"/>
      <c r="I216" s="992"/>
      <c r="J216" s="992"/>
      <c r="K216" s="992"/>
      <c r="L216" s="992"/>
      <c r="M216" s="992"/>
      <c r="N216" s="992"/>
      <c r="O216" s="992"/>
      <c r="P216" s="992"/>
      <c r="Q216" s="992"/>
      <c r="R216" s="992"/>
      <c r="S216" s="992"/>
      <c r="T216" s="992"/>
      <c r="U216" s="992"/>
      <c r="V216" s="992"/>
      <c r="W216" s="992"/>
      <c r="X216" s="992"/>
      <c r="Y216" s="992"/>
      <c r="Z216" s="992"/>
      <c r="AA216" s="992"/>
      <c r="AB216" s="992"/>
      <c r="AC216" s="992"/>
      <c r="AD216" s="992"/>
    </row>
    <row r="217" spans="1:33" ht="18" customHeight="1" x14ac:dyDescent="0.25">
      <c r="E217" s="991"/>
      <c r="F217" s="983"/>
      <c r="G217" s="54" t="s">
        <v>116</v>
      </c>
      <c r="H217" s="54" t="s">
        <v>117</v>
      </c>
      <c r="I217" s="54" t="s">
        <v>118</v>
      </c>
      <c r="J217" s="54" t="s">
        <v>119</v>
      </c>
      <c r="K217" s="54" t="s">
        <v>120</v>
      </c>
      <c r="L217" s="54" t="s">
        <v>121</v>
      </c>
      <c r="M217" s="54" t="s">
        <v>122</v>
      </c>
      <c r="N217" s="54" t="s">
        <v>123</v>
      </c>
      <c r="O217" s="54" t="s">
        <v>124</v>
      </c>
      <c r="P217" s="54" t="s">
        <v>125</v>
      </c>
      <c r="Q217" s="54" t="s">
        <v>126</v>
      </c>
      <c r="R217" s="54" t="s">
        <v>127</v>
      </c>
      <c r="S217" s="54" t="s">
        <v>128</v>
      </c>
      <c r="T217" s="54" t="s">
        <v>129</v>
      </c>
      <c r="U217" s="54" t="s">
        <v>130</v>
      </c>
      <c r="V217" s="54" t="s">
        <v>131</v>
      </c>
      <c r="W217" s="54" t="s">
        <v>132</v>
      </c>
      <c r="X217" s="54" t="s">
        <v>133</v>
      </c>
      <c r="Y217" s="54" t="s">
        <v>134</v>
      </c>
      <c r="Z217" s="54" t="s">
        <v>135</v>
      </c>
      <c r="AA217" s="54" t="s">
        <v>136</v>
      </c>
      <c r="AB217" s="54" t="s">
        <v>137</v>
      </c>
      <c r="AC217" s="54" t="s">
        <v>138</v>
      </c>
      <c r="AD217" s="94" t="s">
        <v>139</v>
      </c>
    </row>
    <row r="218" spans="1:33" ht="21" customHeight="1" x14ac:dyDescent="0.25">
      <c r="E218" s="95"/>
      <c r="F218" s="96"/>
      <c r="G218" s="97">
        <f t="shared" ref="G218:AD218" si="54">$F$218*G219</f>
        <v>0</v>
      </c>
      <c r="H218" s="97">
        <f t="shared" si="54"/>
        <v>0</v>
      </c>
      <c r="I218" s="97">
        <f t="shared" si="54"/>
        <v>0</v>
      </c>
      <c r="J218" s="97">
        <f t="shared" si="54"/>
        <v>0</v>
      </c>
      <c r="K218" s="97">
        <f t="shared" si="54"/>
        <v>0</v>
      </c>
      <c r="L218" s="97">
        <f t="shared" si="54"/>
        <v>0</v>
      </c>
      <c r="M218" s="97">
        <f t="shared" si="54"/>
        <v>0</v>
      </c>
      <c r="N218" s="97">
        <f t="shared" si="54"/>
        <v>0</v>
      </c>
      <c r="O218" s="97">
        <f t="shared" si="54"/>
        <v>0</v>
      </c>
      <c r="P218" s="97">
        <f t="shared" si="54"/>
        <v>0</v>
      </c>
      <c r="Q218" s="97">
        <f t="shared" si="54"/>
        <v>0</v>
      </c>
      <c r="R218" s="97">
        <f t="shared" si="54"/>
        <v>0</v>
      </c>
      <c r="S218" s="97">
        <f t="shared" si="54"/>
        <v>0</v>
      </c>
      <c r="T218" s="97">
        <f t="shared" si="54"/>
        <v>0</v>
      </c>
      <c r="U218" s="97">
        <f t="shared" si="54"/>
        <v>0</v>
      </c>
      <c r="V218" s="97">
        <f t="shared" si="54"/>
        <v>0</v>
      </c>
      <c r="W218" s="97">
        <f t="shared" si="54"/>
        <v>0</v>
      </c>
      <c r="X218" s="97">
        <f t="shared" si="54"/>
        <v>0</v>
      </c>
      <c r="Y218" s="97">
        <f t="shared" si="54"/>
        <v>0</v>
      </c>
      <c r="Z218" s="97">
        <f t="shared" si="54"/>
        <v>0</v>
      </c>
      <c r="AA218" s="97">
        <f t="shared" si="54"/>
        <v>0</v>
      </c>
      <c r="AB218" s="97">
        <f t="shared" si="54"/>
        <v>0</v>
      </c>
      <c r="AC218" s="97">
        <f t="shared" si="54"/>
        <v>0</v>
      </c>
      <c r="AD218" s="98">
        <f t="shared" si="54"/>
        <v>0</v>
      </c>
      <c r="AE218" s="99"/>
      <c r="AF218" s="99"/>
      <c r="AG218" s="99"/>
    </row>
    <row r="219" spans="1:33" ht="21" customHeight="1" x14ac:dyDescent="0.25">
      <c r="E219" s="993" t="s">
        <v>344</v>
      </c>
      <c r="F219" s="993"/>
      <c r="G219" s="100">
        <f t="shared" ref="G219:AD219" si="55">G211</f>
        <v>0</v>
      </c>
      <c r="H219" s="100">
        <f t="shared" si="55"/>
        <v>0</v>
      </c>
      <c r="I219" s="100">
        <f t="shared" si="55"/>
        <v>0</v>
      </c>
      <c r="J219" s="100">
        <f t="shared" si="55"/>
        <v>0</v>
      </c>
      <c r="K219" s="100">
        <f t="shared" si="55"/>
        <v>0</v>
      </c>
      <c r="L219" s="100">
        <f t="shared" si="55"/>
        <v>0</v>
      </c>
      <c r="M219" s="100">
        <f t="shared" si="55"/>
        <v>0</v>
      </c>
      <c r="N219" s="100">
        <f t="shared" si="55"/>
        <v>0</v>
      </c>
      <c r="O219" s="100">
        <f t="shared" si="55"/>
        <v>0</v>
      </c>
      <c r="P219" s="100">
        <f t="shared" si="55"/>
        <v>0</v>
      </c>
      <c r="Q219" s="100">
        <f t="shared" si="55"/>
        <v>0</v>
      </c>
      <c r="R219" s="100">
        <f t="shared" si="55"/>
        <v>0</v>
      </c>
      <c r="S219" s="100">
        <f t="shared" si="55"/>
        <v>0</v>
      </c>
      <c r="T219" s="100">
        <f t="shared" si="55"/>
        <v>0</v>
      </c>
      <c r="U219" s="100">
        <f t="shared" si="55"/>
        <v>0</v>
      </c>
      <c r="V219" s="100">
        <f t="shared" si="55"/>
        <v>0</v>
      </c>
      <c r="W219" s="100">
        <f t="shared" si="55"/>
        <v>0</v>
      </c>
      <c r="X219" s="100">
        <f t="shared" si="55"/>
        <v>0</v>
      </c>
      <c r="Y219" s="100">
        <f t="shared" si="55"/>
        <v>0</v>
      </c>
      <c r="Z219" s="100">
        <f t="shared" si="55"/>
        <v>0</v>
      </c>
      <c r="AA219" s="100">
        <f t="shared" si="55"/>
        <v>0</v>
      </c>
      <c r="AB219" s="100">
        <f t="shared" si="55"/>
        <v>0</v>
      </c>
      <c r="AC219" s="100">
        <f t="shared" si="55"/>
        <v>0</v>
      </c>
      <c r="AD219" s="101">
        <f t="shared" si="55"/>
        <v>0</v>
      </c>
    </row>
    <row r="220" spans="1:33" ht="21" customHeight="1" x14ac:dyDescent="0.25">
      <c r="E220" s="993" t="s">
        <v>345</v>
      </c>
      <c r="F220" s="993"/>
      <c r="G220" s="100">
        <f>+G219</f>
        <v>0</v>
      </c>
      <c r="H220" s="100">
        <f t="shared" ref="H220:AD220" si="56">+G220+H219</f>
        <v>0</v>
      </c>
      <c r="I220" s="100">
        <f t="shared" si="56"/>
        <v>0</v>
      </c>
      <c r="J220" s="100">
        <f t="shared" si="56"/>
        <v>0</v>
      </c>
      <c r="K220" s="100">
        <f t="shared" si="56"/>
        <v>0</v>
      </c>
      <c r="L220" s="100">
        <f t="shared" si="56"/>
        <v>0</v>
      </c>
      <c r="M220" s="100">
        <f t="shared" si="56"/>
        <v>0</v>
      </c>
      <c r="N220" s="100">
        <f t="shared" si="56"/>
        <v>0</v>
      </c>
      <c r="O220" s="100">
        <f t="shared" si="56"/>
        <v>0</v>
      </c>
      <c r="P220" s="100">
        <f t="shared" si="56"/>
        <v>0</v>
      </c>
      <c r="Q220" s="100">
        <f t="shared" si="56"/>
        <v>0</v>
      </c>
      <c r="R220" s="100">
        <f t="shared" si="56"/>
        <v>0</v>
      </c>
      <c r="S220" s="100">
        <f t="shared" si="56"/>
        <v>0</v>
      </c>
      <c r="T220" s="100">
        <f t="shared" si="56"/>
        <v>0</v>
      </c>
      <c r="U220" s="100">
        <f t="shared" si="56"/>
        <v>0</v>
      </c>
      <c r="V220" s="100">
        <f t="shared" si="56"/>
        <v>0</v>
      </c>
      <c r="W220" s="100">
        <f t="shared" si="56"/>
        <v>0</v>
      </c>
      <c r="X220" s="100">
        <f t="shared" si="56"/>
        <v>0</v>
      </c>
      <c r="Y220" s="100">
        <f t="shared" si="56"/>
        <v>0</v>
      </c>
      <c r="Z220" s="100">
        <f t="shared" si="56"/>
        <v>0</v>
      </c>
      <c r="AA220" s="100">
        <f t="shared" si="56"/>
        <v>0</v>
      </c>
      <c r="AB220" s="100">
        <f t="shared" si="56"/>
        <v>0</v>
      </c>
      <c r="AC220" s="100">
        <f t="shared" si="56"/>
        <v>0</v>
      </c>
      <c r="AD220" s="101">
        <f t="shared" si="56"/>
        <v>0</v>
      </c>
    </row>
    <row r="221" spans="1:33" ht="21" customHeight="1" x14ac:dyDescent="0.25">
      <c r="C221" s="994" t="s">
        <v>346</v>
      </c>
      <c r="D221" s="994"/>
      <c r="E221" s="995" t="s">
        <v>347</v>
      </c>
      <c r="F221" s="995"/>
      <c r="G221" s="102"/>
      <c r="H221" s="102"/>
      <c r="I221" s="102"/>
      <c r="J221" s="102"/>
      <c r="K221" s="102"/>
      <c r="L221" s="102"/>
      <c r="M221" s="102"/>
      <c r="N221" s="102"/>
      <c r="O221" s="102"/>
      <c r="P221" s="102"/>
      <c r="Q221" s="102"/>
      <c r="R221" s="102"/>
      <c r="S221" s="103"/>
      <c r="T221" s="103"/>
      <c r="U221" s="103"/>
      <c r="V221" s="103"/>
      <c r="W221" s="103"/>
      <c r="X221" s="103"/>
      <c r="Y221" s="103"/>
      <c r="Z221" s="103"/>
      <c r="AA221" s="103"/>
      <c r="AB221" s="103"/>
      <c r="AC221" s="103"/>
      <c r="AD221" s="104"/>
    </row>
    <row r="222" spans="1:33" ht="21" customHeight="1" x14ac:dyDescent="0.25">
      <c r="C222" s="994"/>
      <c r="D222" s="994"/>
      <c r="E222" s="996" t="s">
        <v>348</v>
      </c>
      <c r="F222" s="996"/>
      <c r="G222" s="105">
        <f t="shared" ref="G222:AD222" si="57">IFERROR(G221/$F$218,0)</f>
        <v>0</v>
      </c>
      <c r="H222" s="105">
        <f t="shared" si="57"/>
        <v>0</v>
      </c>
      <c r="I222" s="105">
        <f t="shared" si="57"/>
        <v>0</v>
      </c>
      <c r="J222" s="105">
        <f t="shared" si="57"/>
        <v>0</v>
      </c>
      <c r="K222" s="105">
        <f t="shared" si="57"/>
        <v>0</v>
      </c>
      <c r="L222" s="105">
        <f t="shared" si="57"/>
        <v>0</v>
      </c>
      <c r="M222" s="105">
        <f t="shared" si="57"/>
        <v>0</v>
      </c>
      <c r="N222" s="105">
        <f t="shared" si="57"/>
        <v>0</v>
      </c>
      <c r="O222" s="105">
        <f t="shared" si="57"/>
        <v>0</v>
      </c>
      <c r="P222" s="105">
        <f t="shared" si="57"/>
        <v>0</v>
      </c>
      <c r="Q222" s="105">
        <f t="shared" si="57"/>
        <v>0</v>
      </c>
      <c r="R222" s="105">
        <f t="shared" si="57"/>
        <v>0</v>
      </c>
      <c r="S222" s="105">
        <f t="shared" si="57"/>
        <v>0</v>
      </c>
      <c r="T222" s="105">
        <f t="shared" si="57"/>
        <v>0</v>
      </c>
      <c r="U222" s="105">
        <f t="shared" si="57"/>
        <v>0</v>
      </c>
      <c r="V222" s="105">
        <f t="shared" si="57"/>
        <v>0</v>
      </c>
      <c r="W222" s="105">
        <f t="shared" si="57"/>
        <v>0</v>
      </c>
      <c r="X222" s="105">
        <f t="shared" si="57"/>
        <v>0</v>
      </c>
      <c r="Y222" s="105">
        <f t="shared" si="57"/>
        <v>0</v>
      </c>
      <c r="Z222" s="105">
        <f t="shared" si="57"/>
        <v>0</v>
      </c>
      <c r="AA222" s="105">
        <f t="shared" si="57"/>
        <v>0</v>
      </c>
      <c r="AB222" s="105">
        <f t="shared" si="57"/>
        <v>0</v>
      </c>
      <c r="AC222" s="105">
        <f t="shared" si="57"/>
        <v>0</v>
      </c>
      <c r="AD222" s="106">
        <f t="shared" si="57"/>
        <v>0</v>
      </c>
    </row>
    <row r="223" spans="1:33" ht="21" customHeight="1" x14ac:dyDescent="0.25">
      <c r="C223" s="994"/>
      <c r="D223" s="994"/>
      <c r="E223" s="997" t="s">
        <v>349</v>
      </c>
      <c r="F223" s="997"/>
      <c r="G223" s="107">
        <f>G222</f>
        <v>0</v>
      </c>
      <c r="H223" s="107">
        <f t="shared" ref="H223:AD223" si="58">G223+H222</f>
        <v>0</v>
      </c>
      <c r="I223" s="107">
        <f t="shared" si="58"/>
        <v>0</v>
      </c>
      <c r="J223" s="107">
        <f t="shared" si="58"/>
        <v>0</v>
      </c>
      <c r="K223" s="107">
        <f t="shared" si="58"/>
        <v>0</v>
      </c>
      <c r="L223" s="107">
        <f t="shared" si="58"/>
        <v>0</v>
      </c>
      <c r="M223" s="107">
        <f t="shared" si="58"/>
        <v>0</v>
      </c>
      <c r="N223" s="107">
        <f t="shared" si="58"/>
        <v>0</v>
      </c>
      <c r="O223" s="107">
        <f t="shared" si="58"/>
        <v>0</v>
      </c>
      <c r="P223" s="107">
        <f t="shared" si="58"/>
        <v>0</v>
      </c>
      <c r="Q223" s="107">
        <f t="shared" si="58"/>
        <v>0</v>
      </c>
      <c r="R223" s="107">
        <f t="shared" si="58"/>
        <v>0</v>
      </c>
      <c r="S223" s="107">
        <f t="shared" si="58"/>
        <v>0</v>
      </c>
      <c r="T223" s="107">
        <f t="shared" si="58"/>
        <v>0</v>
      </c>
      <c r="U223" s="107">
        <f t="shared" si="58"/>
        <v>0</v>
      </c>
      <c r="V223" s="107">
        <f t="shared" si="58"/>
        <v>0</v>
      </c>
      <c r="W223" s="107">
        <f t="shared" si="58"/>
        <v>0</v>
      </c>
      <c r="X223" s="107">
        <f t="shared" si="58"/>
        <v>0</v>
      </c>
      <c r="Y223" s="107">
        <f t="shared" si="58"/>
        <v>0</v>
      </c>
      <c r="Z223" s="107">
        <f t="shared" si="58"/>
        <v>0</v>
      </c>
      <c r="AA223" s="107">
        <f t="shared" si="58"/>
        <v>0</v>
      </c>
      <c r="AB223" s="107">
        <f t="shared" si="58"/>
        <v>0</v>
      </c>
      <c r="AC223" s="107">
        <f t="shared" si="58"/>
        <v>0</v>
      </c>
      <c r="AD223" s="108">
        <f t="shared" si="58"/>
        <v>0</v>
      </c>
    </row>
    <row r="224" spans="1:33" ht="18" customHeight="1" x14ac:dyDescent="0.25">
      <c r="E224" s="109"/>
      <c r="F224" s="109"/>
      <c r="G224" s="92"/>
      <c r="H224" s="92"/>
      <c r="I224" s="92"/>
      <c r="J224" s="92"/>
      <c r="K224" s="92"/>
      <c r="L224" s="92"/>
      <c r="M224" s="92"/>
      <c r="N224" s="92"/>
      <c r="O224" s="92"/>
      <c r="P224" s="92"/>
      <c r="Q224" s="92"/>
      <c r="R224" s="92"/>
      <c r="S224" s="92"/>
      <c r="T224" s="92"/>
      <c r="U224" s="92"/>
      <c r="V224" s="92"/>
      <c r="W224" s="92"/>
      <c r="X224" s="92"/>
      <c r="Y224" s="92"/>
      <c r="Z224" s="92"/>
      <c r="AA224" s="92"/>
      <c r="AB224" s="92"/>
      <c r="AC224" s="92"/>
      <c r="AD224" s="92"/>
    </row>
    <row r="225" spans="2:32" ht="19.5" customHeight="1" x14ac:dyDescent="0.25">
      <c r="C225" s="990" t="s">
        <v>350</v>
      </c>
      <c r="D225" s="990"/>
      <c r="E225" s="990"/>
      <c r="F225" s="990"/>
      <c r="G225" s="990"/>
      <c r="H225" s="990"/>
      <c r="I225" s="990"/>
      <c r="J225" s="990"/>
      <c r="K225" s="990"/>
      <c r="L225" s="990"/>
      <c r="M225" s="990"/>
      <c r="N225" s="990"/>
      <c r="O225" s="990"/>
      <c r="P225" s="990"/>
      <c r="Q225" s="990"/>
      <c r="R225" s="990"/>
      <c r="S225" s="990"/>
      <c r="T225" s="990"/>
      <c r="U225" s="990"/>
      <c r="V225" s="990"/>
      <c r="W225" s="990"/>
      <c r="X225" s="990"/>
      <c r="Y225" s="990"/>
      <c r="Z225" s="990"/>
      <c r="AA225" s="990"/>
      <c r="AB225" s="990"/>
      <c r="AC225" s="990"/>
      <c r="AD225" s="990"/>
      <c r="AE225" s="990"/>
    </row>
    <row r="226" spans="2:32" ht="19.5" customHeight="1" x14ac:dyDescent="0.25">
      <c r="C226" s="998" t="s">
        <v>351</v>
      </c>
      <c r="D226" s="999" t="s">
        <v>352</v>
      </c>
      <c r="E226" s="1000" t="s">
        <v>353</v>
      </c>
      <c r="F226" s="992" t="s">
        <v>343</v>
      </c>
      <c r="G226" s="992"/>
      <c r="H226" s="992"/>
      <c r="I226" s="992"/>
      <c r="J226" s="992"/>
      <c r="K226" s="992"/>
      <c r="L226" s="992"/>
      <c r="M226" s="992"/>
      <c r="N226" s="992"/>
      <c r="O226" s="992"/>
      <c r="P226" s="992"/>
      <c r="Q226" s="992"/>
      <c r="R226" s="992"/>
      <c r="S226" s="992"/>
      <c r="T226" s="992"/>
      <c r="U226" s="992"/>
      <c r="V226" s="992"/>
      <c r="W226" s="992"/>
      <c r="X226" s="992"/>
      <c r="Y226" s="992"/>
      <c r="Z226" s="992"/>
      <c r="AA226" s="992"/>
      <c r="AB226" s="992"/>
      <c r="AC226" s="992"/>
      <c r="AD226" s="992"/>
      <c r="AE226" s="992"/>
    </row>
    <row r="227" spans="2:32" ht="45.75" customHeight="1" x14ac:dyDescent="0.25">
      <c r="C227" s="998"/>
      <c r="D227" s="999"/>
      <c r="E227" s="1000"/>
      <c r="F227" s="110"/>
      <c r="G227" s="54" t="s">
        <v>116</v>
      </c>
      <c r="H227" s="54" t="s">
        <v>117</v>
      </c>
      <c r="I227" s="54" t="s">
        <v>118</v>
      </c>
      <c r="J227" s="54" t="s">
        <v>119</v>
      </c>
      <c r="K227" s="54" t="s">
        <v>120</v>
      </c>
      <c r="L227" s="54" t="s">
        <v>121</v>
      </c>
      <c r="M227" s="54" t="s">
        <v>122</v>
      </c>
      <c r="N227" s="54" t="s">
        <v>123</v>
      </c>
      <c r="O227" s="54" t="s">
        <v>124</v>
      </c>
      <c r="P227" s="54" t="s">
        <v>125</v>
      </c>
      <c r="Q227" s="54" t="s">
        <v>126</v>
      </c>
      <c r="R227" s="54" t="s">
        <v>127</v>
      </c>
      <c r="S227" s="54" t="s">
        <v>128</v>
      </c>
      <c r="T227" s="54" t="s">
        <v>129</v>
      </c>
      <c r="U227" s="54" t="s">
        <v>130</v>
      </c>
      <c r="V227" s="54" t="s">
        <v>131</v>
      </c>
      <c r="W227" s="54" t="s">
        <v>132</v>
      </c>
      <c r="X227" s="54" t="s">
        <v>133</v>
      </c>
      <c r="Y227" s="54" t="s">
        <v>134</v>
      </c>
      <c r="Z227" s="54" t="s">
        <v>135</v>
      </c>
      <c r="AA227" s="54" t="s">
        <v>136</v>
      </c>
      <c r="AB227" s="54" t="s">
        <v>137</v>
      </c>
      <c r="AC227" s="54" t="s">
        <v>138</v>
      </c>
      <c r="AD227" s="54" t="s">
        <v>139</v>
      </c>
      <c r="AE227" s="94" t="s">
        <v>354</v>
      </c>
    </row>
    <row r="228" spans="2:32" ht="26.25" customHeight="1" x14ac:dyDescent="0.25">
      <c r="C228" s="1001">
        <f>E218+D228</f>
        <v>0</v>
      </c>
      <c r="D228" s="1002"/>
      <c r="E228" s="1003">
        <f>F218+D228</f>
        <v>0</v>
      </c>
      <c r="F228" s="111" t="s">
        <v>347</v>
      </c>
      <c r="G228" s="112">
        <f t="shared" ref="G228:AD228" si="59">G221</f>
        <v>0</v>
      </c>
      <c r="H228" s="112">
        <f t="shared" si="59"/>
        <v>0</v>
      </c>
      <c r="I228" s="112">
        <f t="shared" si="59"/>
        <v>0</v>
      </c>
      <c r="J228" s="112">
        <f t="shared" si="59"/>
        <v>0</v>
      </c>
      <c r="K228" s="112">
        <f t="shared" si="59"/>
        <v>0</v>
      </c>
      <c r="L228" s="112">
        <f t="shared" si="59"/>
        <v>0</v>
      </c>
      <c r="M228" s="112">
        <f t="shared" si="59"/>
        <v>0</v>
      </c>
      <c r="N228" s="112">
        <f t="shared" si="59"/>
        <v>0</v>
      </c>
      <c r="O228" s="112">
        <f t="shared" si="59"/>
        <v>0</v>
      </c>
      <c r="P228" s="112">
        <f t="shared" si="59"/>
        <v>0</v>
      </c>
      <c r="Q228" s="112">
        <f t="shared" si="59"/>
        <v>0</v>
      </c>
      <c r="R228" s="112">
        <f t="shared" si="59"/>
        <v>0</v>
      </c>
      <c r="S228" s="112">
        <f t="shared" si="59"/>
        <v>0</v>
      </c>
      <c r="T228" s="112">
        <f t="shared" si="59"/>
        <v>0</v>
      </c>
      <c r="U228" s="112">
        <f t="shared" si="59"/>
        <v>0</v>
      </c>
      <c r="V228" s="112">
        <f t="shared" si="59"/>
        <v>0</v>
      </c>
      <c r="W228" s="112">
        <f t="shared" si="59"/>
        <v>0</v>
      </c>
      <c r="X228" s="112">
        <f t="shared" si="59"/>
        <v>0</v>
      </c>
      <c r="Y228" s="112">
        <f t="shared" si="59"/>
        <v>0</v>
      </c>
      <c r="Z228" s="112">
        <f t="shared" si="59"/>
        <v>0</v>
      </c>
      <c r="AA228" s="112">
        <f t="shared" si="59"/>
        <v>0</v>
      </c>
      <c r="AB228" s="112">
        <f t="shared" si="59"/>
        <v>0</v>
      </c>
      <c r="AC228" s="112">
        <f t="shared" si="59"/>
        <v>0</v>
      </c>
      <c r="AD228" s="112">
        <f t="shared" si="59"/>
        <v>0</v>
      </c>
      <c r="AE228" s="113">
        <f>SUM(G228:AD228)</f>
        <v>0</v>
      </c>
    </row>
    <row r="229" spans="2:32" ht="18" customHeight="1" x14ac:dyDescent="0.25">
      <c r="C229" s="1001"/>
      <c r="D229" s="1002"/>
      <c r="E229" s="1003"/>
      <c r="F229" s="114" t="s">
        <v>344</v>
      </c>
      <c r="G229" s="115">
        <f t="shared" ref="G229:AD229" si="60">IFERROR(G228/$E$228,0)</f>
        <v>0</v>
      </c>
      <c r="H229" s="115">
        <f t="shared" si="60"/>
        <v>0</v>
      </c>
      <c r="I229" s="115">
        <f t="shared" si="60"/>
        <v>0</v>
      </c>
      <c r="J229" s="115">
        <f t="shared" si="60"/>
        <v>0</v>
      </c>
      <c r="K229" s="115">
        <f t="shared" si="60"/>
        <v>0</v>
      </c>
      <c r="L229" s="115">
        <f t="shared" si="60"/>
        <v>0</v>
      </c>
      <c r="M229" s="115">
        <f t="shared" si="60"/>
        <v>0</v>
      </c>
      <c r="N229" s="115">
        <f t="shared" si="60"/>
        <v>0</v>
      </c>
      <c r="O229" s="115">
        <f t="shared" si="60"/>
        <v>0</v>
      </c>
      <c r="P229" s="115">
        <f t="shared" si="60"/>
        <v>0</v>
      </c>
      <c r="Q229" s="115">
        <f t="shared" si="60"/>
        <v>0</v>
      </c>
      <c r="R229" s="115">
        <f t="shared" si="60"/>
        <v>0</v>
      </c>
      <c r="S229" s="115">
        <f t="shared" si="60"/>
        <v>0</v>
      </c>
      <c r="T229" s="115">
        <f t="shared" si="60"/>
        <v>0</v>
      </c>
      <c r="U229" s="115">
        <f t="shared" si="60"/>
        <v>0</v>
      </c>
      <c r="V229" s="115">
        <f t="shared" si="60"/>
        <v>0</v>
      </c>
      <c r="W229" s="115">
        <f t="shared" si="60"/>
        <v>0</v>
      </c>
      <c r="X229" s="115">
        <f t="shared" si="60"/>
        <v>0</v>
      </c>
      <c r="Y229" s="115">
        <f t="shared" si="60"/>
        <v>0</v>
      </c>
      <c r="Z229" s="115">
        <f t="shared" si="60"/>
        <v>0</v>
      </c>
      <c r="AA229" s="115">
        <f t="shared" si="60"/>
        <v>0</v>
      </c>
      <c r="AB229" s="115">
        <f t="shared" si="60"/>
        <v>0</v>
      </c>
      <c r="AC229" s="115">
        <f t="shared" si="60"/>
        <v>0</v>
      </c>
      <c r="AD229" s="115">
        <f t="shared" si="60"/>
        <v>0</v>
      </c>
      <c r="AE229" s="116"/>
    </row>
    <row r="230" spans="2:32" ht="27.75" customHeight="1" x14ac:dyDescent="0.25">
      <c r="C230" s="1001"/>
      <c r="D230" s="1002"/>
      <c r="E230" s="1003"/>
      <c r="F230" s="117" t="s">
        <v>345</v>
      </c>
      <c r="G230" s="105">
        <f>+G229</f>
        <v>0</v>
      </c>
      <c r="H230" s="105">
        <f t="shared" ref="H230:AD230" si="61">+G230+H229</f>
        <v>0</v>
      </c>
      <c r="I230" s="105">
        <f t="shared" si="61"/>
        <v>0</v>
      </c>
      <c r="J230" s="105">
        <f t="shared" si="61"/>
        <v>0</v>
      </c>
      <c r="K230" s="105">
        <f t="shared" si="61"/>
        <v>0</v>
      </c>
      <c r="L230" s="105">
        <f t="shared" si="61"/>
        <v>0</v>
      </c>
      <c r="M230" s="105">
        <f t="shared" si="61"/>
        <v>0</v>
      </c>
      <c r="N230" s="105">
        <f t="shared" si="61"/>
        <v>0</v>
      </c>
      <c r="O230" s="105">
        <f t="shared" si="61"/>
        <v>0</v>
      </c>
      <c r="P230" s="105">
        <f t="shared" si="61"/>
        <v>0</v>
      </c>
      <c r="Q230" s="105">
        <f t="shared" si="61"/>
        <v>0</v>
      </c>
      <c r="R230" s="105">
        <f t="shared" si="61"/>
        <v>0</v>
      </c>
      <c r="S230" s="105">
        <f t="shared" si="61"/>
        <v>0</v>
      </c>
      <c r="T230" s="105">
        <f t="shared" si="61"/>
        <v>0</v>
      </c>
      <c r="U230" s="105">
        <f t="shared" si="61"/>
        <v>0</v>
      </c>
      <c r="V230" s="105">
        <f t="shared" si="61"/>
        <v>0</v>
      </c>
      <c r="W230" s="105">
        <f t="shared" si="61"/>
        <v>0</v>
      </c>
      <c r="X230" s="105">
        <f t="shared" si="61"/>
        <v>0</v>
      </c>
      <c r="Y230" s="105">
        <f t="shared" si="61"/>
        <v>0</v>
      </c>
      <c r="Z230" s="105">
        <f t="shared" si="61"/>
        <v>0</v>
      </c>
      <c r="AA230" s="105">
        <f t="shared" si="61"/>
        <v>0</v>
      </c>
      <c r="AB230" s="105">
        <f t="shared" si="61"/>
        <v>0</v>
      </c>
      <c r="AC230" s="105">
        <f t="shared" si="61"/>
        <v>0</v>
      </c>
      <c r="AD230" s="105">
        <f t="shared" si="61"/>
        <v>0</v>
      </c>
      <c r="AE230" s="116"/>
    </row>
    <row r="231" spans="2:32" ht="28.5" customHeight="1" x14ac:dyDescent="0.25">
      <c r="C231" s="1001"/>
      <c r="D231" s="1002"/>
      <c r="E231" s="1003"/>
      <c r="F231" s="111" t="s">
        <v>355</v>
      </c>
      <c r="G231" s="102"/>
      <c r="H231" s="102"/>
      <c r="I231" s="102"/>
      <c r="J231" s="102"/>
      <c r="K231" s="102"/>
      <c r="L231" s="102"/>
      <c r="M231" s="102"/>
      <c r="N231" s="102"/>
      <c r="O231" s="102"/>
      <c r="P231" s="102"/>
      <c r="Q231" s="102"/>
      <c r="R231" s="102"/>
      <c r="S231" s="103"/>
      <c r="T231" s="103"/>
      <c r="U231" s="103"/>
      <c r="V231" s="103"/>
      <c r="W231" s="103"/>
      <c r="X231" s="103"/>
      <c r="Y231" s="103"/>
      <c r="Z231" s="103"/>
      <c r="AA231" s="103"/>
      <c r="AB231" s="103"/>
      <c r="AC231" s="103"/>
      <c r="AD231" s="103"/>
      <c r="AE231" s="113">
        <f>SUM(G231:AD231)</f>
        <v>0</v>
      </c>
    </row>
    <row r="232" spans="2:32" ht="18" customHeight="1" x14ac:dyDescent="0.25">
      <c r="C232" s="1001"/>
      <c r="D232" s="1002"/>
      <c r="E232" s="1003"/>
      <c r="F232" s="114" t="s">
        <v>344</v>
      </c>
      <c r="G232" s="115">
        <f t="shared" ref="G232:AD232" si="62">IFERROR(G231/$E$228,0)</f>
        <v>0</v>
      </c>
      <c r="H232" s="115">
        <f t="shared" si="62"/>
        <v>0</v>
      </c>
      <c r="I232" s="115">
        <f t="shared" si="62"/>
        <v>0</v>
      </c>
      <c r="J232" s="115">
        <f t="shared" si="62"/>
        <v>0</v>
      </c>
      <c r="K232" s="115">
        <f t="shared" si="62"/>
        <v>0</v>
      </c>
      <c r="L232" s="115">
        <f t="shared" si="62"/>
        <v>0</v>
      </c>
      <c r="M232" s="115">
        <f t="shared" si="62"/>
        <v>0</v>
      </c>
      <c r="N232" s="115">
        <f t="shared" si="62"/>
        <v>0</v>
      </c>
      <c r="O232" s="115">
        <f t="shared" si="62"/>
        <v>0</v>
      </c>
      <c r="P232" s="115">
        <f t="shared" si="62"/>
        <v>0</v>
      </c>
      <c r="Q232" s="115">
        <f t="shared" si="62"/>
        <v>0</v>
      </c>
      <c r="R232" s="115">
        <f t="shared" si="62"/>
        <v>0</v>
      </c>
      <c r="S232" s="115">
        <f t="shared" si="62"/>
        <v>0</v>
      </c>
      <c r="T232" s="115">
        <f t="shared" si="62"/>
        <v>0</v>
      </c>
      <c r="U232" s="115">
        <f t="shared" si="62"/>
        <v>0</v>
      </c>
      <c r="V232" s="115">
        <f t="shared" si="62"/>
        <v>0</v>
      </c>
      <c r="W232" s="115">
        <f t="shared" si="62"/>
        <v>0</v>
      </c>
      <c r="X232" s="115">
        <f t="shared" si="62"/>
        <v>0</v>
      </c>
      <c r="Y232" s="115">
        <f t="shared" si="62"/>
        <v>0</v>
      </c>
      <c r="Z232" s="115">
        <f t="shared" si="62"/>
        <v>0</v>
      </c>
      <c r="AA232" s="115">
        <f t="shared" si="62"/>
        <v>0</v>
      </c>
      <c r="AB232" s="115">
        <f t="shared" si="62"/>
        <v>0</v>
      </c>
      <c r="AC232" s="115">
        <f t="shared" si="62"/>
        <v>0</v>
      </c>
      <c r="AD232" s="115">
        <f t="shared" si="62"/>
        <v>0</v>
      </c>
      <c r="AE232" s="116"/>
    </row>
    <row r="233" spans="2:32" ht="26.25" customHeight="1" x14ac:dyDescent="0.25">
      <c r="C233" s="1001"/>
      <c r="D233" s="1002"/>
      <c r="E233" s="1003"/>
      <c r="F233" s="117" t="s">
        <v>345</v>
      </c>
      <c r="G233" s="105">
        <f>+G232</f>
        <v>0</v>
      </c>
      <c r="H233" s="105">
        <f t="shared" ref="H233:AD233" si="63">+G233+H232</f>
        <v>0</v>
      </c>
      <c r="I233" s="105">
        <f t="shared" si="63"/>
        <v>0</v>
      </c>
      <c r="J233" s="105">
        <f t="shared" si="63"/>
        <v>0</v>
      </c>
      <c r="K233" s="105">
        <f t="shared" si="63"/>
        <v>0</v>
      </c>
      <c r="L233" s="105">
        <f t="shared" si="63"/>
        <v>0</v>
      </c>
      <c r="M233" s="105">
        <f t="shared" si="63"/>
        <v>0</v>
      </c>
      <c r="N233" s="105">
        <f t="shared" si="63"/>
        <v>0</v>
      </c>
      <c r="O233" s="105">
        <f t="shared" si="63"/>
        <v>0</v>
      </c>
      <c r="P233" s="105">
        <f t="shared" si="63"/>
        <v>0</v>
      </c>
      <c r="Q233" s="105">
        <f t="shared" si="63"/>
        <v>0</v>
      </c>
      <c r="R233" s="105">
        <f t="shared" si="63"/>
        <v>0</v>
      </c>
      <c r="S233" s="105">
        <f t="shared" si="63"/>
        <v>0</v>
      </c>
      <c r="T233" s="105">
        <f t="shared" si="63"/>
        <v>0</v>
      </c>
      <c r="U233" s="105">
        <f t="shared" si="63"/>
        <v>0</v>
      </c>
      <c r="V233" s="105">
        <f t="shared" si="63"/>
        <v>0</v>
      </c>
      <c r="W233" s="105">
        <f t="shared" si="63"/>
        <v>0</v>
      </c>
      <c r="X233" s="105">
        <f t="shared" si="63"/>
        <v>0</v>
      </c>
      <c r="Y233" s="105">
        <f t="shared" si="63"/>
        <v>0</v>
      </c>
      <c r="Z233" s="105">
        <f t="shared" si="63"/>
        <v>0</v>
      </c>
      <c r="AA233" s="105">
        <f t="shared" si="63"/>
        <v>0</v>
      </c>
      <c r="AB233" s="105">
        <f t="shared" si="63"/>
        <v>0</v>
      </c>
      <c r="AC233" s="105">
        <f t="shared" si="63"/>
        <v>0</v>
      </c>
      <c r="AD233" s="105">
        <f t="shared" si="63"/>
        <v>0</v>
      </c>
      <c r="AE233" s="116"/>
    </row>
    <row r="234" spans="2:32" ht="18" customHeight="1" x14ac:dyDescent="0.25">
      <c r="C234" s="1004" t="s">
        <v>356</v>
      </c>
      <c r="D234" s="1004"/>
      <c r="E234" s="1004"/>
      <c r="F234" s="1004"/>
      <c r="G234" s="107">
        <f t="shared" ref="G234:AD234" si="64">G230+G233</f>
        <v>0</v>
      </c>
      <c r="H234" s="107">
        <f t="shared" si="64"/>
        <v>0</v>
      </c>
      <c r="I234" s="107">
        <f t="shared" si="64"/>
        <v>0</v>
      </c>
      <c r="J234" s="107">
        <f t="shared" si="64"/>
        <v>0</v>
      </c>
      <c r="K234" s="107">
        <f t="shared" si="64"/>
        <v>0</v>
      </c>
      <c r="L234" s="107">
        <f t="shared" si="64"/>
        <v>0</v>
      </c>
      <c r="M234" s="107">
        <f t="shared" si="64"/>
        <v>0</v>
      </c>
      <c r="N234" s="107">
        <f t="shared" si="64"/>
        <v>0</v>
      </c>
      <c r="O234" s="107">
        <f t="shared" si="64"/>
        <v>0</v>
      </c>
      <c r="P234" s="107">
        <f t="shared" si="64"/>
        <v>0</v>
      </c>
      <c r="Q234" s="107">
        <f t="shared" si="64"/>
        <v>0</v>
      </c>
      <c r="R234" s="107">
        <f t="shared" si="64"/>
        <v>0</v>
      </c>
      <c r="S234" s="107">
        <f t="shared" si="64"/>
        <v>0</v>
      </c>
      <c r="T234" s="107">
        <f t="shared" si="64"/>
        <v>0</v>
      </c>
      <c r="U234" s="107">
        <f t="shared" si="64"/>
        <v>0</v>
      </c>
      <c r="V234" s="107">
        <f t="shared" si="64"/>
        <v>0</v>
      </c>
      <c r="W234" s="107">
        <f t="shared" si="64"/>
        <v>0</v>
      </c>
      <c r="X234" s="107">
        <f t="shared" si="64"/>
        <v>0</v>
      </c>
      <c r="Y234" s="107">
        <f t="shared" si="64"/>
        <v>0</v>
      </c>
      <c r="Z234" s="107">
        <f t="shared" si="64"/>
        <v>0</v>
      </c>
      <c r="AA234" s="107">
        <f t="shared" si="64"/>
        <v>0</v>
      </c>
      <c r="AB234" s="107">
        <f t="shared" si="64"/>
        <v>0</v>
      </c>
      <c r="AC234" s="107">
        <f t="shared" si="64"/>
        <v>0</v>
      </c>
      <c r="AD234" s="107">
        <f t="shared" si="64"/>
        <v>0</v>
      </c>
      <c r="AE234" s="118">
        <f>IFERROR((AE228+AE231)/E228,0)</f>
        <v>0</v>
      </c>
    </row>
    <row r="235" spans="2:32" ht="18" customHeight="1" x14ac:dyDescent="0.25">
      <c r="E235" s="109"/>
      <c r="F235" s="109"/>
      <c r="G235" s="92"/>
      <c r="H235" s="92"/>
      <c r="I235" s="92"/>
      <c r="J235" s="92"/>
      <c r="K235" s="92"/>
      <c r="L235" s="92"/>
      <c r="M235" s="92"/>
      <c r="N235" s="92"/>
      <c r="O235" s="92"/>
      <c r="P235" s="92"/>
      <c r="Q235" s="92"/>
      <c r="R235" s="92"/>
      <c r="S235" s="92"/>
      <c r="T235" s="92"/>
      <c r="U235" s="92"/>
      <c r="V235" s="92"/>
      <c r="W235" s="92"/>
      <c r="X235" s="92"/>
      <c r="Y235" s="92"/>
      <c r="Z235" s="92"/>
      <c r="AA235" s="92"/>
      <c r="AB235" s="92"/>
      <c r="AC235" s="92"/>
      <c r="AD235" s="92"/>
      <c r="AE235" s="119">
        <f>AE228+AE231</f>
        <v>0</v>
      </c>
      <c r="AF235" s="120">
        <f>E228-AE235</f>
        <v>0</v>
      </c>
    </row>
    <row r="236" spans="2:32" ht="18" customHeight="1" x14ac:dyDescent="0.25">
      <c r="E236" s="109"/>
      <c r="G236" s="92"/>
      <c r="H236" s="92"/>
      <c r="I236" s="92"/>
      <c r="J236" s="92"/>
      <c r="K236" s="92"/>
      <c r="L236" s="92"/>
      <c r="M236" s="92"/>
      <c r="N236" s="92"/>
      <c r="O236" s="92"/>
      <c r="P236" s="92"/>
      <c r="Q236" s="92"/>
      <c r="R236" s="92"/>
      <c r="S236" s="92"/>
      <c r="T236" s="92"/>
      <c r="U236" s="92"/>
      <c r="V236" s="92"/>
      <c r="W236" s="92"/>
      <c r="X236" s="92"/>
      <c r="Y236" s="92"/>
      <c r="Z236" s="92"/>
      <c r="AA236" s="92"/>
      <c r="AB236" s="92"/>
      <c r="AC236" s="92"/>
      <c r="AD236" s="92"/>
    </row>
    <row r="237" spans="2:32" ht="18" customHeight="1" x14ac:dyDescent="0.25">
      <c r="E237" s="109"/>
      <c r="M237" s="92"/>
      <c r="N237" s="92"/>
      <c r="O237" s="92"/>
      <c r="P237" s="92"/>
      <c r="Q237" s="92"/>
      <c r="R237" s="92"/>
      <c r="S237" s="92"/>
      <c r="T237" s="92"/>
      <c r="U237" s="92"/>
      <c r="V237" s="92"/>
      <c r="W237" s="92"/>
      <c r="X237" s="92"/>
      <c r="Y237" s="92"/>
      <c r="Z237" s="92"/>
      <c r="AA237" s="92"/>
      <c r="AB237" s="92"/>
      <c r="AC237" s="92"/>
      <c r="AD237" s="92"/>
    </row>
    <row r="238" spans="2:32" ht="18" customHeight="1" x14ac:dyDescent="0.25">
      <c r="B238" s="121"/>
      <c r="C238" s="121"/>
      <c r="E238" s="109"/>
      <c r="F238" s="109"/>
      <c r="G238" s="122"/>
      <c r="H238" s="122"/>
      <c r="I238" s="122"/>
      <c r="J238" s="92"/>
      <c r="K238" s="92"/>
      <c r="L238" s="92"/>
      <c r="M238" s="92"/>
      <c r="N238" s="92"/>
      <c r="O238" s="92"/>
      <c r="P238" s="92"/>
      <c r="Q238" s="92"/>
      <c r="R238" s="92"/>
      <c r="S238" s="92"/>
      <c r="T238" s="92"/>
      <c r="U238" s="92"/>
      <c r="V238" s="92"/>
      <c r="W238" s="92"/>
      <c r="X238" s="92"/>
      <c r="Y238" s="92"/>
      <c r="Z238" s="92"/>
      <c r="AA238" s="92"/>
      <c r="AB238" s="92"/>
      <c r="AC238" s="92"/>
      <c r="AD238" s="92"/>
    </row>
    <row r="239" spans="2:32" ht="18" customHeight="1" x14ac:dyDescent="0.25">
      <c r="B239" s="121"/>
      <c r="C239" s="121"/>
      <c r="G239" s="121"/>
      <c r="H239" s="121"/>
      <c r="I239" s="121"/>
    </row>
    <row r="240" spans="2:32" ht="18" customHeight="1" x14ac:dyDescent="0.25">
      <c r="B240" s="121"/>
      <c r="C240" s="121"/>
      <c r="G240" s="123"/>
      <c r="H240" s="123"/>
      <c r="I240" s="123"/>
    </row>
    <row r="241" spans="2:43" s="124" customFormat="1" ht="18" customHeight="1" x14ac:dyDescent="0.25">
      <c r="B241" s="942"/>
      <c r="C241" s="942"/>
      <c r="D241" s="125"/>
      <c r="E241" s="126"/>
      <c r="F241" s="127"/>
      <c r="G241" s="1005"/>
      <c r="H241" s="1005"/>
      <c r="I241" s="1005"/>
      <c r="J241" s="126"/>
      <c r="K241" s="126"/>
      <c r="L241" s="126"/>
      <c r="M241" s="126"/>
      <c r="N241" s="126"/>
      <c r="O241" s="126"/>
      <c r="P241" s="126"/>
      <c r="Q241" s="126"/>
      <c r="R241" s="126"/>
      <c r="S241" s="126"/>
      <c r="T241" s="126"/>
      <c r="U241" s="126"/>
      <c r="V241" s="126"/>
      <c r="W241" s="126"/>
      <c r="X241" s="126"/>
      <c r="Y241" s="126"/>
      <c r="Z241" s="126"/>
      <c r="AA241" s="126"/>
      <c r="AB241" s="126"/>
      <c r="AC241" s="126"/>
      <c r="AE241" s="128"/>
      <c r="AF241" s="128"/>
      <c r="AG241" s="128"/>
      <c r="AH241" s="128"/>
      <c r="AI241" s="1006"/>
      <c r="AJ241" s="1006"/>
      <c r="AK241" s="1006"/>
      <c r="AL241" s="1006"/>
      <c r="AM241" s="1006"/>
      <c r="AN241" s="1006"/>
      <c r="AO241" s="128"/>
      <c r="AP241" s="128"/>
      <c r="AQ241" s="129"/>
    </row>
    <row r="242" spans="2:43" s="124" customFormat="1" ht="18" customHeight="1" x14ac:dyDescent="0.25">
      <c r="B242" s="1007" t="s">
        <v>357</v>
      </c>
      <c r="C242" s="1007"/>
      <c r="D242" s="130"/>
      <c r="F242" s="127"/>
      <c r="H242" s="131" t="s">
        <v>358</v>
      </c>
      <c r="I242" s="128"/>
      <c r="J242" s="128"/>
      <c r="K242" s="128"/>
      <c r="L242" s="128"/>
      <c r="M242" s="128"/>
      <c r="N242" s="128"/>
      <c r="O242" s="128"/>
      <c r="P242" s="128"/>
      <c r="Q242" s="128"/>
      <c r="R242" s="128"/>
      <c r="S242" s="128"/>
      <c r="T242" s="128"/>
      <c r="U242" s="128"/>
      <c r="V242" s="128"/>
      <c r="W242" s="128"/>
      <c r="X242" s="128"/>
      <c r="Y242" s="128"/>
      <c r="Z242" s="128"/>
      <c r="AA242" s="128"/>
      <c r="AB242" s="128"/>
      <c r="AC242" s="128"/>
      <c r="AE242" s="128"/>
      <c r="AF242" s="128"/>
      <c r="AG242" s="128"/>
      <c r="AH242" s="128"/>
      <c r="AI242" s="1008"/>
      <c r="AJ242" s="1008"/>
      <c r="AK242" s="1008"/>
      <c r="AL242" s="1008"/>
      <c r="AM242" s="1008"/>
      <c r="AN242" s="1008"/>
      <c r="AO242" s="126"/>
      <c r="AP242" s="126"/>
      <c r="AQ242" s="126"/>
    </row>
  </sheetData>
  <sheetProtection algorithmName="SHA-512" hashValue="qiJyu46t5RUQqo6ONncq1ofm3Z7KmHbtJVM9eOiP6JBr7r+vZjYQIP72AaYDQsvyiGdoaiIZ4wLWnJ7/iqoQ5Q==" saltValue="oeH7ytskxmtYuGitS8BeAw==" spinCount="100000" sheet="1" formatCells="0" formatColumns="0" formatRows="0" insertRows="0" autoFilter="0" pivotTables="0"/>
  <mergeCells count="50">
    <mergeCell ref="C234:F234"/>
    <mergeCell ref="B241:C241"/>
    <mergeCell ref="G241:I241"/>
    <mergeCell ref="AI241:AN241"/>
    <mergeCell ref="B242:C242"/>
    <mergeCell ref="AI242:AN242"/>
    <mergeCell ref="C226:C227"/>
    <mergeCell ref="D226:D227"/>
    <mergeCell ref="E226:E227"/>
    <mergeCell ref="F226:AE226"/>
    <mergeCell ref="C228:C233"/>
    <mergeCell ref="D228:D233"/>
    <mergeCell ref="E228:E233"/>
    <mergeCell ref="C221:D223"/>
    <mergeCell ref="E221:F221"/>
    <mergeCell ref="E222:F222"/>
    <mergeCell ref="E223:F223"/>
    <mergeCell ref="C225:AE225"/>
    <mergeCell ref="E216:E217"/>
    <mergeCell ref="F216:F217"/>
    <mergeCell ref="G216:AD216"/>
    <mergeCell ref="E219:F219"/>
    <mergeCell ref="E220:F220"/>
    <mergeCell ref="A211:F211"/>
    <mergeCell ref="A212:F212"/>
    <mergeCell ref="E214:Q214"/>
    <mergeCell ref="S214:AD214"/>
    <mergeCell ref="E215:AD215"/>
    <mergeCell ref="A10:B10"/>
    <mergeCell ref="C10:F10"/>
    <mergeCell ref="A12:AD12"/>
    <mergeCell ref="A13:A14"/>
    <mergeCell ref="B13:B14"/>
    <mergeCell ref="C13:C14"/>
    <mergeCell ref="D13:D14"/>
    <mergeCell ref="E13:E14"/>
    <mergeCell ref="F13:F14"/>
    <mergeCell ref="G13:AD13"/>
    <mergeCell ref="A7:B7"/>
    <mergeCell ref="C7:F7"/>
    <mergeCell ref="A8:B8"/>
    <mergeCell ref="C8:F8"/>
    <mergeCell ref="A9:B9"/>
    <mergeCell ref="C9:F9"/>
    <mergeCell ref="F1:K1"/>
    <mergeCell ref="F2:K2"/>
    <mergeCell ref="A4:B4"/>
    <mergeCell ref="C4:AD4"/>
    <mergeCell ref="A5:B5"/>
    <mergeCell ref="C5:AD5"/>
  </mergeCells>
  <conditionalFormatting sqref="B241:C241 G241:I241">
    <cfRule type="cellIs" dxfId="42" priority="2" operator="equal">
      <formula>""</formula>
    </cfRule>
  </conditionalFormatting>
  <dataValidations count="7">
    <dataValidation allowBlank="1" showInputMessage="1" showErrorMessage="1" prompt="Ingrese el valor a pagar segun la forma de pago establecida en los estudios previos" sqref="G218:AD218 JN218:JZ218 TJ218:TV218 ADF218:ADR218 ANB218:ANN218 AWX218:AXJ218 BGT218:BHF218 BQP218:BRB218 CAL218:CAX218 CKH218:CKT218 CUD218:CUP218 DDZ218:DEL218 DNV218:DOH218 DXR218:DYD218 EHN218:EHZ218 ERJ218:ERV218 FBF218:FBR218 FLB218:FLN218 FUX218:FVJ218 GET218:GFF218 GOP218:GPB218 GYL218:GYX218 HIH218:HIT218 HSD218:HSP218 IBZ218:ICL218 ILV218:IMH218 IVR218:IWD218 JFN218:JFZ218 JPJ218:JPV218 JZF218:JZR218 KJB218:KJN218 KSX218:KTJ218 LCT218:LDF218 LMP218:LNB218 LWL218:LWX218 MGH218:MGT218 MQD218:MQP218 MZZ218:NAL218 NJV218:NKH218 NTR218:NUD218 ODN218:ODZ218 ONJ218:ONV218 OXF218:OXR218 PHB218:PHN218 PQX218:PRJ218 QAT218:QBF218 QKP218:QLB218 QUL218:QUX218 REH218:RET218 ROD218:ROP218 RXZ218:RYL218 SHV218:SIH218 SRR218:SSD218 TBN218:TBZ218 TLJ218:TLV218 TVF218:TVR218 UFB218:UFN218 UOX218:UPJ218 UYT218:UZF218 VIP218:VJB218 VSL218:VSX218 WCH218:WCT218 WMD218:WMP218 WVZ218:WWL218" xr:uid="{00000000-0002-0000-0100-000000000000}">
      <formula1>0</formula1>
      <formula2>0</formula2>
    </dataValidation>
    <dataValidation allowBlank="1" showInputMessage="1" showErrorMessage="1" prompt="Diligencie si es mensual, bimestral, trimestral o semestral." sqref="C10:F10 JK10:JM10 TG10:TI10 ADC10:ADE10 AMY10:ANA10 AWU10:AWW10 BGQ10:BGS10 BQM10:BQO10 CAI10:CAK10 CKE10:CKG10 CUA10:CUC10 DDW10:DDY10 DNS10:DNU10 DXO10:DXQ10 EHK10:EHM10 ERG10:ERI10 FBC10:FBE10 FKY10:FLA10 FUU10:FUW10 GEQ10:GES10 GOM10:GOO10 GYI10:GYK10 HIE10:HIG10 HSA10:HSC10 IBW10:IBY10 ILS10:ILU10 IVO10:IVQ10 JFK10:JFM10 JPG10:JPI10 JZC10:JZE10 KIY10:KJA10 KSU10:KSW10 LCQ10:LCS10 LMM10:LMO10 LWI10:LWK10 MGE10:MGG10 MQA10:MQC10 MZW10:MZY10 NJS10:NJU10 NTO10:NTQ10 ODK10:ODM10 ONG10:ONI10 OXC10:OXE10 PGY10:PHA10 PQU10:PQW10 QAQ10:QAS10 QKM10:QKO10 QUI10:QUK10 REE10:REG10 ROA10:ROC10 RXW10:RXY10 SHS10:SHU10 SRO10:SRQ10 TBK10:TBM10 TLG10:TLI10 TVC10:TVE10 UEY10:UFA10 UOU10:UOW10 UYQ10:UYS10 VIM10:VIO10 VSI10:VSK10 WCE10:WCG10 WMA10:WMC10 WVW10:WVY10 G11:I11 JN11:JP11 TJ11:TL11 ADF11:ADH11 ANB11:AND11 AWX11:AWZ11 BGT11:BGV11 BQP11:BQR11 CAL11:CAN11 CKH11:CKJ11 CUD11:CUF11 DDZ11:DEB11 DNV11:DNX11 DXR11:DXT11 EHN11:EHP11 ERJ11:ERL11 FBF11:FBH11 FLB11:FLD11 FUX11:FUZ11 GET11:GEV11 GOP11:GOR11 GYL11:GYN11 HIH11:HIJ11 HSD11:HSF11 IBZ11:ICB11 ILV11:ILX11 IVR11:IVT11 JFN11:JFP11 JPJ11:JPL11 JZF11:JZH11 KJB11:KJD11 KSX11:KSZ11 LCT11:LCV11 LMP11:LMR11 LWL11:LWN11 MGH11:MGJ11 MQD11:MQF11 MZZ11:NAB11 NJV11:NJX11 NTR11:NTT11 ODN11:ODP11 ONJ11:ONL11 OXF11:OXH11 PHB11:PHD11 PQX11:PQZ11 QAT11:QAV11 QKP11:QKR11 QUL11:QUN11 REH11:REJ11 ROD11:ROF11 RXZ11:RYB11 SHV11:SHX11 SRR11:SRT11 TBN11:TBP11 TLJ11:TLL11 TVF11:TVH11 UFB11:UFD11 UOX11:UOZ11 UYT11:UYV11 VIP11:VIR11 VSL11:VSN11 WCH11:WCJ11 WMD11:WMF11 WVZ11:WWB11" xr:uid="{00000000-0002-0000-0100-000001000000}">
      <formula1>0</formula1>
      <formula2>0</formula2>
    </dataValidation>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D7 JK7 TG7 ADC7 AMY7 AWU7 BGQ7 BQM7 CAI7 CKE7 CUA7 DDW7 DNS7 DXO7 EHK7 ERG7 FBC7 FKY7 FUU7 GEQ7 GOM7 GYI7 HIE7 HSA7 IBW7 ILS7 IVO7 JFK7 JPG7 JZC7 KIY7 KSU7 LCQ7 LMM7 LWI7 MGE7 MQA7 MZW7 NJS7 NTO7 ODK7 ONG7 OXC7 PGY7 PQU7 QAQ7 QKM7 QUI7 REE7 ROA7 RXW7 SHS7 SRO7 TBK7 TLG7 TVC7 UEY7 UOU7 UYQ7 VIM7 VSI7 WCE7 WMA7 WVW7" xr:uid="{00000000-0002-0000-0100-000002000000}">
      <formula1>0</formula1>
      <formula2>0</formula2>
    </dataValidation>
    <dataValidation allowBlank="1" showInputMessage="1" showErrorMessage="1" prompt="Diligencie con el nombre del supervisor y/o interventor delegado."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xr:uid="{00000000-0002-0000-0100-000003000000}">
      <formula1>0</formula1>
      <formula2>0</formula2>
    </dataValidation>
    <dataValidation allowBlank="1" showInputMessage="1" showErrorMessage="1" prompt="Alcance: Definir las principales actividades que se requieren para alcanzar el producto definidos en los estudios previos" sqref="B16:B210 JJ16:JJ210 TF16:TF210 ADB16:ADB210 AMX16:AMX210 AWT16:AWT210 BGP16:BGP210 BQL16:BQL210 CAH16:CAH210 CKD16:CKD210 CTZ16:CTZ210 DDV16:DDV210 DNR16:DNR210 DXN16:DXN210 EHJ16:EHJ210 ERF16:ERF210 FBB16:FBB210 FKX16:FKX210 FUT16:FUT210 GEP16:GEP210 GOL16:GOL210 GYH16:GYH210 HID16:HID210 HRZ16:HRZ210 IBV16:IBV210 ILR16:ILR210 IVN16:IVN210 JFJ16:JFJ210 JPF16:JPF210 JZB16:JZB210 KIX16:KIX210 KST16:KST210 LCP16:LCP210 LML16:LML210 LWH16:LWH210 MGD16:MGD210 MPZ16:MPZ210 MZV16:MZV210 NJR16:NJR210 NTN16:NTN210 ODJ16:ODJ210 ONF16:ONF210 OXB16:OXB210 PGX16:PGX210 PQT16:PQT210 QAP16:QAP210 QKL16:QKL210 QUH16:QUH210 RED16:RED210 RNZ16:RNZ210 RXV16:RXV210 SHR16:SHR210 SRN16:SRN210 TBJ16:TBJ210 TLF16:TLF210 TVB16:TVB210 UEX16:UEX210 UOT16:UOT210 UYP16:UYP210 VIL16:VIL210 VSH16:VSH210 WCD16:WCD210 WLZ16:WLZ210 WVV16:WVV210" xr:uid="{00000000-0002-0000-0100-000004000000}">
      <formula1>0</formula1>
      <formula2>0</formula2>
    </dataValidation>
    <dataValidation allowBlank="1" showInputMessage="1" showErrorMessage="1" prompt="Emplear una unidad de medida concreta y medible, no utilizar GLOBAL" sqref="E15:E210 JL15:JL210 TH15:TH210 ADD15:ADD210 AMZ15:AMZ210 AWV15:AWV210 BGR15:BGR210 BQN15:BQN210 CAJ15:CAJ210 CKF15:CKF210 CUB15:CUB210 DDX15:DDX210 DNT15:DNT210 DXP15:DXP210 EHL15:EHL210 ERH15:ERH210 FBD15:FBD210 FKZ15:FKZ210 FUV15:FUV210 GER15:GER210 GON15:GON210 GYJ15:GYJ210 HIF15:HIF210 HSB15:HSB210 IBX15:IBX210 ILT15:ILT210 IVP15:IVP210 JFL15:JFL210 JPH15:JPH210 JZD15:JZD210 KIZ15:KIZ210 KSV15:KSV210 LCR15:LCR210 LMN15:LMN210 LWJ15:LWJ210 MGF15:MGF210 MQB15:MQB210 MZX15:MZX210 NJT15:NJT210 NTP15:NTP210 ODL15:ODL210 ONH15:ONH210 OXD15:OXD210 PGZ15:PGZ210 PQV15:PQV210 QAR15:QAR210 QKN15:QKN210 QUJ15:QUJ210 REF15:REF210 ROB15:ROB210 RXX15:RXX210 SHT15:SHT210 SRP15:SRP210 TBL15:TBL210 TLH15:TLH210 TVD15:TVD210 UEZ15:UEZ210 UOV15:UOV210 UYR15:UYR210 VIN15:VIN210 VSJ15:VSJ210 WCF15:WCF210 WMB15:WMB210 WVX15:WVX210" xr:uid="{00000000-0002-0000-0100-000005000000}">
      <formula1>0</formula1>
      <formula2>0</formula2>
    </dataValidation>
    <dataValidation allowBlank="1" showInputMessage="1" showErrorMessage="1" prompt="diligencie el numero de meses en letras (numero). ej: seis (6)."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xr:uid="{00000000-0002-0000-0100-000006000000}">
      <formula1>0</formula1>
      <formula2>0</formula2>
    </dataValidation>
  </dataValidations>
  <hyperlinks>
    <hyperlink ref="M1" location="ins" display="Instructivo" xr:uid="{00000000-0004-0000-0100-000000000000}"/>
    <hyperlink ref="R214" location="ANTI" display="Información anticipos" xr:uid="{00000000-0004-0000-0100-000001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D48"/>
  <sheetViews>
    <sheetView showGridLines="0" tabSelected="1" topLeftCell="D1" zoomScale="85" zoomScaleNormal="85" zoomScalePageLayoutView="80" workbookViewId="0">
      <selection activeCell="K3" sqref="K1:K1048576"/>
    </sheetView>
  </sheetViews>
  <sheetFormatPr baseColWidth="10" defaultColWidth="12" defaultRowHeight="18" customHeight="1" x14ac:dyDescent="0.25"/>
  <cols>
    <col min="1" max="1" width="30.109375" style="121" customWidth="1"/>
    <col min="2" max="2" width="25.6640625" style="121" customWidth="1"/>
    <col min="3" max="3" width="21.77734375" style="121" customWidth="1"/>
    <col min="4" max="10" width="22.77734375" style="121" customWidth="1"/>
    <col min="11" max="16" width="22.77734375" style="121" hidden="1" customWidth="1"/>
    <col min="17" max="17" width="12" style="121" hidden="1"/>
    <col min="18" max="18" width="12" style="121"/>
    <col min="19" max="19" width="15.33203125" style="121" customWidth="1"/>
    <col min="20" max="255" width="12" style="121"/>
    <col min="256" max="256" width="16.33203125" style="121" customWidth="1"/>
    <col min="257" max="257" width="30.77734375" style="121" customWidth="1"/>
    <col min="258" max="258" width="15.109375" style="121" customWidth="1"/>
    <col min="259" max="259" width="17" style="121" customWidth="1"/>
    <col min="260" max="260" width="16.33203125" style="121" customWidth="1"/>
    <col min="261" max="272" width="13" style="121" customWidth="1"/>
    <col min="273" max="273" width="17.33203125" style="121" customWidth="1"/>
    <col min="274" max="511" width="12" style="121"/>
    <col min="512" max="512" width="16.33203125" style="121" customWidth="1"/>
    <col min="513" max="513" width="30.77734375" style="121" customWidth="1"/>
    <col min="514" max="514" width="15.109375" style="121" customWidth="1"/>
    <col min="515" max="515" width="17" style="121" customWidth="1"/>
    <col min="516" max="516" width="16.33203125" style="121" customWidth="1"/>
    <col min="517" max="528" width="13" style="121" customWidth="1"/>
    <col min="529" max="529" width="17.33203125" style="121" customWidth="1"/>
    <col min="530" max="767" width="12" style="121"/>
    <col min="768" max="768" width="16.33203125" style="121" customWidth="1"/>
    <col min="769" max="769" width="30.77734375" style="121" customWidth="1"/>
    <col min="770" max="770" width="15.109375" style="121" customWidth="1"/>
    <col min="771" max="771" width="17" style="121" customWidth="1"/>
    <col min="772" max="772" width="16.33203125" style="121" customWidth="1"/>
    <col min="773" max="784" width="13" style="121" customWidth="1"/>
    <col min="785" max="785" width="17.33203125" style="121" customWidth="1"/>
    <col min="786" max="1023" width="12" style="121"/>
    <col min="1024" max="1024" width="16.33203125" style="121" customWidth="1"/>
    <col min="1025" max="1025" width="30.77734375" style="121" customWidth="1"/>
    <col min="1026" max="1026" width="15.109375" style="121" customWidth="1"/>
    <col min="1027" max="1027" width="17" style="121" customWidth="1"/>
    <col min="1028" max="1028" width="16.33203125" style="121" customWidth="1"/>
    <col min="1029" max="1040" width="13" style="121" customWidth="1"/>
    <col min="1041" max="1041" width="17.33203125" style="121" customWidth="1"/>
    <col min="1042" max="1279" width="12" style="121"/>
    <col min="1280" max="1280" width="16.33203125" style="121" customWidth="1"/>
    <col min="1281" max="1281" width="30.77734375" style="121" customWidth="1"/>
    <col min="1282" max="1282" width="15.109375" style="121" customWidth="1"/>
    <col min="1283" max="1283" width="17" style="121" customWidth="1"/>
    <col min="1284" max="1284" width="16.33203125" style="121" customWidth="1"/>
    <col min="1285" max="1296" width="13" style="121" customWidth="1"/>
    <col min="1297" max="1297" width="17.33203125" style="121" customWidth="1"/>
    <col min="1298" max="1535" width="12" style="121"/>
    <col min="1536" max="1536" width="16.33203125" style="121" customWidth="1"/>
    <col min="1537" max="1537" width="30.77734375" style="121" customWidth="1"/>
    <col min="1538" max="1538" width="15.109375" style="121" customWidth="1"/>
    <col min="1539" max="1539" width="17" style="121" customWidth="1"/>
    <col min="1540" max="1540" width="16.33203125" style="121" customWidth="1"/>
    <col min="1541" max="1552" width="13" style="121" customWidth="1"/>
    <col min="1553" max="1553" width="17.33203125" style="121" customWidth="1"/>
    <col min="1554" max="1791" width="12" style="121"/>
    <col min="1792" max="1792" width="16.33203125" style="121" customWidth="1"/>
    <col min="1793" max="1793" width="30.77734375" style="121" customWidth="1"/>
    <col min="1794" max="1794" width="15.109375" style="121" customWidth="1"/>
    <col min="1795" max="1795" width="17" style="121" customWidth="1"/>
    <col min="1796" max="1796" width="16.33203125" style="121" customWidth="1"/>
    <col min="1797" max="1808" width="13" style="121" customWidth="1"/>
    <col min="1809" max="1809" width="17.33203125" style="121" customWidth="1"/>
    <col min="1810" max="2047" width="12" style="121"/>
    <col min="2048" max="2048" width="16.33203125" style="121" customWidth="1"/>
    <col min="2049" max="2049" width="30.77734375" style="121" customWidth="1"/>
    <col min="2050" max="2050" width="15.109375" style="121" customWidth="1"/>
    <col min="2051" max="2051" width="17" style="121" customWidth="1"/>
    <col min="2052" max="2052" width="16.33203125" style="121" customWidth="1"/>
    <col min="2053" max="2064" width="13" style="121" customWidth="1"/>
    <col min="2065" max="2065" width="17.33203125" style="121" customWidth="1"/>
    <col min="2066" max="2303" width="12" style="121"/>
    <col min="2304" max="2304" width="16.33203125" style="121" customWidth="1"/>
    <col min="2305" max="2305" width="30.77734375" style="121" customWidth="1"/>
    <col min="2306" max="2306" width="15.109375" style="121" customWidth="1"/>
    <col min="2307" max="2307" width="17" style="121" customWidth="1"/>
    <col min="2308" max="2308" width="16.33203125" style="121" customWidth="1"/>
    <col min="2309" max="2320" width="13" style="121" customWidth="1"/>
    <col min="2321" max="2321" width="17.33203125" style="121" customWidth="1"/>
    <col min="2322" max="2559" width="12" style="121"/>
    <col min="2560" max="2560" width="16.33203125" style="121" customWidth="1"/>
    <col min="2561" max="2561" width="30.77734375" style="121" customWidth="1"/>
    <col min="2562" max="2562" width="15.109375" style="121" customWidth="1"/>
    <col min="2563" max="2563" width="17" style="121" customWidth="1"/>
    <col min="2564" max="2564" width="16.33203125" style="121" customWidth="1"/>
    <col min="2565" max="2576" width="13" style="121" customWidth="1"/>
    <col min="2577" max="2577" width="17.33203125" style="121" customWidth="1"/>
    <col min="2578" max="2815" width="12" style="121"/>
    <col min="2816" max="2816" width="16.33203125" style="121" customWidth="1"/>
    <col min="2817" max="2817" width="30.77734375" style="121" customWidth="1"/>
    <col min="2818" max="2818" width="15.109375" style="121" customWidth="1"/>
    <col min="2819" max="2819" width="17" style="121" customWidth="1"/>
    <col min="2820" max="2820" width="16.33203125" style="121" customWidth="1"/>
    <col min="2821" max="2832" width="13" style="121" customWidth="1"/>
    <col min="2833" max="2833" width="17.33203125" style="121" customWidth="1"/>
    <col min="2834" max="3071" width="12" style="121"/>
    <col min="3072" max="3072" width="16.33203125" style="121" customWidth="1"/>
    <col min="3073" max="3073" width="30.77734375" style="121" customWidth="1"/>
    <col min="3074" max="3074" width="15.109375" style="121" customWidth="1"/>
    <col min="3075" max="3075" width="17" style="121" customWidth="1"/>
    <col min="3076" max="3076" width="16.33203125" style="121" customWidth="1"/>
    <col min="3077" max="3088" width="13" style="121" customWidth="1"/>
    <col min="3089" max="3089" width="17.33203125" style="121" customWidth="1"/>
    <col min="3090" max="3327" width="12" style="121"/>
    <col min="3328" max="3328" width="16.33203125" style="121" customWidth="1"/>
    <col min="3329" max="3329" width="30.77734375" style="121" customWidth="1"/>
    <col min="3330" max="3330" width="15.109375" style="121" customWidth="1"/>
    <col min="3331" max="3331" width="17" style="121" customWidth="1"/>
    <col min="3332" max="3332" width="16.33203125" style="121" customWidth="1"/>
    <col min="3333" max="3344" width="13" style="121" customWidth="1"/>
    <col min="3345" max="3345" width="17.33203125" style="121" customWidth="1"/>
    <col min="3346" max="3583" width="12" style="121"/>
    <col min="3584" max="3584" width="16.33203125" style="121" customWidth="1"/>
    <col min="3585" max="3585" width="30.77734375" style="121" customWidth="1"/>
    <col min="3586" max="3586" width="15.109375" style="121" customWidth="1"/>
    <col min="3587" max="3587" width="17" style="121" customWidth="1"/>
    <col min="3588" max="3588" width="16.33203125" style="121" customWidth="1"/>
    <col min="3589" max="3600" width="13" style="121" customWidth="1"/>
    <col min="3601" max="3601" width="17.33203125" style="121" customWidth="1"/>
    <col min="3602" max="3839" width="12" style="121"/>
    <col min="3840" max="3840" width="16.33203125" style="121" customWidth="1"/>
    <col min="3841" max="3841" width="30.77734375" style="121" customWidth="1"/>
    <col min="3842" max="3842" width="15.109375" style="121" customWidth="1"/>
    <col min="3843" max="3843" width="17" style="121" customWidth="1"/>
    <col min="3844" max="3844" width="16.33203125" style="121" customWidth="1"/>
    <col min="3845" max="3856" width="13" style="121" customWidth="1"/>
    <col min="3857" max="3857" width="17.33203125" style="121" customWidth="1"/>
    <col min="3858" max="4095" width="12" style="121"/>
    <col min="4096" max="4096" width="16.33203125" style="121" customWidth="1"/>
    <col min="4097" max="4097" width="30.77734375" style="121" customWidth="1"/>
    <col min="4098" max="4098" width="15.109375" style="121" customWidth="1"/>
    <col min="4099" max="4099" width="17" style="121" customWidth="1"/>
    <col min="4100" max="4100" width="16.33203125" style="121" customWidth="1"/>
    <col min="4101" max="4112" width="13" style="121" customWidth="1"/>
    <col min="4113" max="4113" width="17.33203125" style="121" customWidth="1"/>
    <col min="4114" max="4351" width="12" style="121"/>
    <col min="4352" max="4352" width="16.33203125" style="121" customWidth="1"/>
    <col min="4353" max="4353" width="30.77734375" style="121" customWidth="1"/>
    <col min="4354" max="4354" width="15.109375" style="121" customWidth="1"/>
    <col min="4355" max="4355" width="17" style="121" customWidth="1"/>
    <col min="4356" max="4356" width="16.33203125" style="121" customWidth="1"/>
    <col min="4357" max="4368" width="13" style="121" customWidth="1"/>
    <col min="4369" max="4369" width="17.33203125" style="121" customWidth="1"/>
    <col min="4370" max="4607" width="12" style="121"/>
    <col min="4608" max="4608" width="16.33203125" style="121" customWidth="1"/>
    <col min="4609" max="4609" width="30.77734375" style="121" customWidth="1"/>
    <col min="4610" max="4610" width="15.109375" style="121" customWidth="1"/>
    <col min="4611" max="4611" width="17" style="121" customWidth="1"/>
    <col min="4612" max="4612" width="16.33203125" style="121" customWidth="1"/>
    <col min="4613" max="4624" width="13" style="121" customWidth="1"/>
    <col min="4625" max="4625" width="17.33203125" style="121" customWidth="1"/>
    <col min="4626" max="4863" width="12" style="121"/>
    <col min="4864" max="4864" width="16.33203125" style="121" customWidth="1"/>
    <col min="4865" max="4865" width="30.77734375" style="121" customWidth="1"/>
    <col min="4866" max="4866" width="15.109375" style="121" customWidth="1"/>
    <col min="4867" max="4867" width="17" style="121" customWidth="1"/>
    <col min="4868" max="4868" width="16.33203125" style="121" customWidth="1"/>
    <col min="4869" max="4880" width="13" style="121" customWidth="1"/>
    <col min="4881" max="4881" width="17.33203125" style="121" customWidth="1"/>
    <col min="4882" max="5119" width="12" style="121"/>
    <col min="5120" max="5120" width="16.33203125" style="121" customWidth="1"/>
    <col min="5121" max="5121" width="30.77734375" style="121" customWidth="1"/>
    <col min="5122" max="5122" width="15.109375" style="121" customWidth="1"/>
    <col min="5123" max="5123" width="17" style="121" customWidth="1"/>
    <col min="5124" max="5124" width="16.33203125" style="121" customWidth="1"/>
    <col min="5125" max="5136" width="13" style="121" customWidth="1"/>
    <col min="5137" max="5137" width="17.33203125" style="121" customWidth="1"/>
    <col min="5138" max="5375" width="12" style="121"/>
    <col min="5376" max="5376" width="16.33203125" style="121" customWidth="1"/>
    <col min="5377" max="5377" width="30.77734375" style="121" customWidth="1"/>
    <col min="5378" max="5378" width="15.109375" style="121" customWidth="1"/>
    <col min="5379" max="5379" width="17" style="121" customWidth="1"/>
    <col min="5380" max="5380" width="16.33203125" style="121" customWidth="1"/>
    <col min="5381" max="5392" width="13" style="121" customWidth="1"/>
    <col min="5393" max="5393" width="17.33203125" style="121" customWidth="1"/>
    <col min="5394" max="5631" width="12" style="121"/>
    <col min="5632" max="5632" width="16.33203125" style="121" customWidth="1"/>
    <col min="5633" max="5633" width="30.77734375" style="121" customWidth="1"/>
    <col min="5634" max="5634" width="15.109375" style="121" customWidth="1"/>
    <col min="5635" max="5635" width="17" style="121" customWidth="1"/>
    <col min="5636" max="5636" width="16.33203125" style="121" customWidth="1"/>
    <col min="5637" max="5648" width="13" style="121" customWidth="1"/>
    <col min="5649" max="5649" width="17.33203125" style="121" customWidth="1"/>
    <col min="5650" max="5887" width="12" style="121"/>
    <col min="5888" max="5888" width="16.33203125" style="121" customWidth="1"/>
    <col min="5889" max="5889" width="30.77734375" style="121" customWidth="1"/>
    <col min="5890" max="5890" width="15.109375" style="121" customWidth="1"/>
    <col min="5891" max="5891" width="17" style="121" customWidth="1"/>
    <col min="5892" max="5892" width="16.33203125" style="121" customWidth="1"/>
    <col min="5893" max="5904" width="13" style="121" customWidth="1"/>
    <col min="5905" max="5905" width="17.33203125" style="121" customWidth="1"/>
    <col min="5906" max="6143" width="12" style="121"/>
    <col min="6144" max="6144" width="16.33203125" style="121" customWidth="1"/>
    <col min="6145" max="6145" width="30.77734375" style="121" customWidth="1"/>
    <col min="6146" max="6146" width="15.109375" style="121" customWidth="1"/>
    <col min="6147" max="6147" width="17" style="121" customWidth="1"/>
    <col min="6148" max="6148" width="16.33203125" style="121" customWidth="1"/>
    <col min="6149" max="6160" width="13" style="121" customWidth="1"/>
    <col min="6161" max="6161" width="17.33203125" style="121" customWidth="1"/>
    <col min="6162" max="6399" width="12" style="121"/>
    <col min="6400" max="6400" width="16.33203125" style="121" customWidth="1"/>
    <col min="6401" max="6401" width="30.77734375" style="121" customWidth="1"/>
    <col min="6402" max="6402" width="15.109375" style="121" customWidth="1"/>
    <col min="6403" max="6403" width="17" style="121" customWidth="1"/>
    <col min="6404" max="6404" width="16.33203125" style="121" customWidth="1"/>
    <col min="6405" max="6416" width="13" style="121" customWidth="1"/>
    <col min="6417" max="6417" width="17.33203125" style="121" customWidth="1"/>
    <col min="6418" max="6655" width="12" style="121"/>
    <col min="6656" max="6656" width="16.33203125" style="121" customWidth="1"/>
    <col min="6657" max="6657" width="30.77734375" style="121" customWidth="1"/>
    <col min="6658" max="6658" width="15.109375" style="121" customWidth="1"/>
    <col min="6659" max="6659" width="17" style="121" customWidth="1"/>
    <col min="6660" max="6660" width="16.33203125" style="121" customWidth="1"/>
    <col min="6661" max="6672" width="13" style="121" customWidth="1"/>
    <col min="6673" max="6673" width="17.33203125" style="121" customWidth="1"/>
    <col min="6674" max="6911" width="12" style="121"/>
    <col min="6912" max="6912" width="16.33203125" style="121" customWidth="1"/>
    <col min="6913" max="6913" width="30.77734375" style="121" customWidth="1"/>
    <col min="6914" max="6914" width="15.109375" style="121" customWidth="1"/>
    <col min="6915" max="6915" width="17" style="121" customWidth="1"/>
    <col min="6916" max="6916" width="16.33203125" style="121" customWidth="1"/>
    <col min="6917" max="6928" width="13" style="121" customWidth="1"/>
    <col min="6929" max="6929" width="17.33203125" style="121" customWidth="1"/>
    <col min="6930" max="7167" width="12" style="121"/>
    <col min="7168" max="7168" width="16.33203125" style="121" customWidth="1"/>
    <col min="7169" max="7169" width="30.77734375" style="121" customWidth="1"/>
    <col min="7170" max="7170" width="15.109375" style="121" customWidth="1"/>
    <col min="7171" max="7171" width="17" style="121" customWidth="1"/>
    <col min="7172" max="7172" width="16.33203125" style="121" customWidth="1"/>
    <col min="7173" max="7184" width="13" style="121" customWidth="1"/>
    <col min="7185" max="7185" width="17.33203125" style="121" customWidth="1"/>
    <col min="7186" max="7423" width="12" style="121"/>
    <col min="7424" max="7424" width="16.33203125" style="121" customWidth="1"/>
    <col min="7425" max="7425" width="30.77734375" style="121" customWidth="1"/>
    <col min="7426" max="7426" width="15.109375" style="121" customWidth="1"/>
    <col min="7427" max="7427" width="17" style="121" customWidth="1"/>
    <col min="7428" max="7428" width="16.33203125" style="121" customWidth="1"/>
    <col min="7429" max="7440" width="13" style="121" customWidth="1"/>
    <col min="7441" max="7441" width="17.33203125" style="121" customWidth="1"/>
    <col min="7442" max="7679" width="12" style="121"/>
    <col min="7680" max="7680" width="16.33203125" style="121" customWidth="1"/>
    <col min="7681" max="7681" width="30.77734375" style="121" customWidth="1"/>
    <col min="7682" max="7682" width="15.109375" style="121" customWidth="1"/>
    <col min="7683" max="7683" width="17" style="121" customWidth="1"/>
    <col min="7684" max="7684" width="16.33203125" style="121" customWidth="1"/>
    <col min="7685" max="7696" width="13" style="121" customWidth="1"/>
    <col min="7697" max="7697" width="17.33203125" style="121" customWidth="1"/>
    <col min="7698" max="7935" width="12" style="121"/>
    <col min="7936" max="7936" width="16.33203125" style="121" customWidth="1"/>
    <col min="7937" max="7937" width="30.77734375" style="121" customWidth="1"/>
    <col min="7938" max="7938" width="15.109375" style="121" customWidth="1"/>
    <col min="7939" max="7939" width="17" style="121" customWidth="1"/>
    <col min="7940" max="7940" width="16.33203125" style="121" customWidth="1"/>
    <col min="7941" max="7952" width="13" style="121" customWidth="1"/>
    <col min="7953" max="7953" width="17.33203125" style="121" customWidth="1"/>
    <col min="7954" max="8191" width="12" style="121"/>
    <col min="8192" max="8192" width="16.33203125" style="121" customWidth="1"/>
    <col min="8193" max="8193" width="30.77734375" style="121" customWidth="1"/>
    <col min="8194" max="8194" width="15.109375" style="121" customWidth="1"/>
    <col min="8195" max="8195" width="17" style="121" customWidth="1"/>
    <col min="8196" max="8196" width="16.33203125" style="121" customWidth="1"/>
    <col min="8197" max="8208" width="13" style="121" customWidth="1"/>
    <col min="8209" max="8209" width="17.33203125" style="121" customWidth="1"/>
    <col min="8210" max="8447" width="12" style="121"/>
    <col min="8448" max="8448" width="16.33203125" style="121" customWidth="1"/>
    <col min="8449" max="8449" width="30.77734375" style="121" customWidth="1"/>
    <col min="8450" max="8450" width="15.109375" style="121" customWidth="1"/>
    <col min="8451" max="8451" width="17" style="121" customWidth="1"/>
    <col min="8452" max="8452" width="16.33203125" style="121" customWidth="1"/>
    <col min="8453" max="8464" width="13" style="121" customWidth="1"/>
    <col min="8465" max="8465" width="17.33203125" style="121" customWidth="1"/>
    <col min="8466" max="8703" width="12" style="121"/>
    <col min="8704" max="8704" width="16.33203125" style="121" customWidth="1"/>
    <col min="8705" max="8705" width="30.77734375" style="121" customWidth="1"/>
    <col min="8706" max="8706" width="15.109375" style="121" customWidth="1"/>
    <col min="8707" max="8707" width="17" style="121" customWidth="1"/>
    <col min="8708" max="8708" width="16.33203125" style="121" customWidth="1"/>
    <col min="8709" max="8720" width="13" style="121" customWidth="1"/>
    <col min="8721" max="8721" width="17.33203125" style="121" customWidth="1"/>
    <col min="8722" max="8959" width="12" style="121"/>
    <col min="8960" max="8960" width="16.33203125" style="121" customWidth="1"/>
    <col min="8961" max="8961" width="30.77734375" style="121" customWidth="1"/>
    <col min="8962" max="8962" width="15.109375" style="121" customWidth="1"/>
    <col min="8963" max="8963" width="17" style="121" customWidth="1"/>
    <col min="8964" max="8964" width="16.33203125" style="121" customWidth="1"/>
    <col min="8965" max="8976" width="13" style="121" customWidth="1"/>
    <col min="8977" max="8977" width="17.33203125" style="121" customWidth="1"/>
    <col min="8978" max="9215" width="12" style="121"/>
    <col min="9216" max="9216" width="16.33203125" style="121" customWidth="1"/>
    <col min="9217" max="9217" width="30.77734375" style="121" customWidth="1"/>
    <col min="9218" max="9218" width="15.109375" style="121" customWidth="1"/>
    <col min="9219" max="9219" width="17" style="121" customWidth="1"/>
    <col min="9220" max="9220" width="16.33203125" style="121" customWidth="1"/>
    <col min="9221" max="9232" width="13" style="121" customWidth="1"/>
    <col min="9233" max="9233" width="17.33203125" style="121" customWidth="1"/>
    <col min="9234" max="9471" width="12" style="121"/>
    <col min="9472" max="9472" width="16.33203125" style="121" customWidth="1"/>
    <col min="9473" max="9473" width="30.77734375" style="121" customWidth="1"/>
    <col min="9474" max="9474" width="15.109375" style="121" customWidth="1"/>
    <col min="9475" max="9475" width="17" style="121" customWidth="1"/>
    <col min="9476" max="9476" width="16.33203125" style="121" customWidth="1"/>
    <col min="9477" max="9488" width="13" style="121" customWidth="1"/>
    <col min="9489" max="9489" width="17.33203125" style="121" customWidth="1"/>
    <col min="9490" max="9727" width="12" style="121"/>
    <col min="9728" max="9728" width="16.33203125" style="121" customWidth="1"/>
    <col min="9729" max="9729" width="30.77734375" style="121" customWidth="1"/>
    <col min="9730" max="9730" width="15.109375" style="121" customWidth="1"/>
    <col min="9731" max="9731" width="17" style="121" customWidth="1"/>
    <col min="9732" max="9732" width="16.33203125" style="121" customWidth="1"/>
    <col min="9733" max="9744" width="13" style="121" customWidth="1"/>
    <col min="9745" max="9745" width="17.33203125" style="121" customWidth="1"/>
    <col min="9746" max="9983" width="12" style="121"/>
    <col min="9984" max="9984" width="16.33203125" style="121" customWidth="1"/>
    <col min="9985" max="9985" width="30.77734375" style="121" customWidth="1"/>
    <col min="9986" max="9986" width="15.109375" style="121" customWidth="1"/>
    <col min="9987" max="9987" width="17" style="121" customWidth="1"/>
    <col min="9988" max="9988" width="16.33203125" style="121" customWidth="1"/>
    <col min="9989" max="10000" width="13" style="121" customWidth="1"/>
    <col min="10001" max="10001" width="17.33203125" style="121" customWidth="1"/>
    <col min="10002" max="10239" width="12" style="121"/>
    <col min="10240" max="10240" width="16.33203125" style="121" customWidth="1"/>
    <col min="10241" max="10241" width="30.77734375" style="121" customWidth="1"/>
    <col min="10242" max="10242" width="15.109375" style="121" customWidth="1"/>
    <col min="10243" max="10243" width="17" style="121" customWidth="1"/>
    <col min="10244" max="10244" width="16.33203125" style="121" customWidth="1"/>
    <col min="10245" max="10256" width="13" style="121" customWidth="1"/>
    <col min="10257" max="10257" width="17.33203125" style="121" customWidth="1"/>
    <col min="10258" max="10495" width="12" style="121"/>
    <col min="10496" max="10496" width="16.33203125" style="121" customWidth="1"/>
    <col min="10497" max="10497" width="30.77734375" style="121" customWidth="1"/>
    <col min="10498" max="10498" width="15.109375" style="121" customWidth="1"/>
    <col min="10499" max="10499" width="17" style="121" customWidth="1"/>
    <col min="10500" max="10500" width="16.33203125" style="121" customWidth="1"/>
    <col min="10501" max="10512" width="13" style="121" customWidth="1"/>
    <col min="10513" max="10513" width="17.33203125" style="121" customWidth="1"/>
    <col min="10514" max="10751" width="12" style="121"/>
    <col min="10752" max="10752" width="16.33203125" style="121" customWidth="1"/>
    <col min="10753" max="10753" width="30.77734375" style="121" customWidth="1"/>
    <col min="10754" max="10754" width="15.109375" style="121" customWidth="1"/>
    <col min="10755" max="10755" width="17" style="121" customWidth="1"/>
    <col min="10756" max="10756" width="16.33203125" style="121" customWidth="1"/>
    <col min="10757" max="10768" width="13" style="121" customWidth="1"/>
    <col min="10769" max="10769" width="17.33203125" style="121" customWidth="1"/>
    <col min="10770" max="11007" width="12" style="121"/>
    <col min="11008" max="11008" width="16.33203125" style="121" customWidth="1"/>
    <col min="11009" max="11009" width="30.77734375" style="121" customWidth="1"/>
    <col min="11010" max="11010" width="15.109375" style="121" customWidth="1"/>
    <col min="11011" max="11011" width="17" style="121" customWidth="1"/>
    <col min="11012" max="11012" width="16.33203125" style="121" customWidth="1"/>
    <col min="11013" max="11024" width="13" style="121" customWidth="1"/>
    <col min="11025" max="11025" width="17.33203125" style="121" customWidth="1"/>
    <col min="11026" max="11263" width="12" style="121"/>
    <col min="11264" max="11264" width="16.33203125" style="121" customWidth="1"/>
    <col min="11265" max="11265" width="30.77734375" style="121" customWidth="1"/>
    <col min="11266" max="11266" width="15.109375" style="121" customWidth="1"/>
    <col min="11267" max="11267" width="17" style="121" customWidth="1"/>
    <col min="11268" max="11268" width="16.33203125" style="121" customWidth="1"/>
    <col min="11269" max="11280" width="13" style="121" customWidth="1"/>
    <col min="11281" max="11281" width="17.33203125" style="121" customWidth="1"/>
    <col min="11282" max="11519" width="12" style="121"/>
    <col min="11520" max="11520" width="16.33203125" style="121" customWidth="1"/>
    <col min="11521" max="11521" width="30.77734375" style="121" customWidth="1"/>
    <col min="11522" max="11522" width="15.109375" style="121" customWidth="1"/>
    <col min="11523" max="11523" width="17" style="121" customWidth="1"/>
    <col min="11524" max="11524" width="16.33203125" style="121" customWidth="1"/>
    <col min="11525" max="11536" width="13" style="121" customWidth="1"/>
    <col min="11537" max="11537" width="17.33203125" style="121" customWidth="1"/>
    <col min="11538" max="11775" width="12" style="121"/>
    <col min="11776" max="11776" width="16.33203125" style="121" customWidth="1"/>
    <col min="11777" max="11777" width="30.77734375" style="121" customWidth="1"/>
    <col min="11778" max="11778" width="15.109375" style="121" customWidth="1"/>
    <col min="11779" max="11779" width="17" style="121" customWidth="1"/>
    <col min="11780" max="11780" width="16.33203125" style="121" customWidth="1"/>
    <col min="11781" max="11792" width="13" style="121" customWidth="1"/>
    <col min="11793" max="11793" width="17.33203125" style="121" customWidth="1"/>
    <col min="11794" max="12031" width="12" style="121"/>
    <col min="12032" max="12032" width="16.33203125" style="121" customWidth="1"/>
    <col min="12033" max="12033" width="30.77734375" style="121" customWidth="1"/>
    <col min="12034" max="12034" width="15.109375" style="121" customWidth="1"/>
    <col min="12035" max="12035" width="17" style="121" customWidth="1"/>
    <col min="12036" max="12036" width="16.33203125" style="121" customWidth="1"/>
    <col min="12037" max="12048" width="13" style="121" customWidth="1"/>
    <col min="12049" max="12049" width="17.33203125" style="121" customWidth="1"/>
    <col min="12050" max="12287" width="12" style="121"/>
    <col min="12288" max="12288" width="16.33203125" style="121" customWidth="1"/>
    <col min="12289" max="12289" width="30.77734375" style="121" customWidth="1"/>
    <col min="12290" max="12290" width="15.109375" style="121" customWidth="1"/>
    <col min="12291" max="12291" width="17" style="121" customWidth="1"/>
    <col min="12292" max="12292" width="16.33203125" style="121" customWidth="1"/>
    <col min="12293" max="12304" width="13" style="121" customWidth="1"/>
    <col min="12305" max="12305" width="17.33203125" style="121" customWidth="1"/>
    <col min="12306" max="12543" width="12" style="121"/>
    <col min="12544" max="12544" width="16.33203125" style="121" customWidth="1"/>
    <col min="12545" max="12545" width="30.77734375" style="121" customWidth="1"/>
    <col min="12546" max="12546" width="15.109375" style="121" customWidth="1"/>
    <col min="12547" max="12547" width="17" style="121" customWidth="1"/>
    <col min="12548" max="12548" width="16.33203125" style="121" customWidth="1"/>
    <col min="12549" max="12560" width="13" style="121" customWidth="1"/>
    <col min="12561" max="12561" width="17.33203125" style="121" customWidth="1"/>
    <col min="12562" max="12799" width="12" style="121"/>
    <col min="12800" max="12800" width="16.33203125" style="121" customWidth="1"/>
    <col min="12801" max="12801" width="30.77734375" style="121" customWidth="1"/>
    <col min="12802" max="12802" width="15.109375" style="121" customWidth="1"/>
    <col min="12803" max="12803" width="17" style="121" customWidth="1"/>
    <col min="12804" max="12804" width="16.33203125" style="121" customWidth="1"/>
    <col min="12805" max="12816" width="13" style="121" customWidth="1"/>
    <col min="12817" max="12817" width="17.33203125" style="121" customWidth="1"/>
    <col min="12818" max="13055" width="12" style="121"/>
    <col min="13056" max="13056" width="16.33203125" style="121" customWidth="1"/>
    <col min="13057" max="13057" width="30.77734375" style="121" customWidth="1"/>
    <col min="13058" max="13058" width="15.109375" style="121" customWidth="1"/>
    <col min="13059" max="13059" width="17" style="121" customWidth="1"/>
    <col min="13060" max="13060" width="16.33203125" style="121" customWidth="1"/>
    <col min="13061" max="13072" width="13" style="121" customWidth="1"/>
    <col min="13073" max="13073" width="17.33203125" style="121" customWidth="1"/>
    <col min="13074" max="13311" width="12" style="121"/>
    <col min="13312" max="13312" width="16.33203125" style="121" customWidth="1"/>
    <col min="13313" max="13313" width="30.77734375" style="121" customWidth="1"/>
    <col min="13314" max="13314" width="15.109375" style="121" customWidth="1"/>
    <col min="13315" max="13315" width="17" style="121" customWidth="1"/>
    <col min="13316" max="13316" width="16.33203125" style="121" customWidth="1"/>
    <col min="13317" max="13328" width="13" style="121" customWidth="1"/>
    <col min="13329" max="13329" width="17.33203125" style="121" customWidth="1"/>
    <col min="13330" max="13567" width="12" style="121"/>
    <col min="13568" max="13568" width="16.33203125" style="121" customWidth="1"/>
    <col min="13569" max="13569" width="30.77734375" style="121" customWidth="1"/>
    <col min="13570" max="13570" width="15.109375" style="121" customWidth="1"/>
    <col min="13571" max="13571" width="17" style="121" customWidth="1"/>
    <col min="13572" max="13572" width="16.33203125" style="121" customWidth="1"/>
    <col min="13573" max="13584" width="13" style="121" customWidth="1"/>
    <col min="13585" max="13585" width="17.33203125" style="121" customWidth="1"/>
    <col min="13586" max="13823" width="12" style="121"/>
    <col min="13824" max="13824" width="16.33203125" style="121" customWidth="1"/>
    <col min="13825" max="13825" width="30.77734375" style="121" customWidth="1"/>
    <col min="13826" max="13826" width="15.109375" style="121" customWidth="1"/>
    <col min="13827" max="13827" width="17" style="121" customWidth="1"/>
    <col min="13828" max="13828" width="16.33203125" style="121" customWidth="1"/>
    <col min="13829" max="13840" width="13" style="121" customWidth="1"/>
    <col min="13841" max="13841" width="17.33203125" style="121" customWidth="1"/>
    <col min="13842" max="14079" width="12" style="121"/>
    <col min="14080" max="14080" width="16.33203125" style="121" customWidth="1"/>
    <col min="14081" max="14081" width="30.77734375" style="121" customWidth="1"/>
    <col min="14082" max="14082" width="15.109375" style="121" customWidth="1"/>
    <col min="14083" max="14083" width="17" style="121" customWidth="1"/>
    <col min="14084" max="14084" width="16.33203125" style="121" customWidth="1"/>
    <col min="14085" max="14096" width="13" style="121" customWidth="1"/>
    <col min="14097" max="14097" width="17.33203125" style="121" customWidth="1"/>
    <col min="14098" max="14335" width="12" style="121"/>
    <col min="14336" max="14336" width="16.33203125" style="121" customWidth="1"/>
    <col min="14337" max="14337" width="30.77734375" style="121" customWidth="1"/>
    <col min="14338" max="14338" width="15.109375" style="121" customWidth="1"/>
    <col min="14339" max="14339" width="17" style="121" customWidth="1"/>
    <col min="14340" max="14340" width="16.33203125" style="121" customWidth="1"/>
    <col min="14341" max="14352" width="13" style="121" customWidth="1"/>
    <col min="14353" max="14353" width="17.33203125" style="121" customWidth="1"/>
    <col min="14354" max="14591" width="12" style="121"/>
    <col min="14592" max="14592" width="16.33203125" style="121" customWidth="1"/>
    <col min="14593" max="14593" width="30.77734375" style="121" customWidth="1"/>
    <col min="14594" max="14594" width="15.109375" style="121" customWidth="1"/>
    <col min="14595" max="14595" width="17" style="121" customWidth="1"/>
    <col min="14596" max="14596" width="16.33203125" style="121" customWidth="1"/>
    <col min="14597" max="14608" width="13" style="121" customWidth="1"/>
    <col min="14609" max="14609" width="17.33203125" style="121" customWidth="1"/>
    <col min="14610" max="14847" width="12" style="121"/>
    <col min="14848" max="14848" width="16.33203125" style="121" customWidth="1"/>
    <col min="14849" max="14849" width="30.77734375" style="121" customWidth="1"/>
    <col min="14850" max="14850" width="15.109375" style="121" customWidth="1"/>
    <col min="14851" max="14851" width="17" style="121" customWidth="1"/>
    <col min="14852" max="14852" width="16.33203125" style="121" customWidth="1"/>
    <col min="14853" max="14864" width="13" style="121" customWidth="1"/>
    <col min="14865" max="14865" width="17.33203125" style="121" customWidth="1"/>
    <col min="14866" max="15103" width="12" style="121"/>
    <col min="15104" max="15104" width="16.33203125" style="121" customWidth="1"/>
    <col min="15105" max="15105" width="30.77734375" style="121" customWidth="1"/>
    <col min="15106" max="15106" width="15.109375" style="121" customWidth="1"/>
    <col min="15107" max="15107" width="17" style="121" customWidth="1"/>
    <col min="15108" max="15108" width="16.33203125" style="121" customWidth="1"/>
    <col min="15109" max="15120" width="13" style="121" customWidth="1"/>
    <col min="15121" max="15121" width="17.33203125" style="121" customWidth="1"/>
    <col min="15122" max="15359" width="12" style="121"/>
    <col min="15360" max="15360" width="16.33203125" style="121" customWidth="1"/>
    <col min="15361" max="15361" width="30.77734375" style="121" customWidth="1"/>
    <col min="15362" max="15362" width="15.109375" style="121" customWidth="1"/>
    <col min="15363" max="15363" width="17" style="121" customWidth="1"/>
    <col min="15364" max="15364" width="16.33203125" style="121" customWidth="1"/>
    <col min="15365" max="15376" width="13" style="121" customWidth="1"/>
    <col min="15377" max="15377" width="17.33203125" style="121" customWidth="1"/>
    <col min="15378" max="15615" width="12" style="121"/>
    <col min="15616" max="15616" width="16.33203125" style="121" customWidth="1"/>
    <col min="15617" max="15617" width="30.77734375" style="121" customWidth="1"/>
    <col min="15618" max="15618" width="15.109375" style="121" customWidth="1"/>
    <col min="15619" max="15619" width="17" style="121" customWidth="1"/>
    <col min="15620" max="15620" width="16.33203125" style="121" customWidth="1"/>
    <col min="15621" max="15632" width="13" style="121" customWidth="1"/>
    <col min="15633" max="15633" width="17.33203125" style="121" customWidth="1"/>
    <col min="15634" max="15871" width="12" style="121"/>
    <col min="15872" max="15872" width="16.33203125" style="121" customWidth="1"/>
    <col min="15873" max="15873" width="30.77734375" style="121" customWidth="1"/>
    <col min="15874" max="15874" width="15.109375" style="121" customWidth="1"/>
    <col min="15875" max="15875" width="17" style="121" customWidth="1"/>
    <col min="15876" max="15876" width="16.33203125" style="121" customWidth="1"/>
    <col min="15877" max="15888" width="13" style="121" customWidth="1"/>
    <col min="15889" max="15889" width="17.33203125" style="121" customWidth="1"/>
    <col min="15890" max="16127" width="12" style="121"/>
    <col min="16128" max="16128" width="16.33203125" style="121" customWidth="1"/>
    <col min="16129" max="16129" width="30.77734375" style="121" customWidth="1"/>
    <col min="16130" max="16130" width="15.109375" style="121" customWidth="1"/>
    <col min="16131" max="16131" width="17" style="121" customWidth="1"/>
    <col min="16132" max="16132" width="16.33203125" style="121" customWidth="1"/>
    <col min="16133" max="16144" width="13" style="121" customWidth="1"/>
    <col min="16145" max="16145" width="17.33203125" style="121" customWidth="1"/>
    <col min="16146" max="16384" width="12" style="121"/>
  </cols>
  <sheetData>
    <row r="1" spans="1:18" s="15" customFormat="1" ht="39" customHeight="1" x14ac:dyDescent="0.25">
      <c r="F1" s="14" t="str">
        <f>Instructivo!F1</f>
        <v>Sistema de Gestión Integral (SGI)
Instructivo - Componente Financiero EP
Código: F-PGC-21. Versión: 05</v>
      </c>
      <c r="G1" s="14"/>
      <c r="H1" s="14"/>
      <c r="I1" s="14"/>
      <c r="J1" s="14"/>
      <c r="K1" s="14"/>
      <c r="M1" s="132" t="s">
        <v>102</v>
      </c>
    </row>
    <row r="2" spans="1:18" s="15" customFormat="1" ht="18" customHeight="1" x14ac:dyDescent="0.25">
      <c r="F2" s="13" t="s">
        <v>359</v>
      </c>
      <c r="G2" s="13"/>
      <c r="H2" s="13"/>
      <c r="I2" s="13"/>
      <c r="J2" s="13"/>
      <c r="K2" s="13"/>
      <c r="M2" s="132" t="s">
        <v>360</v>
      </c>
    </row>
    <row r="3" spans="1:18" ht="6" customHeight="1" x14ac:dyDescent="0.25"/>
    <row r="4" spans="1:18" s="135" customFormat="1" ht="18" customHeight="1" x14ac:dyDescent="0.25">
      <c r="A4" s="12" t="s">
        <v>104</v>
      </c>
      <c r="B4" s="12"/>
      <c r="C4" s="11" t="s">
        <v>361</v>
      </c>
      <c r="D4" s="11"/>
      <c r="E4" s="11"/>
      <c r="F4" s="11"/>
      <c r="G4" s="11"/>
      <c r="H4" s="11"/>
      <c r="I4" s="11"/>
      <c r="J4" s="11"/>
      <c r="K4" s="11"/>
      <c r="L4" s="11"/>
      <c r="M4" s="11"/>
      <c r="N4" s="11"/>
      <c r="O4" s="11"/>
      <c r="P4" s="11"/>
      <c r="Q4" s="11"/>
      <c r="R4" s="134" t="str">
        <f>C4</f>
        <v>Directa</v>
      </c>
    </row>
    <row r="5" spans="1:18" s="135" customFormat="1" ht="18" customHeight="1" x14ac:dyDescent="0.25">
      <c r="A5" s="12" t="s">
        <v>105</v>
      </c>
      <c r="B5" s="12"/>
      <c r="C5" s="11" t="s">
        <v>362</v>
      </c>
      <c r="D5" s="11"/>
      <c r="E5" s="11"/>
      <c r="F5" s="11"/>
      <c r="G5" s="11"/>
      <c r="H5" s="11"/>
      <c r="I5" s="11"/>
      <c r="J5" s="11"/>
      <c r="K5" s="11"/>
      <c r="L5" s="11"/>
      <c r="M5" s="11"/>
      <c r="N5" s="11"/>
      <c r="O5" s="11"/>
      <c r="P5" s="11"/>
      <c r="Q5" s="11"/>
      <c r="R5" s="134" t="str">
        <f>C5</f>
        <v>Prestar los servicios profesionales para apoyar las actividades técnicas y administrativas, requeridas en el desarrollo del grupo Gestión Integral del Recurso Hídrico en la Subdirección de Gestión Ambiental</v>
      </c>
    </row>
    <row r="6" spans="1:18" s="135" customFormat="1" ht="18" customHeight="1" x14ac:dyDescent="0.25">
      <c r="B6" s="136"/>
      <c r="C6" s="136"/>
      <c r="D6" s="136"/>
      <c r="E6" s="137"/>
      <c r="F6" s="137"/>
      <c r="G6" s="137"/>
      <c r="H6" s="137"/>
      <c r="I6" s="138"/>
      <c r="J6" s="138"/>
      <c r="K6" s="138"/>
      <c r="L6" s="138"/>
      <c r="M6" s="138"/>
      <c r="N6" s="138"/>
      <c r="O6" s="138"/>
      <c r="P6" s="138"/>
      <c r="Q6" s="138"/>
      <c r="R6" s="139"/>
    </row>
    <row r="7" spans="1:18" ht="18" customHeight="1" x14ac:dyDescent="0.25">
      <c r="A7" s="10" t="s">
        <v>363</v>
      </c>
      <c r="B7" s="10"/>
      <c r="C7" s="9" t="s">
        <v>364</v>
      </c>
      <c r="D7" s="9"/>
      <c r="E7" s="9"/>
      <c r="F7" s="9"/>
      <c r="G7" s="9"/>
      <c r="H7" s="140"/>
      <c r="I7" s="140"/>
      <c r="J7" s="140"/>
      <c r="K7" s="140"/>
      <c r="L7" s="140"/>
      <c r="M7" s="140"/>
      <c r="N7" s="140"/>
      <c r="O7" s="140"/>
      <c r="P7" s="140"/>
    </row>
    <row r="8" spans="1:18" ht="18" customHeight="1" x14ac:dyDescent="0.25">
      <c r="A8" s="10" t="s">
        <v>365</v>
      </c>
      <c r="B8" s="10"/>
      <c r="C8" s="9" t="s">
        <v>366</v>
      </c>
      <c r="D8" s="9"/>
      <c r="E8" s="9"/>
      <c r="F8" s="9"/>
      <c r="G8" s="9"/>
      <c r="H8" s="140"/>
      <c r="I8" s="140"/>
      <c r="J8" s="140"/>
      <c r="K8" s="140"/>
      <c r="L8" s="140"/>
      <c r="M8" s="140"/>
      <c r="N8" s="140"/>
      <c r="O8" s="140"/>
      <c r="P8" s="140"/>
    </row>
    <row r="9" spans="1:18" ht="18" customHeight="1" x14ac:dyDescent="0.25">
      <c r="A9" s="8" t="s">
        <v>108</v>
      </c>
      <c r="B9" s="8"/>
      <c r="C9" s="9" t="s">
        <v>367</v>
      </c>
      <c r="D9" s="9"/>
      <c r="E9" s="9"/>
      <c r="F9" s="9"/>
      <c r="G9" s="9"/>
      <c r="H9" s="140"/>
      <c r="I9" s="140"/>
      <c r="J9" s="140"/>
      <c r="K9" s="140"/>
      <c r="L9" s="140"/>
      <c r="M9" s="140"/>
      <c r="N9" s="140"/>
      <c r="O9" s="140"/>
      <c r="P9" s="140"/>
    </row>
    <row r="10" spans="1:18" ht="18" customHeight="1" x14ac:dyDescent="0.25">
      <c r="A10" s="8" t="s">
        <v>109</v>
      </c>
      <c r="B10" s="8"/>
      <c r="C10" s="9" t="s">
        <v>368</v>
      </c>
      <c r="D10" s="9"/>
      <c r="E10" s="9"/>
      <c r="F10" s="9"/>
      <c r="G10" s="9"/>
      <c r="H10" s="140"/>
    </row>
    <row r="11" spans="1:18" ht="18" customHeight="1" x14ac:dyDescent="0.25">
      <c r="A11" s="141"/>
      <c r="B11" s="142"/>
      <c r="C11" s="142"/>
      <c r="D11" s="142"/>
      <c r="E11" s="142"/>
      <c r="F11" s="143"/>
      <c r="G11" s="143"/>
      <c r="H11" s="143"/>
    </row>
    <row r="12" spans="1:18" ht="18" customHeight="1" x14ac:dyDescent="0.25">
      <c r="A12" s="7" t="s">
        <v>110</v>
      </c>
      <c r="B12" s="7"/>
      <c r="C12" s="7"/>
      <c r="D12" s="7"/>
      <c r="E12" s="7"/>
      <c r="F12" s="7"/>
      <c r="G12" s="7"/>
      <c r="H12" s="7"/>
      <c r="I12" s="7"/>
      <c r="J12" s="7"/>
      <c r="K12" s="7"/>
      <c r="L12" s="7"/>
      <c r="M12" s="7"/>
      <c r="N12" s="7"/>
      <c r="O12" s="7"/>
      <c r="P12" s="7"/>
      <c r="Q12" s="7"/>
    </row>
    <row r="13" spans="1:18" ht="18" customHeight="1" x14ac:dyDescent="0.25">
      <c r="A13" s="6"/>
      <c r="B13" s="5" t="s">
        <v>16</v>
      </c>
      <c r="C13" s="4" t="s">
        <v>111</v>
      </c>
      <c r="D13" s="4" t="s">
        <v>113</v>
      </c>
      <c r="E13" s="4" t="s">
        <v>114</v>
      </c>
      <c r="F13" s="3" t="s">
        <v>115</v>
      </c>
      <c r="G13" s="3"/>
      <c r="H13" s="3"/>
      <c r="I13" s="3"/>
      <c r="J13" s="3"/>
      <c r="K13" s="3"/>
      <c r="L13" s="3"/>
      <c r="M13" s="3"/>
      <c r="N13" s="3"/>
      <c r="O13" s="3"/>
      <c r="P13" s="3"/>
      <c r="Q13" s="3"/>
    </row>
    <row r="14" spans="1:18" ht="27.75" customHeight="1" x14ac:dyDescent="0.25">
      <c r="A14" s="6"/>
      <c r="B14" s="5"/>
      <c r="C14" s="4"/>
      <c r="D14" s="4"/>
      <c r="E14" s="4"/>
      <c r="F14" s="144" t="s">
        <v>116</v>
      </c>
      <c r="G14" s="144" t="s">
        <v>117</v>
      </c>
      <c r="H14" s="144" t="s">
        <v>118</v>
      </c>
      <c r="I14" s="144" t="s">
        <v>119</v>
      </c>
      <c r="J14" s="144" t="s">
        <v>120</v>
      </c>
      <c r="K14" s="144" t="s">
        <v>121</v>
      </c>
      <c r="L14" s="144" t="s">
        <v>122</v>
      </c>
      <c r="M14" s="144" t="s">
        <v>123</v>
      </c>
      <c r="N14" s="144" t="s">
        <v>124</v>
      </c>
      <c r="O14" s="144" t="s">
        <v>125</v>
      </c>
      <c r="P14" s="144" t="s">
        <v>126</v>
      </c>
      <c r="Q14" s="145" t="s">
        <v>127</v>
      </c>
    </row>
    <row r="15" spans="1:18" s="151" customFormat="1" ht="27" customHeight="1" x14ac:dyDescent="0.25">
      <c r="A15" s="146" t="s">
        <v>140</v>
      </c>
      <c r="B15" s="56" t="str">
        <f>(C5)</f>
        <v>Prestar los servicios profesionales para apoyar las actividades técnicas y administrativas, requeridas en el desarrollo del grupo Gestión Integral del Recurso Hídrico en la Subdirección de Gestión Ambiental</v>
      </c>
      <c r="C15" s="57">
        <v>1</v>
      </c>
      <c r="D15" s="59" t="s">
        <v>369</v>
      </c>
      <c r="E15" s="147"/>
      <c r="F15" s="148" t="s">
        <v>370</v>
      </c>
      <c r="G15" s="148" t="s">
        <v>371</v>
      </c>
      <c r="H15" s="148" t="s">
        <v>372</v>
      </c>
      <c r="I15" s="148" t="s">
        <v>1346</v>
      </c>
      <c r="J15" s="148" t="s">
        <v>373</v>
      </c>
      <c r="K15" s="148"/>
      <c r="L15" s="148"/>
      <c r="M15" s="148"/>
      <c r="N15" s="148"/>
      <c r="O15" s="148"/>
      <c r="P15" s="148"/>
      <c r="Q15" s="149"/>
      <c r="R15" s="150">
        <f>E15-SUM(F15:Q15)</f>
        <v>0</v>
      </c>
    </row>
    <row r="16" spans="1:18" ht="37.5" customHeight="1" x14ac:dyDescent="0.25">
      <c r="A16" s="152" t="s">
        <v>141</v>
      </c>
      <c r="B16" s="153" t="str">
        <f>(C5)</f>
        <v>Prestar los servicios profesionales para apoyar las actividades técnicas y administrativas, requeridas en el desarrollo del grupo Gestión Integral del Recurso Hídrico en la Subdirección de Gestión Ambiental</v>
      </c>
      <c r="C16" s="68">
        <v>1</v>
      </c>
      <c r="D16" s="70" t="s">
        <v>369</v>
      </c>
      <c r="E16" s="154">
        <v>4.5</v>
      </c>
      <c r="F16" s="155">
        <v>1</v>
      </c>
      <c r="G16" s="155">
        <v>1</v>
      </c>
      <c r="H16" s="155">
        <v>1</v>
      </c>
      <c r="I16" s="155">
        <v>1</v>
      </c>
      <c r="J16" s="155">
        <v>0.5</v>
      </c>
      <c r="K16" s="155"/>
      <c r="L16" s="155"/>
      <c r="M16" s="155"/>
      <c r="N16" s="155"/>
      <c r="O16" s="155"/>
      <c r="P16" s="155"/>
      <c r="Q16" s="156"/>
      <c r="R16" s="150">
        <f>E16-SUM(F16:Q16)</f>
        <v>0</v>
      </c>
    </row>
    <row r="17" spans="1:20" ht="18" customHeight="1" x14ac:dyDescent="0.25">
      <c r="A17" s="2" t="s">
        <v>336</v>
      </c>
      <c r="B17" s="2"/>
      <c r="C17" s="2"/>
      <c r="D17" s="2"/>
      <c r="E17" s="2"/>
      <c r="F17" s="157">
        <f t="shared" ref="F17:Q17" si="0">IFERROR(F16/$E$16,0)</f>
        <v>0.22222222222222221</v>
      </c>
      <c r="G17" s="157">
        <f t="shared" si="0"/>
        <v>0.22222222222222221</v>
      </c>
      <c r="H17" s="157">
        <f t="shared" si="0"/>
        <v>0.22222222222222221</v>
      </c>
      <c r="I17" s="157">
        <f t="shared" si="0"/>
        <v>0.22222222222222221</v>
      </c>
      <c r="J17" s="157">
        <f t="shared" si="0"/>
        <v>0.1111111111111111</v>
      </c>
      <c r="K17" s="157">
        <f t="shared" si="0"/>
        <v>0</v>
      </c>
      <c r="L17" s="157">
        <f t="shared" si="0"/>
        <v>0</v>
      </c>
      <c r="M17" s="157">
        <f t="shared" si="0"/>
        <v>0</v>
      </c>
      <c r="N17" s="157">
        <f t="shared" si="0"/>
        <v>0</v>
      </c>
      <c r="O17" s="157">
        <f t="shared" si="0"/>
        <v>0</v>
      </c>
      <c r="P17" s="157">
        <f t="shared" si="0"/>
        <v>0</v>
      </c>
      <c r="Q17" s="158">
        <f t="shared" si="0"/>
        <v>0</v>
      </c>
    </row>
    <row r="18" spans="1:20" ht="18" customHeight="1" x14ac:dyDescent="0.25">
      <c r="A18" s="1" t="s">
        <v>337</v>
      </c>
      <c r="B18" s="1"/>
      <c r="C18" s="1"/>
      <c r="D18" s="1"/>
      <c r="E18" s="1"/>
      <c r="F18" s="159">
        <f>F17</f>
        <v>0.22222222222222221</v>
      </c>
      <c r="G18" s="159">
        <f t="shared" ref="G18:Q18" si="1">G17+F18</f>
        <v>0.44444444444444442</v>
      </c>
      <c r="H18" s="159">
        <f t="shared" si="1"/>
        <v>0.66666666666666663</v>
      </c>
      <c r="I18" s="159">
        <f t="shared" si="1"/>
        <v>0.88888888888888884</v>
      </c>
      <c r="J18" s="159">
        <f t="shared" si="1"/>
        <v>1</v>
      </c>
      <c r="K18" s="159">
        <f t="shared" si="1"/>
        <v>1</v>
      </c>
      <c r="L18" s="159">
        <f t="shared" si="1"/>
        <v>1</v>
      </c>
      <c r="M18" s="159">
        <f t="shared" si="1"/>
        <v>1</v>
      </c>
      <c r="N18" s="159">
        <f t="shared" si="1"/>
        <v>1</v>
      </c>
      <c r="O18" s="159">
        <f t="shared" si="1"/>
        <v>1</v>
      </c>
      <c r="P18" s="159">
        <f t="shared" si="1"/>
        <v>1</v>
      </c>
      <c r="Q18" s="160">
        <f t="shared" si="1"/>
        <v>1</v>
      </c>
    </row>
    <row r="19" spans="1:20" ht="18" customHeight="1" x14ac:dyDescent="0.25">
      <c r="A19" s="142"/>
      <c r="B19" s="142"/>
      <c r="C19" s="142"/>
      <c r="D19" s="142"/>
      <c r="E19" s="142"/>
      <c r="F19" s="161"/>
      <c r="G19" s="161"/>
      <c r="H19" s="161"/>
      <c r="I19" s="161"/>
      <c r="J19" s="161"/>
      <c r="K19" s="161"/>
      <c r="L19" s="161"/>
      <c r="M19" s="161"/>
      <c r="N19" s="161"/>
      <c r="O19" s="161"/>
      <c r="P19" s="161"/>
      <c r="Q19" s="161"/>
    </row>
    <row r="20" spans="1:20" ht="35.25" customHeight="1" x14ac:dyDescent="0.25">
      <c r="A20" s="162"/>
      <c r="C20" s="122"/>
      <c r="E20" s="930" t="s">
        <v>338</v>
      </c>
      <c r="F20" s="930"/>
      <c r="G20" s="930"/>
      <c r="H20" s="930"/>
      <c r="I20" s="930"/>
      <c r="J20" s="930"/>
      <c r="K20" s="930"/>
      <c r="L20" s="930"/>
      <c r="M20" s="930"/>
      <c r="N20" s="930"/>
      <c r="O20" s="930"/>
      <c r="P20" s="930"/>
      <c r="Q20" s="163" t="s">
        <v>339</v>
      </c>
    </row>
    <row r="21" spans="1:20" ht="18" customHeight="1" x14ac:dyDescent="0.25">
      <c r="E21" s="931" t="s">
        <v>340</v>
      </c>
      <c r="F21" s="931"/>
      <c r="G21" s="931"/>
      <c r="H21" s="931"/>
      <c r="I21" s="931"/>
      <c r="J21" s="931"/>
      <c r="K21" s="931"/>
      <c r="L21" s="931"/>
      <c r="M21" s="931"/>
      <c r="N21" s="931"/>
      <c r="O21" s="931"/>
      <c r="P21" s="931"/>
      <c r="Q21" s="931"/>
    </row>
    <row r="22" spans="1:20" ht="18" customHeight="1" x14ac:dyDescent="0.25">
      <c r="D22" s="164"/>
      <c r="E22" s="165"/>
      <c r="F22" s="932" t="s">
        <v>343</v>
      </c>
      <c r="G22" s="932"/>
      <c r="H22" s="932"/>
      <c r="I22" s="932"/>
      <c r="J22" s="932"/>
      <c r="K22" s="932"/>
      <c r="L22" s="932"/>
      <c r="M22" s="932"/>
      <c r="N22" s="932"/>
      <c r="O22" s="932"/>
      <c r="P22" s="932"/>
      <c r="Q22" s="932"/>
    </row>
    <row r="23" spans="1:20" ht="18" customHeight="1" x14ac:dyDescent="0.25">
      <c r="E23" s="165" t="s">
        <v>374</v>
      </c>
      <c r="F23" s="144" t="s">
        <v>116</v>
      </c>
      <c r="G23" s="144" t="s">
        <v>117</v>
      </c>
      <c r="H23" s="144" t="s">
        <v>118</v>
      </c>
      <c r="I23" s="144" t="s">
        <v>119</v>
      </c>
      <c r="J23" s="144" t="s">
        <v>120</v>
      </c>
      <c r="K23" s="144" t="s">
        <v>121</v>
      </c>
      <c r="L23" s="144" t="s">
        <v>122</v>
      </c>
      <c r="M23" s="144" t="s">
        <v>123</v>
      </c>
      <c r="N23" s="144" t="s">
        <v>124</v>
      </c>
      <c r="O23" s="144" t="s">
        <v>125</v>
      </c>
      <c r="P23" s="144" t="s">
        <v>126</v>
      </c>
      <c r="Q23" s="145" t="s">
        <v>127</v>
      </c>
    </row>
    <row r="24" spans="1:20" ht="21" customHeight="1" x14ac:dyDescent="0.25">
      <c r="E24" s="95">
        <f>+'Ppto PSP'!F13</f>
        <v>36154138.5</v>
      </c>
      <c r="F24" s="166">
        <f t="shared" ref="F24:Q24" si="2">$E$24*F25</f>
        <v>8034253</v>
      </c>
      <c r="G24" s="166">
        <f t="shared" si="2"/>
        <v>8034253</v>
      </c>
      <c r="H24" s="166">
        <f t="shared" si="2"/>
        <v>8034253</v>
      </c>
      <c r="I24" s="166">
        <f t="shared" si="2"/>
        <v>8034253</v>
      </c>
      <c r="J24" s="166">
        <f t="shared" si="2"/>
        <v>4017126.5</v>
      </c>
      <c r="K24" s="166">
        <f t="shared" si="2"/>
        <v>0</v>
      </c>
      <c r="L24" s="166">
        <f t="shared" si="2"/>
        <v>0</v>
      </c>
      <c r="M24" s="166">
        <f t="shared" si="2"/>
        <v>0</v>
      </c>
      <c r="N24" s="166">
        <f t="shared" si="2"/>
        <v>0</v>
      </c>
      <c r="O24" s="166">
        <f t="shared" si="2"/>
        <v>0</v>
      </c>
      <c r="P24" s="166">
        <f t="shared" si="2"/>
        <v>0</v>
      </c>
      <c r="Q24" s="167">
        <f t="shared" si="2"/>
        <v>0</v>
      </c>
      <c r="R24" s="168"/>
      <c r="S24" s="168"/>
      <c r="T24" s="168"/>
    </row>
    <row r="25" spans="1:20" ht="21" customHeight="1" x14ac:dyDescent="0.25">
      <c r="E25" s="169" t="s">
        <v>344</v>
      </c>
      <c r="F25" s="170">
        <f t="shared" ref="F25:Q25" si="3">F17</f>
        <v>0.22222222222222221</v>
      </c>
      <c r="G25" s="170">
        <f t="shared" si="3"/>
        <v>0.22222222222222221</v>
      </c>
      <c r="H25" s="170">
        <f t="shared" si="3"/>
        <v>0.22222222222222221</v>
      </c>
      <c r="I25" s="170">
        <f t="shared" si="3"/>
        <v>0.22222222222222221</v>
      </c>
      <c r="J25" s="170">
        <f t="shared" si="3"/>
        <v>0.1111111111111111</v>
      </c>
      <c r="K25" s="170">
        <f t="shared" si="3"/>
        <v>0</v>
      </c>
      <c r="L25" s="170">
        <f t="shared" si="3"/>
        <v>0</v>
      </c>
      <c r="M25" s="170">
        <f t="shared" si="3"/>
        <v>0</v>
      </c>
      <c r="N25" s="170">
        <f t="shared" si="3"/>
        <v>0</v>
      </c>
      <c r="O25" s="170">
        <f t="shared" si="3"/>
        <v>0</v>
      </c>
      <c r="P25" s="170">
        <f t="shared" si="3"/>
        <v>0</v>
      </c>
      <c r="Q25" s="171">
        <f t="shared" si="3"/>
        <v>0</v>
      </c>
    </row>
    <row r="26" spans="1:20" ht="21" customHeight="1" x14ac:dyDescent="0.25">
      <c r="E26" s="169" t="s">
        <v>345</v>
      </c>
      <c r="F26" s="170">
        <f>+F25</f>
        <v>0.22222222222222221</v>
      </c>
      <c r="G26" s="170">
        <f t="shared" ref="G26:Q26" si="4">+F26+G25</f>
        <v>0.44444444444444442</v>
      </c>
      <c r="H26" s="170">
        <f t="shared" si="4"/>
        <v>0.66666666666666663</v>
      </c>
      <c r="I26" s="170">
        <f t="shared" si="4"/>
        <v>0.88888888888888884</v>
      </c>
      <c r="J26" s="170">
        <f t="shared" si="4"/>
        <v>1</v>
      </c>
      <c r="K26" s="170">
        <f t="shared" si="4"/>
        <v>1</v>
      </c>
      <c r="L26" s="170">
        <f t="shared" si="4"/>
        <v>1</v>
      </c>
      <c r="M26" s="170">
        <f t="shared" si="4"/>
        <v>1</v>
      </c>
      <c r="N26" s="170">
        <f t="shared" si="4"/>
        <v>1</v>
      </c>
      <c r="O26" s="170">
        <f t="shared" si="4"/>
        <v>1</v>
      </c>
      <c r="P26" s="170">
        <f t="shared" si="4"/>
        <v>1</v>
      </c>
      <c r="Q26" s="171">
        <f t="shared" si="4"/>
        <v>1</v>
      </c>
    </row>
    <row r="27" spans="1:20" ht="30.75" customHeight="1" x14ac:dyDescent="0.25">
      <c r="C27" s="933" t="s">
        <v>346</v>
      </c>
      <c r="D27" s="933"/>
      <c r="E27" s="152" t="s">
        <v>347</v>
      </c>
      <c r="F27" s="102">
        <v>0</v>
      </c>
      <c r="G27" s="102">
        <v>0</v>
      </c>
      <c r="H27" s="102">
        <v>0</v>
      </c>
      <c r="I27" s="102">
        <v>0</v>
      </c>
      <c r="J27" s="102">
        <v>0</v>
      </c>
      <c r="K27" s="102">
        <v>0</v>
      </c>
      <c r="L27" s="102">
        <v>0</v>
      </c>
      <c r="M27" s="102">
        <v>0</v>
      </c>
      <c r="N27" s="102">
        <v>0</v>
      </c>
      <c r="O27" s="102">
        <v>0</v>
      </c>
      <c r="P27" s="102">
        <v>0</v>
      </c>
      <c r="Q27" s="172">
        <v>0</v>
      </c>
    </row>
    <row r="28" spans="1:20" ht="21" customHeight="1" x14ac:dyDescent="0.25">
      <c r="C28" s="933"/>
      <c r="D28" s="933"/>
      <c r="E28" s="173" t="s">
        <v>348</v>
      </c>
      <c r="F28" s="174">
        <f t="shared" ref="F28:Q28" si="5">IFERROR(F27/$E$24,0)</f>
        <v>0</v>
      </c>
      <c r="G28" s="174">
        <f t="shared" si="5"/>
        <v>0</v>
      </c>
      <c r="H28" s="174">
        <f t="shared" si="5"/>
        <v>0</v>
      </c>
      <c r="I28" s="174">
        <f t="shared" si="5"/>
        <v>0</v>
      </c>
      <c r="J28" s="174">
        <f t="shared" si="5"/>
        <v>0</v>
      </c>
      <c r="K28" s="174">
        <f t="shared" si="5"/>
        <v>0</v>
      </c>
      <c r="L28" s="174">
        <f t="shared" si="5"/>
        <v>0</v>
      </c>
      <c r="M28" s="174">
        <f t="shared" si="5"/>
        <v>0</v>
      </c>
      <c r="N28" s="174">
        <f t="shared" si="5"/>
        <v>0</v>
      </c>
      <c r="O28" s="174">
        <f t="shared" si="5"/>
        <v>0</v>
      </c>
      <c r="P28" s="174">
        <f t="shared" si="5"/>
        <v>0</v>
      </c>
      <c r="Q28" s="175">
        <f t="shared" si="5"/>
        <v>0</v>
      </c>
    </row>
    <row r="29" spans="1:20" ht="42" customHeight="1" x14ac:dyDescent="0.25">
      <c r="C29" s="933"/>
      <c r="D29" s="933"/>
      <c r="E29" s="176" t="s">
        <v>349</v>
      </c>
      <c r="F29" s="177">
        <f>F28</f>
        <v>0</v>
      </c>
      <c r="G29" s="177">
        <f t="shared" ref="G29:Q29" si="6">F29+G28</f>
        <v>0</v>
      </c>
      <c r="H29" s="177">
        <f t="shared" si="6"/>
        <v>0</v>
      </c>
      <c r="I29" s="177">
        <f t="shared" si="6"/>
        <v>0</v>
      </c>
      <c r="J29" s="177">
        <f t="shared" si="6"/>
        <v>0</v>
      </c>
      <c r="K29" s="177">
        <f t="shared" si="6"/>
        <v>0</v>
      </c>
      <c r="L29" s="177">
        <f t="shared" si="6"/>
        <v>0</v>
      </c>
      <c r="M29" s="177">
        <f t="shared" si="6"/>
        <v>0</v>
      </c>
      <c r="N29" s="177">
        <f t="shared" si="6"/>
        <v>0</v>
      </c>
      <c r="O29" s="177">
        <f t="shared" si="6"/>
        <v>0</v>
      </c>
      <c r="P29" s="177">
        <f t="shared" si="6"/>
        <v>0</v>
      </c>
      <c r="Q29" s="178">
        <f t="shared" si="6"/>
        <v>0</v>
      </c>
    </row>
    <row r="30" spans="1:20" ht="18" customHeight="1" x14ac:dyDescent="0.25">
      <c r="D30" s="179"/>
      <c r="E30" s="179"/>
      <c r="F30" s="122"/>
      <c r="G30" s="122"/>
      <c r="H30" s="122"/>
      <c r="I30" s="122"/>
      <c r="J30" s="122"/>
      <c r="K30" s="122"/>
      <c r="L30" s="122"/>
      <c r="M30" s="122"/>
      <c r="N30" s="122"/>
      <c r="O30" s="122"/>
      <c r="P30" s="122"/>
      <c r="Q30" s="122"/>
    </row>
    <row r="31" spans="1:20" ht="19.5" customHeight="1" x14ac:dyDescent="0.25">
      <c r="C31" s="934" t="s">
        <v>350</v>
      </c>
      <c r="D31" s="934"/>
      <c r="E31" s="934"/>
      <c r="F31" s="934"/>
      <c r="G31" s="934"/>
      <c r="H31" s="934"/>
      <c r="I31" s="934"/>
      <c r="J31" s="934"/>
      <c r="K31" s="934"/>
      <c r="L31" s="934"/>
      <c r="M31" s="934"/>
      <c r="N31" s="934"/>
      <c r="O31" s="934"/>
      <c r="P31" s="934"/>
      <c r="Q31" s="934"/>
      <c r="R31" s="934"/>
    </row>
    <row r="32" spans="1:20" ht="19.5" customHeight="1" x14ac:dyDescent="0.25">
      <c r="B32" s="935"/>
      <c r="C32" s="936" t="s">
        <v>375</v>
      </c>
      <c r="D32" s="937" t="s">
        <v>376</v>
      </c>
      <c r="E32" s="4" t="s">
        <v>343</v>
      </c>
      <c r="F32" s="4"/>
      <c r="G32" s="4"/>
      <c r="H32" s="4"/>
      <c r="I32" s="4"/>
      <c r="J32" s="4"/>
      <c r="K32" s="4"/>
      <c r="L32" s="4"/>
      <c r="M32" s="4"/>
      <c r="N32" s="4"/>
      <c r="O32" s="4"/>
      <c r="P32" s="4"/>
      <c r="Q32" s="4"/>
      <c r="R32" s="180"/>
    </row>
    <row r="33" spans="2:30" ht="19.5" customHeight="1" x14ac:dyDescent="0.25">
      <c r="B33" s="935"/>
      <c r="C33" s="936"/>
      <c r="D33" s="937"/>
      <c r="E33" s="181"/>
      <c r="F33" s="144" t="s">
        <v>116</v>
      </c>
      <c r="G33" s="144" t="s">
        <v>117</v>
      </c>
      <c r="H33" s="144" t="s">
        <v>118</v>
      </c>
      <c r="I33" s="144" t="s">
        <v>119</v>
      </c>
      <c r="J33" s="144" t="s">
        <v>120</v>
      </c>
      <c r="K33" s="144" t="s">
        <v>121</v>
      </c>
      <c r="L33" s="144" t="s">
        <v>122</v>
      </c>
      <c r="M33" s="144" t="s">
        <v>123</v>
      </c>
      <c r="N33" s="144" t="s">
        <v>124</v>
      </c>
      <c r="O33" s="144" t="s">
        <v>125</v>
      </c>
      <c r="P33" s="144" t="s">
        <v>126</v>
      </c>
      <c r="Q33" s="144" t="s">
        <v>127</v>
      </c>
      <c r="R33" s="145" t="s">
        <v>354</v>
      </c>
    </row>
    <row r="34" spans="2:30" ht="26.25" customHeight="1" x14ac:dyDescent="0.25">
      <c r="B34" s="938"/>
      <c r="C34" s="939">
        <v>0</v>
      </c>
      <c r="D34" s="940">
        <f>E24+C34</f>
        <v>36154138.5</v>
      </c>
      <c r="E34" s="182" t="s">
        <v>347</v>
      </c>
      <c r="F34" s="183">
        <f t="shared" ref="F34:Q34" si="7">F27</f>
        <v>0</v>
      </c>
      <c r="G34" s="183">
        <f t="shared" si="7"/>
        <v>0</v>
      </c>
      <c r="H34" s="183">
        <f t="shared" si="7"/>
        <v>0</v>
      </c>
      <c r="I34" s="183">
        <f t="shared" si="7"/>
        <v>0</v>
      </c>
      <c r="J34" s="183">
        <f t="shared" si="7"/>
        <v>0</v>
      </c>
      <c r="K34" s="183">
        <f t="shared" si="7"/>
        <v>0</v>
      </c>
      <c r="L34" s="183">
        <f t="shared" si="7"/>
        <v>0</v>
      </c>
      <c r="M34" s="183">
        <f t="shared" si="7"/>
        <v>0</v>
      </c>
      <c r="N34" s="183">
        <f t="shared" si="7"/>
        <v>0</v>
      </c>
      <c r="O34" s="183">
        <f t="shared" si="7"/>
        <v>0</v>
      </c>
      <c r="P34" s="183">
        <f t="shared" si="7"/>
        <v>0</v>
      </c>
      <c r="Q34" s="183">
        <f t="shared" si="7"/>
        <v>0</v>
      </c>
      <c r="R34" s="184">
        <f>SUM(F34:Q34)</f>
        <v>0</v>
      </c>
    </row>
    <row r="35" spans="2:30" ht="18" customHeight="1" x14ac:dyDescent="0.25">
      <c r="B35" s="938"/>
      <c r="C35" s="939"/>
      <c r="D35" s="940"/>
      <c r="E35" s="185" t="s">
        <v>344</v>
      </c>
      <c r="F35" s="186">
        <f t="shared" ref="F35:Q35" si="8">IFERROR(F34/$D$34,0)</f>
        <v>0</v>
      </c>
      <c r="G35" s="186">
        <f t="shared" si="8"/>
        <v>0</v>
      </c>
      <c r="H35" s="186">
        <f t="shared" si="8"/>
        <v>0</v>
      </c>
      <c r="I35" s="186">
        <f t="shared" si="8"/>
        <v>0</v>
      </c>
      <c r="J35" s="186">
        <f t="shared" si="8"/>
        <v>0</v>
      </c>
      <c r="K35" s="186">
        <f t="shared" si="8"/>
        <v>0</v>
      </c>
      <c r="L35" s="186">
        <f t="shared" si="8"/>
        <v>0</v>
      </c>
      <c r="M35" s="186">
        <f t="shared" si="8"/>
        <v>0</v>
      </c>
      <c r="N35" s="186">
        <f t="shared" si="8"/>
        <v>0</v>
      </c>
      <c r="O35" s="186">
        <f t="shared" si="8"/>
        <v>0</v>
      </c>
      <c r="P35" s="186">
        <f t="shared" si="8"/>
        <v>0</v>
      </c>
      <c r="Q35" s="186">
        <f t="shared" si="8"/>
        <v>0</v>
      </c>
      <c r="R35" s="116"/>
    </row>
    <row r="36" spans="2:30" ht="27.75" customHeight="1" x14ac:dyDescent="0.25">
      <c r="B36" s="938"/>
      <c r="C36" s="939"/>
      <c r="D36" s="940"/>
      <c r="E36" s="187" t="s">
        <v>345</v>
      </c>
      <c r="F36" s="174">
        <f>+F35</f>
        <v>0</v>
      </c>
      <c r="G36" s="174">
        <f t="shared" ref="G36:Q36" si="9">+F36+G35</f>
        <v>0</v>
      </c>
      <c r="H36" s="174">
        <f t="shared" si="9"/>
        <v>0</v>
      </c>
      <c r="I36" s="174">
        <f t="shared" si="9"/>
        <v>0</v>
      </c>
      <c r="J36" s="174">
        <f t="shared" si="9"/>
        <v>0</v>
      </c>
      <c r="K36" s="174">
        <f t="shared" si="9"/>
        <v>0</v>
      </c>
      <c r="L36" s="174">
        <f t="shared" si="9"/>
        <v>0</v>
      </c>
      <c r="M36" s="174">
        <f t="shared" si="9"/>
        <v>0</v>
      </c>
      <c r="N36" s="174">
        <f t="shared" si="9"/>
        <v>0</v>
      </c>
      <c r="O36" s="174">
        <f t="shared" si="9"/>
        <v>0</v>
      </c>
      <c r="P36" s="174">
        <f t="shared" si="9"/>
        <v>0</v>
      </c>
      <c r="Q36" s="174">
        <f t="shared" si="9"/>
        <v>0</v>
      </c>
      <c r="R36" s="116"/>
    </row>
    <row r="37" spans="2:30" ht="28.5" customHeight="1" x14ac:dyDescent="0.25">
      <c r="B37" s="938"/>
      <c r="C37" s="939"/>
      <c r="D37" s="940"/>
      <c r="E37" s="182" t="s">
        <v>355</v>
      </c>
      <c r="F37" s="102">
        <v>0</v>
      </c>
      <c r="G37" s="102">
        <v>0</v>
      </c>
      <c r="H37" s="102">
        <v>0</v>
      </c>
      <c r="I37" s="102">
        <v>0</v>
      </c>
      <c r="J37" s="102">
        <v>0</v>
      </c>
      <c r="K37" s="102">
        <v>0</v>
      </c>
      <c r="L37" s="102">
        <v>0</v>
      </c>
      <c r="M37" s="102">
        <v>0</v>
      </c>
      <c r="N37" s="102">
        <v>0</v>
      </c>
      <c r="O37" s="102">
        <v>0</v>
      </c>
      <c r="P37" s="102">
        <v>0</v>
      </c>
      <c r="Q37" s="102">
        <v>0</v>
      </c>
      <c r="R37" s="184">
        <f>SUM(F37:Q37)</f>
        <v>0</v>
      </c>
    </row>
    <row r="38" spans="2:30" ht="18" customHeight="1" x14ac:dyDescent="0.25">
      <c r="B38" s="938"/>
      <c r="C38" s="939"/>
      <c r="D38" s="940"/>
      <c r="E38" s="185" t="s">
        <v>344</v>
      </c>
      <c r="F38" s="186">
        <f t="shared" ref="F38:Q38" si="10">IFERROR(F37/$D$34,0)</f>
        <v>0</v>
      </c>
      <c r="G38" s="186">
        <f t="shared" si="10"/>
        <v>0</v>
      </c>
      <c r="H38" s="186">
        <f t="shared" si="10"/>
        <v>0</v>
      </c>
      <c r="I38" s="186">
        <f t="shared" si="10"/>
        <v>0</v>
      </c>
      <c r="J38" s="186">
        <f t="shared" si="10"/>
        <v>0</v>
      </c>
      <c r="K38" s="186">
        <f t="shared" si="10"/>
        <v>0</v>
      </c>
      <c r="L38" s="186">
        <f t="shared" si="10"/>
        <v>0</v>
      </c>
      <c r="M38" s="186">
        <f t="shared" si="10"/>
        <v>0</v>
      </c>
      <c r="N38" s="186">
        <f t="shared" si="10"/>
        <v>0</v>
      </c>
      <c r="O38" s="186">
        <f t="shared" si="10"/>
        <v>0</v>
      </c>
      <c r="P38" s="186">
        <f t="shared" si="10"/>
        <v>0</v>
      </c>
      <c r="Q38" s="186">
        <f t="shared" si="10"/>
        <v>0</v>
      </c>
      <c r="R38" s="116"/>
    </row>
    <row r="39" spans="2:30" ht="26.25" customHeight="1" x14ac:dyDescent="0.25">
      <c r="B39" s="938"/>
      <c r="C39" s="939"/>
      <c r="D39" s="940"/>
      <c r="E39" s="188" t="s">
        <v>345</v>
      </c>
      <c r="F39" s="177">
        <f>+F38</f>
        <v>0</v>
      </c>
      <c r="G39" s="177">
        <f t="shared" ref="G39:Q39" si="11">+F39+G38</f>
        <v>0</v>
      </c>
      <c r="H39" s="177">
        <f t="shared" si="11"/>
        <v>0</v>
      </c>
      <c r="I39" s="177">
        <f t="shared" si="11"/>
        <v>0</v>
      </c>
      <c r="J39" s="177">
        <f t="shared" si="11"/>
        <v>0</v>
      </c>
      <c r="K39" s="177">
        <f t="shared" si="11"/>
        <v>0</v>
      </c>
      <c r="L39" s="177">
        <f t="shared" si="11"/>
        <v>0</v>
      </c>
      <c r="M39" s="177">
        <f t="shared" si="11"/>
        <v>0</v>
      </c>
      <c r="N39" s="177">
        <f t="shared" si="11"/>
        <v>0</v>
      </c>
      <c r="O39" s="177">
        <f t="shared" si="11"/>
        <v>0</v>
      </c>
      <c r="P39" s="177">
        <f t="shared" si="11"/>
        <v>0</v>
      </c>
      <c r="Q39" s="177">
        <f t="shared" si="11"/>
        <v>0</v>
      </c>
      <c r="R39" s="189"/>
    </row>
    <row r="40" spans="2:30" ht="18" customHeight="1" x14ac:dyDescent="0.25">
      <c r="C40" s="941" t="s">
        <v>356</v>
      </c>
      <c r="D40" s="941"/>
      <c r="E40" s="941"/>
      <c r="F40" s="190">
        <f t="shared" ref="F40:Q40" si="12">F36+F39</f>
        <v>0</v>
      </c>
      <c r="G40" s="190">
        <f t="shared" si="12"/>
        <v>0</v>
      </c>
      <c r="H40" s="190">
        <f t="shared" si="12"/>
        <v>0</v>
      </c>
      <c r="I40" s="190">
        <f t="shared" si="12"/>
        <v>0</v>
      </c>
      <c r="J40" s="190">
        <f t="shared" si="12"/>
        <v>0</v>
      </c>
      <c r="K40" s="190">
        <f t="shared" si="12"/>
        <v>0</v>
      </c>
      <c r="L40" s="190">
        <f t="shared" si="12"/>
        <v>0</v>
      </c>
      <c r="M40" s="190">
        <f t="shared" si="12"/>
        <v>0</v>
      </c>
      <c r="N40" s="190">
        <f t="shared" si="12"/>
        <v>0</v>
      </c>
      <c r="O40" s="190">
        <f t="shared" si="12"/>
        <v>0</v>
      </c>
      <c r="P40" s="190">
        <f t="shared" si="12"/>
        <v>0</v>
      </c>
      <c r="Q40" s="190">
        <f t="shared" si="12"/>
        <v>0</v>
      </c>
      <c r="R40" s="191">
        <f>IFERROR((R34+R37)/D34,0)</f>
        <v>0</v>
      </c>
    </row>
    <row r="41" spans="2:30" ht="18" customHeight="1" x14ac:dyDescent="0.25">
      <c r="D41" s="179"/>
      <c r="E41" s="179"/>
      <c r="F41" s="122"/>
      <c r="G41" s="122"/>
      <c r="H41" s="122"/>
      <c r="I41" s="122"/>
      <c r="J41" s="122"/>
      <c r="K41" s="122"/>
      <c r="L41" s="122"/>
      <c r="M41" s="122"/>
      <c r="N41" s="122"/>
      <c r="O41" s="122"/>
      <c r="P41" s="122"/>
      <c r="Q41" s="122"/>
      <c r="R41" s="192"/>
      <c r="S41" s="193"/>
    </row>
    <row r="42" spans="2:30" ht="18" customHeight="1" x14ac:dyDescent="0.25">
      <c r="D42" s="179"/>
      <c r="F42" s="122"/>
      <c r="G42" s="122"/>
      <c r="H42" s="122"/>
      <c r="I42" s="122"/>
      <c r="J42" s="122"/>
      <c r="K42" s="122"/>
      <c r="L42" s="122"/>
      <c r="M42" s="122"/>
      <c r="N42" s="122"/>
      <c r="O42" s="122"/>
      <c r="P42" s="122"/>
      <c r="Q42" s="122"/>
    </row>
    <row r="43" spans="2:30" ht="18" customHeight="1" x14ac:dyDescent="0.25">
      <c r="D43" s="179"/>
      <c r="L43" s="122"/>
      <c r="M43" s="122"/>
      <c r="N43" s="122"/>
      <c r="O43" s="122"/>
      <c r="P43" s="122"/>
      <c r="Q43" s="122"/>
    </row>
    <row r="44" spans="2:30" ht="18" customHeight="1" x14ac:dyDescent="0.25">
      <c r="D44" s="179"/>
      <c r="E44" s="179"/>
      <c r="F44" s="122"/>
      <c r="G44" s="122"/>
      <c r="H44" s="122"/>
      <c r="I44" s="122"/>
      <c r="J44" s="122"/>
      <c r="K44" s="122"/>
      <c r="L44" s="122"/>
      <c r="M44" s="122"/>
      <c r="N44" s="122"/>
      <c r="O44" s="122"/>
      <c r="P44" s="122"/>
      <c r="Q44" s="122"/>
    </row>
    <row r="46" spans="2:30" ht="18" customHeight="1" x14ac:dyDescent="0.25">
      <c r="F46" s="123"/>
      <c r="G46" s="123"/>
      <c r="H46" s="123"/>
    </row>
    <row r="47" spans="2:30" s="194" customFormat="1" ht="18" customHeight="1" x14ac:dyDescent="0.25">
      <c r="B47" s="942"/>
      <c r="C47" s="942"/>
      <c r="D47" s="195"/>
      <c r="E47" s="196"/>
      <c r="G47" s="197"/>
      <c r="H47" s="195"/>
      <c r="I47" s="195"/>
      <c r="J47" s="195"/>
      <c r="K47" s="195"/>
      <c r="L47" s="195"/>
      <c r="M47" s="195"/>
      <c r="N47" s="195"/>
      <c r="O47" s="195"/>
      <c r="P47" s="195"/>
      <c r="R47" s="198"/>
      <c r="S47" s="198"/>
      <c r="T47" s="198"/>
      <c r="U47" s="198"/>
      <c r="V47" s="943"/>
      <c r="W47" s="943"/>
      <c r="X47" s="943"/>
      <c r="Y47" s="943"/>
      <c r="Z47" s="943"/>
      <c r="AA47" s="943"/>
      <c r="AB47" s="198"/>
      <c r="AC47" s="198"/>
      <c r="AD47" s="199"/>
    </row>
    <row r="48" spans="2:30" s="194" customFormat="1" ht="18" customHeight="1" x14ac:dyDescent="0.25">
      <c r="B48" s="944" t="s">
        <v>357</v>
      </c>
      <c r="C48" s="944"/>
      <c r="E48" s="196"/>
      <c r="G48" s="200" t="s">
        <v>358</v>
      </c>
      <c r="H48" s="198"/>
      <c r="I48" s="198"/>
      <c r="J48" s="198"/>
      <c r="K48" s="198"/>
      <c r="L48" s="198"/>
      <c r="M48" s="198"/>
      <c r="N48" s="198"/>
      <c r="O48" s="198"/>
      <c r="P48" s="198"/>
      <c r="R48" s="198"/>
      <c r="S48" s="198"/>
      <c r="T48" s="198"/>
      <c r="U48" s="198"/>
      <c r="V48" s="945"/>
      <c r="W48" s="945"/>
      <c r="X48" s="945"/>
      <c r="Y48" s="945"/>
      <c r="Z48" s="945"/>
      <c r="AA48" s="945"/>
      <c r="AB48" s="195"/>
      <c r="AC48" s="195"/>
      <c r="AD48" s="195"/>
    </row>
  </sheetData>
  <sheetProtection algorithmName="SHA-512" hashValue="Uf9xKeKMvkpqsr+lGWfRsidUJIkjFbzDBIzAZ6l/n2Hx7OmIxh2+acdrx10xxqqlLdfSEsQf8ELVMGvEw0tv2Q==" saltValue="WyRV0ecHOaX5VBTSHGm9mQ==" spinCount="100000" sheet="1" formatCells="0" formatColumns="0" formatRows="0" insertRows="0" autoFilter="0" pivotTables="0"/>
  <mergeCells count="40">
    <mergeCell ref="V47:AA47"/>
    <mergeCell ref="B48:C48"/>
    <mergeCell ref="V48:AA48"/>
    <mergeCell ref="B34:B39"/>
    <mergeCell ref="C34:C39"/>
    <mergeCell ref="D34:D39"/>
    <mergeCell ref="C40:E40"/>
    <mergeCell ref="B47:C47"/>
    <mergeCell ref="C27:D29"/>
    <mergeCell ref="C31:R31"/>
    <mergeCell ref="B32:B33"/>
    <mergeCell ref="C32:C33"/>
    <mergeCell ref="D32:D33"/>
    <mergeCell ref="E32:Q32"/>
    <mergeCell ref="A17:E17"/>
    <mergeCell ref="A18:E18"/>
    <mergeCell ref="E20:P20"/>
    <mergeCell ref="E21:Q21"/>
    <mergeCell ref="F22:Q22"/>
    <mergeCell ref="A10:B10"/>
    <mergeCell ref="C10:G10"/>
    <mergeCell ref="A12:Q12"/>
    <mergeCell ref="A13:A14"/>
    <mergeCell ref="B13:B14"/>
    <mergeCell ref="C13:C14"/>
    <mergeCell ref="D13:D14"/>
    <mergeCell ref="E13:E14"/>
    <mergeCell ref="F13:Q13"/>
    <mergeCell ref="A7:B7"/>
    <mergeCell ref="C7:G7"/>
    <mergeCell ref="A8:B8"/>
    <mergeCell ref="C8:G8"/>
    <mergeCell ref="A9:B9"/>
    <mergeCell ref="C9:G9"/>
    <mergeCell ref="F1:K1"/>
    <mergeCell ref="F2:K2"/>
    <mergeCell ref="A4:B4"/>
    <mergeCell ref="C4:Q4"/>
    <mergeCell ref="A5:B5"/>
    <mergeCell ref="C5:Q5"/>
  </mergeCells>
  <dataValidations count="7">
    <dataValidation allowBlank="1" showInputMessage="1" showErrorMessage="1" prompt="diligencie el numero de meses en letras (numero). ej: seis (6)." sqref="IX9 ST9 ACP9 AML9 AWH9 BGD9 BPZ9 BZV9 CJR9 CTN9 DDJ9 DNF9 DXB9 EGX9 EQT9 FAP9 FKL9 FUH9 GED9 GNZ9 GXV9 HHR9 HRN9 IBJ9 ILF9 IVB9 JEX9 JOT9 JYP9 KIL9 KSH9 LCD9 LLZ9 LVV9 MFR9 MPN9 MZJ9 NJF9 NTB9 OCX9 OMT9 OWP9 PGL9 PQH9 QAD9 QJZ9 QTV9 RDR9 RNN9 RXJ9 SHF9 SRB9 TAX9 TKT9 TUP9 UEL9 UOH9 UYD9 VHZ9 VRV9 WBR9 WLN9 WVJ9" xr:uid="{00000000-0002-0000-0200-000000000000}">
      <formula1>0</formula1>
      <formula2>0</formula2>
    </dataValidation>
    <dataValidation allowBlank="1" showInputMessage="1" showErrorMessage="1" prompt="Emplear una unidad de medida concreta y medible, no utilizar GLOBAL" sqref="D15:D16 IY15:IY16 SU15:SU16 ACQ15:ACQ16 AMM15:AMM16 AWI15:AWI16 BGE15:BGE16 BQA15:BQA16 BZW15:BZW16 CJS15:CJS16 CTO15:CTO16 DDK15:DDK16 DNG15:DNG16 DXC15:DXC16 EGY15:EGY16 EQU15:EQU16 FAQ15:FAQ16 FKM15:FKM16 FUI15:FUI16 GEE15:GEE16 GOA15:GOA16 GXW15:GXW16 HHS15:HHS16 HRO15:HRO16 IBK15:IBK16 ILG15:ILG16 IVC15:IVC16 JEY15:JEY16 JOU15:JOU16 JYQ15:JYQ16 KIM15:KIM16 KSI15:KSI16 LCE15:LCE16 LMA15:LMA16 LVW15:LVW16 MFS15:MFS16 MPO15:MPO16 MZK15:MZK16 NJG15:NJG16 NTC15:NTC16 OCY15:OCY16 OMU15:OMU16 OWQ15:OWQ16 PGM15:PGM16 PQI15:PQI16 QAE15:QAE16 QKA15:QKA16 QTW15:QTW16 RDS15:RDS16 RNO15:RNO16 RXK15:RXK16 SHG15:SHG16 SRC15:SRC16 TAY15:TAY16 TKU15:TKU16 TUQ15:TUQ16 UEM15:UEM16 UOI15:UOI16 UYE15:UYE16 VIA15:VIA16 VRW15:VRW16 WBS15:WBS16 WLO15:WLO16 WVK15:WVK16" xr:uid="{00000000-0002-0000-0200-000001000000}">
      <formula1>0</formula1>
      <formula2>0</formula2>
    </dataValidation>
    <dataValidation allowBlank="1" showInputMessage="1" showErrorMessage="1" prompt="Alcance: Definir las principales actividades que se requieren para alcanzar el producto definidos en los estudios previos" sqref="B16 IW16 SS16 ACO16 AMK16 AWG16 BGC16 BPY16 BZU16 CJQ16 CTM16 DDI16 DNE16 DXA16 EGW16 EQS16 FAO16 FKK16 FUG16 GEC16 GNY16 GXU16 HHQ16 HRM16 IBI16 ILE16 IVA16 JEW16 JOS16 JYO16 KIK16 KSG16 LCC16 LLY16 LVU16 MFQ16 MPM16 MZI16 NJE16 NTA16 OCW16 OMS16 OWO16 PGK16 PQG16 QAC16 QJY16 QTU16 RDQ16 RNM16 RXI16 SHE16 SRA16 TAW16 TKS16 TUO16 UEK16 UOG16 UYC16 VHY16 VRU16 WBQ16 WLM16 WVI16" xr:uid="{00000000-0002-0000-0200-000002000000}">
      <formula1>0</formula1>
      <formula2>0</formula2>
    </dataValidation>
    <dataValidation allowBlank="1" showInputMessage="1" showErrorMessage="1" prompt="Diligencie con el nombre del supervisor y/o interventor delegado." sqref="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xr:uid="{00000000-0002-0000-0200-000003000000}">
      <formula1>0</formula1>
      <formula2>0</formula2>
    </dataValidation>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C8 IX7 ST7 ACP7 AML7 AWH7 BGD7 BPZ7 BZV7 CJR7 CTN7 DDJ7 DNF7 DXB7 EGX7 EQT7 FAP7 FKL7 FUH7 GED7 GNZ7 GXV7 HHR7 HRN7 IBJ7 ILF7 IVB7 JEX7 JOT7 JYP7 KIL7 KSH7 LCD7 LLZ7 LVV7 MFR7 MPN7 MZJ7 NJF7 NTB7 OCX7 OMT7 OWP7 PGL7 PQH7 QAD7 QJZ7 QTV7 RDR7 RNN7 RXJ7 SHF7 SRB7 TAX7 TKT7 TUP7 UEL7 UOH7 UYD7 VHZ7 VRV7 WBR7 WLN7 WVJ7 C9:C10" xr:uid="{00000000-0002-0000-0200-000004000000}">
      <formula1>0</formula1>
      <formula2>0</formula2>
    </dataValidation>
    <dataValidation allowBlank="1" showInputMessage="1" showErrorMessage="1" prompt="Diligencie si es mensual, bimestral, trimestral o semestral." sqref="IX10:IZ10 ST10:SV10 ACP10:ACR10 AML10:AMN10 AWH10:AWJ10 BGD10:BGF10 BPZ10:BQB10 BZV10:BZX10 CJR10:CJT10 CTN10:CTP10 DDJ10:DDL10 DNF10:DNH10 DXB10:DXD10 EGX10:EGZ10 EQT10:EQV10 FAP10:FAR10 FKL10:FKN10 FUH10:FUJ10 GED10:GEF10 GNZ10:GOB10 GXV10:GXX10 HHR10:HHT10 HRN10:HRP10 IBJ10:IBL10 ILF10:ILH10 IVB10:IVD10 JEX10:JEZ10 JOT10:JOV10 JYP10:JYR10 KIL10:KIN10 KSH10:KSJ10 LCD10:LCF10 LLZ10:LMB10 LVV10:LVX10 MFR10:MFT10 MPN10:MPP10 MZJ10:MZL10 NJF10:NJH10 NTB10:NTD10 OCX10:OCZ10 OMT10:OMV10 OWP10:OWR10 PGL10:PGN10 PQH10:PQJ10 QAD10:QAF10 QJZ10:QKB10 QTV10:QTX10 RDR10:RDT10 RNN10:RNP10 RXJ10:RXL10 SHF10:SHH10 SRB10:SRD10 TAX10:TAZ10 TKT10:TKV10 TUP10:TUR10 UEL10:UEN10 UOH10:UOJ10 UYD10:UYF10 VHZ10:VIB10 VRV10:VRX10 WBR10:WBT10 WLN10:WLP10 WVJ10:WVL10 F11:H11 JA11:JC11 SW11:SY11 ACS11:ACU11 AMO11:AMQ11 AWK11:AWM11 BGG11:BGI11 BQC11:BQE11 BZY11:CAA11 CJU11:CJW11 CTQ11:CTS11 DDM11:DDO11 DNI11:DNK11 DXE11:DXG11 EHA11:EHC11 EQW11:EQY11 FAS11:FAU11 FKO11:FKQ11 FUK11:FUM11 GEG11:GEI11 GOC11:GOE11 GXY11:GYA11 HHU11:HHW11 HRQ11:HRS11 IBM11:IBO11 ILI11:ILK11 IVE11:IVG11 JFA11:JFC11 JOW11:JOY11 JYS11:JYU11 KIO11:KIQ11 KSK11:KSM11 LCG11:LCI11 LMC11:LME11 LVY11:LWA11 MFU11:MFW11 MPQ11:MPS11 MZM11:MZO11 NJI11:NJK11 NTE11:NTG11 ODA11:ODC11 OMW11:OMY11 OWS11:OWU11 PGO11:PGQ11 PQK11:PQM11 QAG11:QAI11 QKC11:QKE11 QTY11:QUA11 RDU11:RDW11 RNQ11:RNS11 RXM11:RXO11 SHI11:SHK11 SRE11:SRG11 TBA11:TBC11 TKW11:TKY11 TUS11:TUU11 UEO11:UEQ11 UOK11:UOM11 UYG11:UYI11 VIC11:VIE11 VRY11:VSA11 WBU11:WBW11 WLQ11:WLS11 WVM11:WVO11" xr:uid="{00000000-0002-0000-0200-000005000000}">
      <formula1>0</formula1>
      <formula2>0</formula2>
    </dataValidation>
    <dataValidation allowBlank="1" showInputMessage="1" showErrorMessage="1" prompt="Ingrese el valor a pagar segun la forma de pago establecida en los estudios previos" sqref="F24:Q24 JA24:JM24 SW24:TI24 ACS24:ADE24 AMO24:ANA24 AWK24:AWW24 BGG24:BGS24 BQC24:BQO24 BZY24:CAK24 CJU24:CKG24 CTQ24:CUC24 DDM24:DDY24 DNI24:DNU24 DXE24:DXQ24 EHA24:EHM24 EQW24:ERI24 FAS24:FBE24 FKO24:FLA24 FUK24:FUW24 GEG24:GES24 GOC24:GOO24 GXY24:GYK24 HHU24:HIG24 HRQ24:HSC24 IBM24:IBY24 ILI24:ILU24 IVE24:IVQ24 JFA24:JFM24 JOW24:JPI24 JYS24:JZE24 KIO24:KJA24 KSK24:KSW24 LCG24:LCS24 LMC24:LMO24 LVY24:LWK24 MFU24:MGG24 MPQ24:MQC24 MZM24:MZY24 NJI24:NJU24 NTE24:NTQ24 ODA24:ODM24 OMW24:ONI24 OWS24:OXE24 PGO24:PHA24 PQK24:PQW24 QAG24:QAS24 QKC24:QKO24 QTY24:QUK24 RDU24:REG24 RNQ24:ROC24 RXM24:RXY24 SHI24:SHU24 SRE24:SRQ24 TBA24:TBM24 TKW24:TLI24 TUS24:TVE24 UEO24:UFA24 UOK24:UOW24 UYG24:UYS24 VIC24:VIO24 VRY24:VSK24 WBU24:WCG24 WLQ24:WMC24 WVM24:WVY24" xr:uid="{00000000-0002-0000-0200-000006000000}">
      <formula1>0</formula1>
      <formula2>0</formula2>
    </dataValidation>
  </dataValidations>
  <hyperlinks>
    <hyperlink ref="M1" location="ins" display="Instructivo" xr:uid="{00000000-0004-0000-0200-000000000000}"/>
    <hyperlink ref="M2" location="PPTOPSP" display="Presupuesto - modalidad contrato - prestación de servicios personales" xr:uid="{00000000-0004-0000-0200-000001000000}"/>
    <hyperlink ref="Q20" location="ANTI" display="Información anticipos" xr:uid="{00000000-0004-0000-0200-000002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167"/>
  <sheetViews>
    <sheetView showGridLines="0" zoomScaleNormal="100" workbookViewId="0">
      <selection activeCell="A133" sqref="A133"/>
    </sheetView>
  </sheetViews>
  <sheetFormatPr baseColWidth="10" defaultColWidth="15.109375" defaultRowHeight="19.5" customHeight="1" x14ac:dyDescent="0.25"/>
  <cols>
    <col min="1" max="1" width="31" style="135" customWidth="1"/>
    <col min="2" max="2" width="19.33203125" style="135" customWidth="1"/>
    <col min="3" max="3" width="17.6640625" style="135" customWidth="1"/>
    <col min="4" max="4" width="20.33203125" style="135" customWidth="1"/>
    <col min="5" max="5" width="17.109375" style="135" customWidth="1"/>
    <col min="6" max="6" width="18.33203125" style="135" customWidth="1"/>
    <col min="7" max="7" width="20" style="135" customWidth="1"/>
    <col min="8" max="8" width="12.77734375" style="135" customWidth="1"/>
    <col min="9" max="9" width="21.6640625" style="135" customWidth="1"/>
    <col min="10" max="14" width="19.77734375" style="135" customWidth="1"/>
    <col min="15" max="15" width="12.109375" style="135" customWidth="1"/>
    <col min="16" max="238" width="15.109375" style="135"/>
    <col min="239" max="239" width="2.77734375" style="135" customWidth="1"/>
    <col min="240" max="240" width="26.33203125" style="135" customWidth="1"/>
    <col min="241" max="241" width="11.77734375" style="135" customWidth="1"/>
    <col min="242" max="242" width="17.6640625" style="135" customWidth="1"/>
    <col min="243" max="244" width="12.77734375" style="135" customWidth="1"/>
    <col min="245" max="245" width="15.109375" style="135"/>
    <col min="246" max="246" width="17.6640625" style="135" customWidth="1"/>
    <col min="247" max="247" width="15.33203125" style="135" customWidth="1"/>
    <col min="248" max="494" width="15.109375" style="135"/>
    <col min="495" max="495" width="2.77734375" style="135" customWidth="1"/>
    <col min="496" max="496" width="26.33203125" style="135" customWidth="1"/>
    <col min="497" max="497" width="11.77734375" style="135" customWidth="1"/>
    <col min="498" max="498" width="17.6640625" style="135" customWidth="1"/>
    <col min="499" max="500" width="12.77734375" style="135" customWidth="1"/>
    <col min="501" max="501" width="15.109375" style="135"/>
    <col min="502" max="502" width="17.6640625" style="135" customWidth="1"/>
    <col min="503" max="503" width="15.33203125" style="135" customWidth="1"/>
    <col min="504" max="750" width="15.109375" style="135"/>
    <col min="751" max="751" width="2.77734375" style="135" customWidth="1"/>
    <col min="752" max="752" width="26.33203125" style="135" customWidth="1"/>
    <col min="753" max="753" width="11.77734375" style="135" customWidth="1"/>
    <col min="754" max="754" width="17.6640625" style="135" customWidth="1"/>
    <col min="755" max="756" width="12.77734375" style="135" customWidth="1"/>
    <col min="757" max="757" width="15.109375" style="135"/>
    <col min="758" max="758" width="17.6640625" style="135" customWidth="1"/>
    <col min="759" max="759" width="15.33203125" style="135" customWidth="1"/>
    <col min="760" max="1006" width="15.109375" style="135"/>
    <col min="1007" max="1007" width="2.77734375" style="135" customWidth="1"/>
    <col min="1008" max="1008" width="26.33203125" style="135" customWidth="1"/>
    <col min="1009" max="1009" width="11.77734375" style="135" customWidth="1"/>
    <col min="1010" max="1010" width="17.6640625" style="135" customWidth="1"/>
    <col min="1011" max="1012" width="12.77734375" style="135" customWidth="1"/>
    <col min="1013" max="1013" width="15.109375" style="135"/>
    <col min="1014" max="1014" width="17.6640625" style="135" customWidth="1"/>
    <col min="1015" max="1015" width="15.33203125" style="135" customWidth="1"/>
    <col min="1016" max="1262" width="15.109375" style="135"/>
    <col min="1263" max="1263" width="2.77734375" style="135" customWidth="1"/>
    <col min="1264" max="1264" width="26.33203125" style="135" customWidth="1"/>
    <col min="1265" max="1265" width="11.77734375" style="135" customWidth="1"/>
    <col min="1266" max="1266" width="17.6640625" style="135" customWidth="1"/>
    <col min="1267" max="1268" width="12.77734375" style="135" customWidth="1"/>
    <col min="1269" max="1269" width="15.109375" style="135"/>
    <col min="1270" max="1270" width="17.6640625" style="135" customWidth="1"/>
    <col min="1271" max="1271" width="15.33203125" style="135" customWidth="1"/>
    <col min="1272" max="1518" width="15.109375" style="135"/>
    <col min="1519" max="1519" width="2.77734375" style="135" customWidth="1"/>
    <col min="1520" max="1520" width="26.33203125" style="135" customWidth="1"/>
    <col min="1521" max="1521" width="11.77734375" style="135" customWidth="1"/>
    <col min="1522" max="1522" width="17.6640625" style="135" customWidth="1"/>
    <col min="1523" max="1524" width="12.77734375" style="135" customWidth="1"/>
    <col min="1525" max="1525" width="15.109375" style="135"/>
    <col min="1526" max="1526" width="17.6640625" style="135" customWidth="1"/>
    <col min="1527" max="1527" width="15.33203125" style="135" customWidth="1"/>
    <col min="1528" max="1774" width="15.109375" style="135"/>
    <col min="1775" max="1775" width="2.77734375" style="135" customWidth="1"/>
    <col min="1776" max="1776" width="26.33203125" style="135" customWidth="1"/>
    <col min="1777" max="1777" width="11.77734375" style="135" customWidth="1"/>
    <col min="1778" max="1778" width="17.6640625" style="135" customWidth="1"/>
    <col min="1779" max="1780" width="12.77734375" style="135" customWidth="1"/>
    <col min="1781" max="1781" width="15.109375" style="135"/>
    <col min="1782" max="1782" width="17.6640625" style="135" customWidth="1"/>
    <col min="1783" max="1783" width="15.33203125" style="135" customWidth="1"/>
    <col min="1784" max="2030" width="15.109375" style="135"/>
    <col min="2031" max="2031" width="2.77734375" style="135" customWidth="1"/>
    <col min="2032" max="2032" width="26.33203125" style="135" customWidth="1"/>
    <col min="2033" max="2033" width="11.77734375" style="135" customWidth="1"/>
    <col min="2034" max="2034" width="17.6640625" style="135" customWidth="1"/>
    <col min="2035" max="2036" width="12.77734375" style="135" customWidth="1"/>
    <col min="2037" max="2037" width="15.109375" style="135"/>
    <col min="2038" max="2038" width="17.6640625" style="135" customWidth="1"/>
    <col min="2039" max="2039" width="15.33203125" style="135" customWidth="1"/>
    <col min="2040" max="2286" width="15.109375" style="135"/>
    <col min="2287" max="2287" width="2.77734375" style="135" customWidth="1"/>
    <col min="2288" max="2288" width="26.33203125" style="135" customWidth="1"/>
    <col min="2289" max="2289" width="11.77734375" style="135" customWidth="1"/>
    <col min="2290" max="2290" width="17.6640625" style="135" customWidth="1"/>
    <col min="2291" max="2292" width="12.77734375" style="135" customWidth="1"/>
    <col min="2293" max="2293" width="15.109375" style="135"/>
    <col min="2294" max="2294" width="17.6640625" style="135" customWidth="1"/>
    <col min="2295" max="2295" width="15.33203125" style="135" customWidth="1"/>
    <col min="2296" max="2542" width="15.109375" style="135"/>
    <col min="2543" max="2543" width="2.77734375" style="135" customWidth="1"/>
    <col min="2544" max="2544" width="26.33203125" style="135" customWidth="1"/>
    <col min="2545" max="2545" width="11.77734375" style="135" customWidth="1"/>
    <col min="2546" max="2546" width="17.6640625" style="135" customWidth="1"/>
    <col min="2547" max="2548" width="12.77734375" style="135" customWidth="1"/>
    <col min="2549" max="2549" width="15.109375" style="135"/>
    <col min="2550" max="2550" width="17.6640625" style="135" customWidth="1"/>
    <col min="2551" max="2551" width="15.33203125" style="135" customWidth="1"/>
    <col min="2552" max="2798" width="15.109375" style="135"/>
    <col min="2799" max="2799" width="2.77734375" style="135" customWidth="1"/>
    <col min="2800" max="2800" width="26.33203125" style="135" customWidth="1"/>
    <col min="2801" max="2801" width="11.77734375" style="135" customWidth="1"/>
    <col min="2802" max="2802" width="17.6640625" style="135" customWidth="1"/>
    <col min="2803" max="2804" width="12.77734375" style="135" customWidth="1"/>
    <col min="2805" max="2805" width="15.109375" style="135"/>
    <col min="2806" max="2806" width="17.6640625" style="135" customWidth="1"/>
    <col min="2807" max="2807" width="15.33203125" style="135" customWidth="1"/>
    <col min="2808" max="3054" width="15.109375" style="135"/>
    <col min="3055" max="3055" width="2.77734375" style="135" customWidth="1"/>
    <col min="3056" max="3056" width="26.33203125" style="135" customWidth="1"/>
    <col min="3057" max="3057" width="11.77734375" style="135" customWidth="1"/>
    <col min="3058" max="3058" width="17.6640625" style="135" customWidth="1"/>
    <col min="3059" max="3060" width="12.77734375" style="135" customWidth="1"/>
    <col min="3061" max="3061" width="15.109375" style="135"/>
    <col min="3062" max="3062" width="17.6640625" style="135" customWidth="1"/>
    <col min="3063" max="3063" width="15.33203125" style="135" customWidth="1"/>
    <col min="3064" max="3310" width="15.109375" style="135"/>
    <col min="3311" max="3311" width="2.77734375" style="135" customWidth="1"/>
    <col min="3312" max="3312" width="26.33203125" style="135" customWidth="1"/>
    <col min="3313" max="3313" width="11.77734375" style="135" customWidth="1"/>
    <col min="3314" max="3314" width="17.6640625" style="135" customWidth="1"/>
    <col min="3315" max="3316" width="12.77734375" style="135" customWidth="1"/>
    <col min="3317" max="3317" width="15.109375" style="135"/>
    <col min="3318" max="3318" width="17.6640625" style="135" customWidth="1"/>
    <col min="3319" max="3319" width="15.33203125" style="135" customWidth="1"/>
    <col min="3320" max="3566" width="15.109375" style="135"/>
    <col min="3567" max="3567" width="2.77734375" style="135" customWidth="1"/>
    <col min="3568" max="3568" width="26.33203125" style="135" customWidth="1"/>
    <col min="3569" max="3569" width="11.77734375" style="135" customWidth="1"/>
    <col min="3570" max="3570" width="17.6640625" style="135" customWidth="1"/>
    <col min="3571" max="3572" width="12.77734375" style="135" customWidth="1"/>
    <col min="3573" max="3573" width="15.109375" style="135"/>
    <col min="3574" max="3574" width="17.6640625" style="135" customWidth="1"/>
    <col min="3575" max="3575" width="15.33203125" style="135" customWidth="1"/>
    <col min="3576" max="3822" width="15.109375" style="135"/>
    <col min="3823" max="3823" width="2.77734375" style="135" customWidth="1"/>
    <col min="3824" max="3824" width="26.33203125" style="135" customWidth="1"/>
    <col min="3825" max="3825" width="11.77734375" style="135" customWidth="1"/>
    <col min="3826" max="3826" width="17.6640625" style="135" customWidth="1"/>
    <col min="3827" max="3828" width="12.77734375" style="135" customWidth="1"/>
    <col min="3829" max="3829" width="15.109375" style="135"/>
    <col min="3830" max="3830" width="17.6640625" style="135" customWidth="1"/>
    <col min="3831" max="3831" width="15.33203125" style="135" customWidth="1"/>
    <col min="3832" max="4078" width="15.109375" style="135"/>
    <col min="4079" max="4079" width="2.77734375" style="135" customWidth="1"/>
    <col min="4080" max="4080" width="26.33203125" style="135" customWidth="1"/>
    <col min="4081" max="4081" width="11.77734375" style="135" customWidth="1"/>
    <col min="4082" max="4082" width="17.6640625" style="135" customWidth="1"/>
    <col min="4083" max="4084" width="12.77734375" style="135" customWidth="1"/>
    <col min="4085" max="4085" width="15.109375" style="135"/>
    <col min="4086" max="4086" width="17.6640625" style="135" customWidth="1"/>
    <col min="4087" max="4087" width="15.33203125" style="135" customWidth="1"/>
    <col min="4088" max="4334" width="15.109375" style="135"/>
    <col min="4335" max="4335" width="2.77734375" style="135" customWidth="1"/>
    <col min="4336" max="4336" width="26.33203125" style="135" customWidth="1"/>
    <col min="4337" max="4337" width="11.77734375" style="135" customWidth="1"/>
    <col min="4338" max="4338" width="17.6640625" style="135" customWidth="1"/>
    <col min="4339" max="4340" width="12.77734375" style="135" customWidth="1"/>
    <col min="4341" max="4341" width="15.109375" style="135"/>
    <col min="4342" max="4342" width="17.6640625" style="135" customWidth="1"/>
    <col min="4343" max="4343" width="15.33203125" style="135" customWidth="1"/>
    <col min="4344" max="4590" width="15.109375" style="135"/>
    <col min="4591" max="4591" width="2.77734375" style="135" customWidth="1"/>
    <col min="4592" max="4592" width="26.33203125" style="135" customWidth="1"/>
    <col min="4593" max="4593" width="11.77734375" style="135" customWidth="1"/>
    <col min="4594" max="4594" width="17.6640625" style="135" customWidth="1"/>
    <col min="4595" max="4596" width="12.77734375" style="135" customWidth="1"/>
    <col min="4597" max="4597" width="15.109375" style="135"/>
    <col min="4598" max="4598" width="17.6640625" style="135" customWidth="1"/>
    <col min="4599" max="4599" width="15.33203125" style="135" customWidth="1"/>
    <col min="4600" max="4846" width="15.109375" style="135"/>
    <col min="4847" max="4847" width="2.77734375" style="135" customWidth="1"/>
    <col min="4848" max="4848" width="26.33203125" style="135" customWidth="1"/>
    <col min="4849" max="4849" width="11.77734375" style="135" customWidth="1"/>
    <col min="4850" max="4850" width="17.6640625" style="135" customWidth="1"/>
    <col min="4851" max="4852" width="12.77734375" style="135" customWidth="1"/>
    <col min="4853" max="4853" width="15.109375" style="135"/>
    <col min="4854" max="4854" width="17.6640625" style="135" customWidth="1"/>
    <col min="4855" max="4855" width="15.33203125" style="135" customWidth="1"/>
    <col min="4856" max="5102" width="15.109375" style="135"/>
    <col min="5103" max="5103" width="2.77734375" style="135" customWidth="1"/>
    <col min="5104" max="5104" width="26.33203125" style="135" customWidth="1"/>
    <col min="5105" max="5105" width="11.77734375" style="135" customWidth="1"/>
    <col min="5106" max="5106" width="17.6640625" style="135" customWidth="1"/>
    <col min="5107" max="5108" width="12.77734375" style="135" customWidth="1"/>
    <col min="5109" max="5109" width="15.109375" style="135"/>
    <col min="5110" max="5110" width="17.6640625" style="135" customWidth="1"/>
    <col min="5111" max="5111" width="15.33203125" style="135" customWidth="1"/>
    <col min="5112" max="5358" width="15.109375" style="135"/>
    <col min="5359" max="5359" width="2.77734375" style="135" customWidth="1"/>
    <col min="5360" max="5360" width="26.33203125" style="135" customWidth="1"/>
    <col min="5361" max="5361" width="11.77734375" style="135" customWidth="1"/>
    <col min="5362" max="5362" width="17.6640625" style="135" customWidth="1"/>
    <col min="5363" max="5364" width="12.77734375" style="135" customWidth="1"/>
    <col min="5365" max="5365" width="15.109375" style="135"/>
    <col min="5366" max="5366" width="17.6640625" style="135" customWidth="1"/>
    <col min="5367" max="5367" width="15.33203125" style="135" customWidth="1"/>
    <col min="5368" max="5614" width="15.109375" style="135"/>
    <col min="5615" max="5615" width="2.77734375" style="135" customWidth="1"/>
    <col min="5616" max="5616" width="26.33203125" style="135" customWidth="1"/>
    <col min="5617" max="5617" width="11.77734375" style="135" customWidth="1"/>
    <col min="5618" max="5618" width="17.6640625" style="135" customWidth="1"/>
    <col min="5619" max="5620" width="12.77734375" style="135" customWidth="1"/>
    <col min="5621" max="5621" width="15.109375" style="135"/>
    <col min="5622" max="5622" width="17.6640625" style="135" customWidth="1"/>
    <col min="5623" max="5623" width="15.33203125" style="135" customWidth="1"/>
    <col min="5624" max="5870" width="15.109375" style="135"/>
    <col min="5871" max="5871" width="2.77734375" style="135" customWidth="1"/>
    <col min="5872" max="5872" width="26.33203125" style="135" customWidth="1"/>
    <col min="5873" max="5873" width="11.77734375" style="135" customWidth="1"/>
    <col min="5874" max="5874" width="17.6640625" style="135" customWidth="1"/>
    <col min="5875" max="5876" width="12.77734375" style="135" customWidth="1"/>
    <col min="5877" max="5877" width="15.109375" style="135"/>
    <col min="5878" max="5878" width="17.6640625" style="135" customWidth="1"/>
    <col min="5879" max="5879" width="15.33203125" style="135" customWidth="1"/>
    <col min="5880" max="6126" width="15.109375" style="135"/>
    <col min="6127" max="6127" width="2.77734375" style="135" customWidth="1"/>
    <col min="6128" max="6128" width="26.33203125" style="135" customWidth="1"/>
    <col min="6129" max="6129" width="11.77734375" style="135" customWidth="1"/>
    <col min="6130" max="6130" width="17.6640625" style="135" customWidth="1"/>
    <col min="6131" max="6132" width="12.77734375" style="135" customWidth="1"/>
    <col min="6133" max="6133" width="15.109375" style="135"/>
    <col min="6134" max="6134" width="17.6640625" style="135" customWidth="1"/>
    <col min="6135" max="6135" width="15.33203125" style="135" customWidth="1"/>
    <col min="6136" max="6382" width="15.109375" style="135"/>
    <col min="6383" max="6383" width="2.77734375" style="135" customWidth="1"/>
    <col min="6384" max="6384" width="26.33203125" style="135" customWidth="1"/>
    <col min="6385" max="6385" width="11.77734375" style="135" customWidth="1"/>
    <col min="6386" max="6386" width="17.6640625" style="135" customWidth="1"/>
    <col min="6387" max="6388" width="12.77734375" style="135" customWidth="1"/>
    <col min="6389" max="6389" width="15.109375" style="135"/>
    <col min="6390" max="6390" width="17.6640625" style="135" customWidth="1"/>
    <col min="6391" max="6391" width="15.33203125" style="135" customWidth="1"/>
    <col min="6392" max="6638" width="15.109375" style="135"/>
    <col min="6639" max="6639" width="2.77734375" style="135" customWidth="1"/>
    <col min="6640" max="6640" width="26.33203125" style="135" customWidth="1"/>
    <col min="6641" max="6641" width="11.77734375" style="135" customWidth="1"/>
    <col min="6642" max="6642" width="17.6640625" style="135" customWidth="1"/>
    <col min="6643" max="6644" width="12.77734375" style="135" customWidth="1"/>
    <col min="6645" max="6645" width="15.109375" style="135"/>
    <col min="6646" max="6646" width="17.6640625" style="135" customWidth="1"/>
    <col min="6647" max="6647" width="15.33203125" style="135" customWidth="1"/>
    <col min="6648" max="6894" width="15.109375" style="135"/>
    <col min="6895" max="6895" width="2.77734375" style="135" customWidth="1"/>
    <col min="6896" max="6896" width="26.33203125" style="135" customWidth="1"/>
    <col min="6897" max="6897" width="11.77734375" style="135" customWidth="1"/>
    <col min="6898" max="6898" width="17.6640625" style="135" customWidth="1"/>
    <col min="6899" max="6900" width="12.77734375" style="135" customWidth="1"/>
    <col min="6901" max="6901" width="15.109375" style="135"/>
    <col min="6902" max="6902" width="17.6640625" style="135" customWidth="1"/>
    <col min="6903" max="6903" width="15.33203125" style="135" customWidth="1"/>
    <col min="6904" max="7150" width="15.109375" style="135"/>
    <col min="7151" max="7151" width="2.77734375" style="135" customWidth="1"/>
    <col min="7152" max="7152" width="26.33203125" style="135" customWidth="1"/>
    <col min="7153" max="7153" width="11.77734375" style="135" customWidth="1"/>
    <col min="7154" max="7154" width="17.6640625" style="135" customWidth="1"/>
    <col min="7155" max="7156" width="12.77734375" style="135" customWidth="1"/>
    <col min="7157" max="7157" width="15.109375" style="135"/>
    <col min="7158" max="7158" width="17.6640625" style="135" customWidth="1"/>
    <col min="7159" max="7159" width="15.33203125" style="135" customWidth="1"/>
    <col min="7160" max="7406" width="15.109375" style="135"/>
    <col min="7407" max="7407" width="2.77734375" style="135" customWidth="1"/>
    <col min="7408" max="7408" width="26.33203125" style="135" customWidth="1"/>
    <col min="7409" max="7409" width="11.77734375" style="135" customWidth="1"/>
    <col min="7410" max="7410" width="17.6640625" style="135" customWidth="1"/>
    <col min="7411" max="7412" width="12.77734375" style="135" customWidth="1"/>
    <col min="7413" max="7413" width="15.109375" style="135"/>
    <col min="7414" max="7414" width="17.6640625" style="135" customWidth="1"/>
    <col min="7415" max="7415" width="15.33203125" style="135" customWidth="1"/>
    <col min="7416" max="7662" width="15.109375" style="135"/>
    <col min="7663" max="7663" width="2.77734375" style="135" customWidth="1"/>
    <col min="7664" max="7664" width="26.33203125" style="135" customWidth="1"/>
    <col min="7665" max="7665" width="11.77734375" style="135" customWidth="1"/>
    <col min="7666" max="7666" width="17.6640625" style="135" customWidth="1"/>
    <col min="7667" max="7668" width="12.77734375" style="135" customWidth="1"/>
    <col min="7669" max="7669" width="15.109375" style="135"/>
    <col min="7670" max="7670" width="17.6640625" style="135" customWidth="1"/>
    <col min="7671" max="7671" width="15.33203125" style="135" customWidth="1"/>
    <col min="7672" max="7918" width="15.109375" style="135"/>
    <col min="7919" max="7919" width="2.77734375" style="135" customWidth="1"/>
    <col min="7920" max="7920" width="26.33203125" style="135" customWidth="1"/>
    <col min="7921" max="7921" width="11.77734375" style="135" customWidth="1"/>
    <col min="7922" max="7922" width="17.6640625" style="135" customWidth="1"/>
    <col min="7923" max="7924" width="12.77734375" style="135" customWidth="1"/>
    <col min="7925" max="7925" width="15.109375" style="135"/>
    <col min="7926" max="7926" width="17.6640625" style="135" customWidth="1"/>
    <col min="7927" max="7927" width="15.33203125" style="135" customWidth="1"/>
    <col min="7928" max="8174" width="15.109375" style="135"/>
    <col min="8175" max="8175" width="2.77734375" style="135" customWidth="1"/>
    <col min="8176" max="8176" width="26.33203125" style="135" customWidth="1"/>
    <col min="8177" max="8177" width="11.77734375" style="135" customWidth="1"/>
    <col min="8178" max="8178" width="17.6640625" style="135" customWidth="1"/>
    <col min="8179" max="8180" width="12.77734375" style="135" customWidth="1"/>
    <col min="8181" max="8181" width="15.109375" style="135"/>
    <col min="8182" max="8182" width="17.6640625" style="135" customWidth="1"/>
    <col min="8183" max="8183" width="15.33203125" style="135" customWidth="1"/>
    <col min="8184" max="8430" width="15.109375" style="135"/>
    <col min="8431" max="8431" width="2.77734375" style="135" customWidth="1"/>
    <col min="8432" max="8432" width="26.33203125" style="135" customWidth="1"/>
    <col min="8433" max="8433" width="11.77734375" style="135" customWidth="1"/>
    <col min="8434" max="8434" width="17.6640625" style="135" customWidth="1"/>
    <col min="8435" max="8436" width="12.77734375" style="135" customWidth="1"/>
    <col min="8437" max="8437" width="15.109375" style="135"/>
    <col min="8438" max="8438" width="17.6640625" style="135" customWidth="1"/>
    <col min="8439" max="8439" width="15.33203125" style="135" customWidth="1"/>
    <col min="8440" max="8686" width="15.109375" style="135"/>
    <col min="8687" max="8687" width="2.77734375" style="135" customWidth="1"/>
    <col min="8688" max="8688" width="26.33203125" style="135" customWidth="1"/>
    <col min="8689" max="8689" width="11.77734375" style="135" customWidth="1"/>
    <col min="8690" max="8690" width="17.6640625" style="135" customWidth="1"/>
    <col min="8691" max="8692" width="12.77734375" style="135" customWidth="1"/>
    <col min="8693" max="8693" width="15.109375" style="135"/>
    <col min="8694" max="8694" width="17.6640625" style="135" customWidth="1"/>
    <col min="8695" max="8695" width="15.33203125" style="135" customWidth="1"/>
    <col min="8696" max="8942" width="15.109375" style="135"/>
    <col min="8943" max="8943" width="2.77734375" style="135" customWidth="1"/>
    <col min="8944" max="8944" width="26.33203125" style="135" customWidth="1"/>
    <col min="8945" max="8945" width="11.77734375" style="135" customWidth="1"/>
    <col min="8946" max="8946" width="17.6640625" style="135" customWidth="1"/>
    <col min="8947" max="8948" width="12.77734375" style="135" customWidth="1"/>
    <col min="8949" max="8949" width="15.109375" style="135"/>
    <col min="8950" max="8950" width="17.6640625" style="135" customWidth="1"/>
    <col min="8951" max="8951" width="15.33203125" style="135" customWidth="1"/>
    <col min="8952" max="9198" width="15.109375" style="135"/>
    <col min="9199" max="9199" width="2.77734375" style="135" customWidth="1"/>
    <col min="9200" max="9200" width="26.33203125" style="135" customWidth="1"/>
    <col min="9201" max="9201" width="11.77734375" style="135" customWidth="1"/>
    <col min="9202" max="9202" width="17.6640625" style="135" customWidth="1"/>
    <col min="9203" max="9204" width="12.77734375" style="135" customWidth="1"/>
    <col min="9205" max="9205" width="15.109375" style="135"/>
    <col min="9206" max="9206" width="17.6640625" style="135" customWidth="1"/>
    <col min="9207" max="9207" width="15.33203125" style="135" customWidth="1"/>
    <col min="9208" max="9454" width="15.109375" style="135"/>
    <col min="9455" max="9455" width="2.77734375" style="135" customWidth="1"/>
    <col min="9456" max="9456" width="26.33203125" style="135" customWidth="1"/>
    <col min="9457" max="9457" width="11.77734375" style="135" customWidth="1"/>
    <col min="9458" max="9458" width="17.6640625" style="135" customWidth="1"/>
    <col min="9459" max="9460" width="12.77734375" style="135" customWidth="1"/>
    <col min="9461" max="9461" width="15.109375" style="135"/>
    <col min="9462" max="9462" width="17.6640625" style="135" customWidth="1"/>
    <col min="9463" max="9463" width="15.33203125" style="135" customWidth="1"/>
    <col min="9464" max="9710" width="15.109375" style="135"/>
    <col min="9711" max="9711" width="2.77734375" style="135" customWidth="1"/>
    <col min="9712" max="9712" width="26.33203125" style="135" customWidth="1"/>
    <col min="9713" max="9713" width="11.77734375" style="135" customWidth="1"/>
    <col min="9714" max="9714" width="17.6640625" style="135" customWidth="1"/>
    <col min="9715" max="9716" width="12.77734375" style="135" customWidth="1"/>
    <col min="9717" max="9717" width="15.109375" style="135"/>
    <col min="9718" max="9718" width="17.6640625" style="135" customWidth="1"/>
    <col min="9719" max="9719" width="15.33203125" style="135" customWidth="1"/>
    <col min="9720" max="9966" width="15.109375" style="135"/>
    <col min="9967" max="9967" width="2.77734375" style="135" customWidth="1"/>
    <col min="9968" max="9968" width="26.33203125" style="135" customWidth="1"/>
    <col min="9969" max="9969" width="11.77734375" style="135" customWidth="1"/>
    <col min="9970" max="9970" width="17.6640625" style="135" customWidth="1"/>
    <col min="9971" max="9972" width="12.77734375" style="135" customWidth="1"/>
    <col min="9973" max="9973" width="15.109375" style="135"/>
    <col min="9974" max="9974" width="17.6640625" style="135" customWidth="1"/>
    <col min="9975" max="9975" width="15.33203125" style="135" customWidth="1"/>
    <col min="9976" max="10222" width="15.109375" style="135"/>
    <col min="10223" max="10223" width="2.77734375" style="135" customWidth="1"/>
    <col min="10224" max="10224" width="26.33203125" style="135" customWidth="1"/>
    <col min="10225" max="10225" width="11.77734375" style="135" customWidth="1"/>
    <col min="10226" max="10226" width="17.6640625" style="135" customWidth="1"/>
    <col min="10227" max="10228" width="12.77734375" style="135" customWidth="1"/>
    <col min="10229" max="10229" width="15.109375" style="135"/>
    <col min="10230" max="10230" width="17.6640625" style="135" customWidth="1"/>
    <col min="10231" max="10231" width="15.33203125" style="135" customWidth="1"/>
    <col min="10232" max="10478" width="15.109375" style="135"/>
    <col min="10479" max="10479" width="2.77734375" style="135" customWidth="1"/>
    <col min="10480" max="10480" width="26.33203125" style="135" customWidth="1"/>
    <col min="10481" max="10481" width="11.77734375" style="135" customWidth="1"/>
    <col min="10482" max="10482" width="17.6640625" style="135" customWidth="1"/>
    <col min="10483" max="10484" width="12.77734375" style="135" customWidth="1"/>
    <col min="10485" max="10485" width="15.109375" style="135"/>
    <col min="10486" max="10486" width="17.6640625" style="135" customWidth="1"/>
    <col min="10487" max="10487" width="15.33203125" style="135" customWidth="1"/>
    <col min="10488" max="10734" width="15.109375" style="135"/>
    <col min="10735" max="10735" width="2.77734375" style="135" customWidth="1"/>
    <col min="10736" max="10736" width="26.33203125" style="135" customWidth="1"/>
    <col min="10737" max="10737" width="11.77734375" style="135" customWidth="1"/>
    <col min="10738" max="10738" width="17.6640625" style="135" customWidth="1"/>
    <col min="10739" max="10740" width="12.77734375" style="135" customWidth="1"/>
    <col min="10741" max="10741" width="15.109375" style="135"/>
    <col min="10742" max="10742" width="17.6640625" style="135" customWidth="1"/>
    <col min="10743" max="10743" width="15.33203125" style="135" customWidth="1"/>
    <col min="10744" max="10990" width="15.109375" style="135"/>
    <col min="10991" max="10991" width="2.77734375" style="135" customWidth="1"/>
    <col min="10992" max="10992" width="26.33203125" style="135" customWidth="1"/>
    <col min="10993" max="10993" width="11.77734375" style="135" customWidth="1"/>
    <col min="10994" max="10994" width="17.6640625" style="135" customWidth="1"/>
    <col min="10995" max="10996" width="12.77734375" style="135" customWidth="1"/>
    <col min="10997" max="10997" width="15.109375" style="135"/>
    <col min="10998" max="10998" width="17.6640625" style="135" customWidth="1"/>
    <col min="10999" max="10999" width="15.33203125" style="135" customWidth="1"/>
    <col min="11000" max="11246" width="15.109375" style="135"/>
    <col min="11247" max="11247" width="2.77734375" style="135" customWidth="1"/>
    <col min="11248" max="11248" width="26.33203125" style="135" customWidth="1"/>
    <col min="11249" max="11249" width="11.77734375" style="135" customWidth="1"/>
    <col min="11250" max="11250" width="17.6640625" style="135" customWidth="1"/>
    <col min="11251" max="11252" width="12.77734375" style="135" customWidth="1"/>
    <col min="11253" max="11253" width="15.109375" style="135"/>
    <col min="11254" max="11254" width="17.6640625" style="135" customWidth="1"/>
    <col min="11255" max="11255" width="15.33203125" style="135" customWidth="1"/>
    <col min="11256" max="11502" width="15.109375" style="135"/>
    <col min="11503" max="11503" width="2.77734375" style="135" customWidth="1"/>
    <col min="11504" max="11504" width="26.33203125" style="135" customWidth="1"/>
    <col min="11505" max="11505" width="11.77734375" style="135" customWidth="1"/>
    <col min="11506" max="11506" width="17.6640625" style="135" customWidth="1"/>
    <col min="11507" max="11508" width="12.77734375" style="135" customWidth="1"/>
    <col min="11509" max="11509" width="15.109375" style="135"/>
    <col min="11510" max="11510" width="17.6640625" style="135" customWidth="1"/>
    <col min="11511" max="11511" width="15.33203125" style="135" customWidth="1"/>
    <col min="11512" max="11758" width="15.109375" style="135"/>
    <col min="11759" max="11759" width="2.77734375" style="135" customWidth="1"/>
    <col min="11760" max="11760" width="26.33203125" style="135" customWidth="1"/>
    <col min="11761" max="11761" width="11.77734375" style="135" customWidth="1"/>
    <col min="11762" max="11762" width="17.6640625" style="135" customWidth="1"/>
    <col min="11763" max="11764" width="12.77734375" style="135" customWidth="1"/>
    <col min="11765" max="11765" width="15.109375" style="135"/>
    <col min="11766" max="11766" width="17.6640625" style="135" customWidth="1"/>
    <col min="11767" max="11767" width="15.33203125" style="135" customWidth="1"/>
    <col min="11768" max="12014" width="15.109375" style="135"/>
    <col min="12015" max="12015" width="2.77734375" style="135" customWidth="1"/>
    <col min="12016" max="12016" width="26.33203125" style="135" customWidth="1"/>
    <col min="12017" max="12017" width="11.77734375" style="135" customWidth="1"/>
    <col min="12018" max="12018" width="17.6640625" style="135" customWidth="1"/>
    <col min="12019" max="12020" width="12.77734375" style="135" customWidth="1"/>
    <col min="12021" max="12021" width="15.109375" style="135"/>
    <col min="12022" max="12022" width="17.6640625" style="135" customWidth="1"/>
    <col min="12023" max="12023" width="15.33203125" style="135" customWidth="1"/>
    <col min="12024" max="12270" width="15.109375" style="135"/>
    <col min="12271" max="12271" width="2.77734375" style="135" customWidth="1"/>
    <col min="12272" max="12272" width="26.33203125" style="135" customWidth="1"/>
    <col min="12273" max="12273" width="11.77734375" style="135" customWidth="1"/>
    <col min="12274" max="12274" width="17.6640625" style="135" customWidth="1"/>
    <col min="12275" max="12276" width="12.77734375" style="135" customWidth="1"/>
    <col min="12277" max="12277" width="15.109375" style="135"/>
    <col min="12278" max="12278" width="17.6640625" style="135" customWidth="1"/>
    <col min="12279" max="12279" width="15.33203125" style="135" customWidth="1"/>
    <col min="12280" max="12526" width="15.109375" style="135"/>
    <col min="12527" max="12527" width="2.77734375" style="135" customWidth="1"/>
    <col min="12528" max="12528" width="26.33203125" style="135" customWidth="1"/>
    <col min="12529" max="12529" width="11.77734375" style="135" customWidth="1"/>
    <col min="12530" max="12530" width="17.6640625" style="135" customWidth="1"/>
    <col min="12531" max="12532" width="12.77734375" style="135" customWidth="1"/>
    <col min="12533" max="12533" width="15.109375" style="135"/>
    <col min="12534" max="12534" width="17.6640625" style="135" customWidth="1"/>
    <col min="12535" max="12535" width="15.33203125" style="135" customWidth="1"/>
    <col min="12536" max="12782" width="15.109375" style="135"/>
    <col min="12783" max="12783" width="2.77734375" style="135" customWidth="1"/>
    <col min="12784" max="12784" width="26.33203125" style="135" customWidth="1"/>
    <col min="12785" max="12785" width="11.77734375" style="135" customWidth="1"/>
    <col min="12786" max="12786" width="17.6640625" style="135" customWidth="1"/>
    <col min="12787" max="12788" width="12.77734375" style="135" customWidth="1"/>
    <col min="12789" max="12789" width="15.109375" style="135"/>
    <col min="12790" max="12790" width="17.6640625" style="135" customWidth="1"/>
    <col min="12791" max="12791" width="15.33203125" style="135" customWidth="1"/>
    <col min="12792" max="13038" width="15.109375" style="135"/>
    <col min="13039" max="13039" width="2.77734375" style="135" customWidth="1"/>
    <col min="13040" max="13040" width="26.33203125" style="135" customWidth="1"/>
    <col min="13041" max="13041" width="11.77734375" style="135" customWidth="1"/>
    <col min="13042" max="13042" width="17.6640625" style="135" customWidth="1"/>
    <col min="13043" max="13044" width="12.77734375" style="135" customWidth="1"/>
    <col min="13045" max="13045" width="15.109375" style="135"/>
    <col min="13046" max="13046" width="17.6640625" style="135" customWidth="1"/>
    <col min="13047" max="13047" width="15.33203125" style="135" customWidth="1"/>
    <col min="13048" max="13294" width="15.109375" style="135"/>
    <col min="13295" max="13295" width="2.77734375" style="135" customWidth="1"/>
    <col min="13296" max="13296" width="26.33203125" style="135" customWidth="1"/>
    <col min="13297" max="13297" width="11.77734375" style="135" customWidth="1"/>
    <col min="13298" max="13298" width="17.6640625" style="135" customWidth="1"/>
    <col min="13299" max="13300" width="12.77734375" style="135" customWidth="1"/>
    <col min="13301" max="13301" width="15.109375" style="135"/>
    <col min="13302" max="13302" width="17.6640625" style="135" customWidth="1"/>
    <col min="13303" max="13303" width="15.33203125" style="135" customWidth="1"/>
    <col min="13304" max="13550" width="15.109375" style="135"/>
    <col min="13551" max="13551" width="2.77734375" style="135" customWidth="1"/>
    <col min="13552" max="13552" width="26.33203125" style="135" customWidth="1"/>
    <col min="13553" max="13553" width="11.77734375" style="135" customWidth="1"/>
    <col min="13554" max="13554" width="17.6640625" style="135" customWidth="1"/>
    <col min="13555" max="13556" width="12.77734375" style="135" customWidth="1"/>
    <col min="13557" max="13557" width="15.109375" style="135"/>
    <col min="13558" max="13558" width="17.6640625" style="135" customWidth="1"/>
    <col min="13559" max="13559" width="15.33203125" style="135" customWidth="1"/>
    <col min="13560" max="13806" width="15.109375" style="135"/>
    <col min="13807" max="13807" width="2.77734375" style="135" customWidth="1"/>
    <col min="13808" max="13808" width="26.33203125" style="135" customWidth="1"/>
    <col min="13809" max="13809" width="11.77734375" style="135" customWidth="1"/>
    <col min="13810" max="13810" width="17.6640625" style="135" customWidth="1"/>
    <col min="13811" max="13812" width="12.77734375" style="135" customWidth="1"/>
    <col min="13813" max="13813" width="15.109375" style="135"/>
    <col min="13814" max="13814" width="17.6640625" style="135" customWidth="1"/>
    <col min="13815" max="13815" width="15.33203125" style="135" customWidth="1"/>
    <col min="13816" max="14062" width="15.109375" style="135"/>
    <col min="14063" max="14063" width="2.77734375" style="135" customWidth="1"/>
    <col min="14064" max="14064" width="26.33203125" style="135" customWidth="1"/>
    <col min="14065" max="14065" width="11.77734375" style="135" customWidth="1"/>
    <col min="14066" max="14066" width="17.6640625" style="135" customWidth="1"/>
    <col min="14067" max="14068" width="12.77734375" style="135" customWidth="1"/>
    <col min="14069" max="14069" width="15.109375" style="135"/>
    <col min="14070" max="14070" width="17.6640625" style="135" customWidth="1"/>
    <col min="14071" max="14071" width="15.33203125" style="135" customWidth="1"/>
    <col min="14072" max="14318" width="15.109375" style="135"/>
    <col min="14319" max="14319" width="2.77734375" style="135" customWidth="1"/>
    <col min="14320" max="14320" width="26.33203125" style="135" customWidth="1"/>
    <col min="14321" max="14321" width="11.77734375" style="135" customWidth="1"/>
    <col min="14322" max="14322" width="17.6640625" style="135" customWidth="1"/>
    <col min="14323" max="14324" width="12.77734375" style="135" customWidth="1"/>
    <col min="14325" max="14325" width="15.109375" style="135"/>
    <col min="14326" max="14326" width="17.6640625" style="135" customWidth="1"/>
    <col min="14327" max="14327" width="15.33203125" style="135" customWidth="1"/>
    <col min="14328" max="14574" width="15.109375" style="135"/>
    <col min="14575" max="14575" width="2.77734375" style="135" customWidth="1"/>
    <col min="14576" max="14576" width="26.33203125" style="135" customWidth="1"/>
    <col min="14577" max="14577" width="11.77734375" style="135" customWidth="1"/>
    <col min="14578" max="14578" width="17.6640625" style="135" customWidth="1"/>
    <col min="14579" max="14580" width="12.77734375" style="135" customWidth="1"/>
    <col min="14581" max="14581" width="15.109375" style="135"/>
    <col min="14582" max="14582" width="17.6640625" style="135" customWidth="1"/>
    <col min="14583" max="14583" width="15.33203125" style="135" customWidth="1"/>
    <col min="14584" max="14830" width="15.109375" style="135"/>
    <col min="14831" max="14831" width="2.77734375" style="135" customWidth="1"/>
    <col min="14832" max="14832" width="26.33203125" style="135" customWidth="1"/>
    <col min="14833" max="14833" width="11.77734375" style="135" customWidth="1"/>
    <col min="14834" max="14834" width="17.6640625" style="135" customWidth="1"/>
    <col min="14835" max="14836" width="12.77734375" style="135" customWidth="1"/>
    <col min="14837" max="14837" width="15.109375" style="135"/>
    <col min="14838" max="14838" width="17.6640625" style="135" customWidth="1"/>
    <col min="14839" max="14839" width="15.33203125" style="135" customWidth="1"/>
    <col min="14840" max="15086" width="15.109375" style="135"/>
    <col min="15087" max="15087" width="2.77734375" style="135" customWidth="1"/>
    <col min="15088" max="15088" width="26.33203125" style="135" customWidth="1"/>
    <col min="15089" max="15089" width="11.77734375" style="135" customWidth="1"/>
    <col min="15090" max="15090" width="17.6640625" style="135" customWidth="1"/>
    <col min="15091" max="15092" width="12.77734375" style="135" customWidth="1"/>
    <col min="15093" max="15093" width="15.109375" style="135"/>
    <col min="15094" max="15094" width="17.6640625" style="135" customWidth="1"/>
    <col min="15095" max="15095" width="15.33203125" style="135" customWidth="1"/>
    <col min="15096" max="15342" width="15.109375" style="135"/>
    <col min="15343" max="15343" width="2.77734375" style="135" customWidth="1"/>
    <col min="15344" max="15344" width="26.33203125" style="135" customWidth="1"/>
    <col min="15345" max="15345" width="11.77734375" style="135" customWidth="1"/>
    <col min="15346" max="15346" width="17.6640625" style="135" customWidth="1"/>
    <col min="15347" max="15348" width="12.77734375" style="135" customWidth="1"/>
    <col min="15349" max="15349" width="15.109375" style="135"/>
    <col min="15350" max="15350" width="17.6640625" style="135" customWidth="1"/>
    <col min="15351" max="15351" width="15.33203125" style="135" customWidth="1"/>
    <col min="15352" max="15598" width="15.109375" style="135"/>
    <col min="15599" max="15599" width="2.77734375" style="135" customWidth="1"/>
    <col min="15600" max="15600" width="26.33203125" style="135" customWidth="1"/>
    <col min="15601" max="15601" width="11.77734375" style="135" customWidth="1"/>
    <col min="15602" max="15602" width="17.6640625" style="135" customWidth="1"/>
    <col min="15603" max="15604" width="12.77734375" style="135" customWidth="1"/>
    <col min="15605" max="15605" width="15.109375" style="135"/>
    <col min="15606" max="15606" width="17.6640625" style="135" customWidth="1"/>
    <col min="15607" max="15607" width="15.33203125" style="135" customWidth="1"/>
    <col min="15608" max="15854" width="15.109375" style="135"/>
    <col min="15855" max="15855" width="2.77734375" style="135" customWidth="1"/>
    <col min="15856" max="15856" width="26.33203125" style="135" customWidth="1"/>
    <col min="15857" max="15857" width="11.77734375" style="135" customWidth="1"/>
    <col min="15858" max="15858" width="17.6640625" style="135" customWidth="1"/>
    <col min="15859" max="15860" width="12.77734375" style="135" customWidth="1"/>
    <col min="15861" max="15861" width="15.109375" style="135"/>
    <col min="15862" max="15862" width="17.6640625" style="135" customWidth="1"/>
    <col min="15863" max="15863" width="15.33203125" style="135" customWidth="1"/>
    <col min="15864" max="16110" width="15.109375" style="135"/>
    <col min="16111" max="16111" width="2.77734375" style="135" customWidth="1"/>
    <col min="16112" max="16112" width="26.33203125" style="135" customWidth="1"/>
    <col min="16113" max="16113" width="11.77734375" style="135" customWidth="1"/>
    <col min="16114" max="16114" width="17.6640625" style="135" customWidth="1"/>
    <col min="16115" max="16116" width="12.77734375" style="135" customWidth="1"/>
    <col min="16117" max="16117" width="15.109375" style="135"/>
    <col min="16118" max="16118" width="17.6640625" style="135" customWidth="1"/>
    <col min="16119" max="16119" width="15.33203125" style="135" customWidth="1"/>
    <col min="16120" max="16384" width="15.109375" style="135"/>
  </cols>
  <sheetData>
    <row r="1" spans="1:15" s="15" customFormat="1" ht="39" customHeight="1" x14ac:dyDescent="0.25">
      <c r="F1" s="14" t="str">
        <f>Instructivo!F1</f>
        <v>Sistema de Gestión Integral (SGI)
Instructivo - Componente Financiero EP
Código: F-PGC-21. Versión: 05</v>
      </c>
      <c r="G1" s="14"/>
      <c r="H1" s="14"/>
      <c r="I1" s="14"/>
      <c r="J1" s="14"/>
      <c r="K1" s="14"/>
      <c r="M1" s="132" t="s">
        <v>102</v>
      </c>
    </row>
    <row r="2" spans="1:15" s="15" customFormat="1" ht="18" customHeight="1" x14ac:dyDescent="0.25">
      <c r="F2" s="13" t="s">
        <v>377</v>
      </c>
      <c r="G2" s="13"/>
      <c r="H2" s="13"/>
      <c r="I2" s="13"/>
      <c r="J2" s="13"/>
      <c r="K2" s="13"/>
    </row>
    <row r="3" spans="1:15" s="15" customFormat="1" ht="3" customHeight="1" x14ac:dyDescent="0.25">
      <c r="F3" s="201"/>
      <c r="G3" s="202"/>
      <c r="H3" s="202"/>
      <c r="I3" s="202"/>
      <c r="J3" s="202"/>
      <c r="K3" s="202"/>
    </row>
    <row r="4" spans="1:15" ht="3" customHeight="1" x14ac:dyDescent="0.25">
      <c r="A4" s="1009"/>
      <c r="B4" s="1009"/>
      <c r="C4" s="1009"/>
      <c r="D4" s="1009"/>
      <c r="E4" s="1009"/>
      <c r="F4" s="1009"/>
      <c r="G4" s="1009"/>
      <c r="H4" s="1009"/>
    </row>
    <row r="5" spans="1:15" ht="19.5" customHeight="1" x14ac:dyDescent="0.25">
      <c r="A5" s="1010" t="s">
        <v>104</v>
      </c>
      <c r="B5" s="1010"/>
      <c r="C5" s="1011">
        <f>'Plan Ejecución'!C4:AD4</f>
        <v>0</v>
      </c>
      <c r="D5" s="1011"/>
      <c r="E5" s="1011"/>
      <c r="F5" s="1011"/>
      <c r="G5" s="1011"/>
      <c r="H5" s="1011"/>
      <c r="I5" s="1011"/>
      <c r="J5" s="1011"/>
      <c r="K5" s="1011"/>
      <c r="L5" s="1011"/>
      <c r="M5" s="1011"/>
      <c r="N5" s="1011"/>
    </row>
    <row r="6" spans="1:15" ht="28.5" customHeight="1" x14ac:dyDescent="0.25">
      <c r="A6" s="1010" t="s">
        <v>105</v>
      </c>
      <c r="B6" s="1010"/>
      <c r="C6" s="1011">
        <f>'Plan Ejecución'!C5:AD5</f>
        <v>0</v>
      </c>
      <c r="D6" s="1011"/>
      <c r="E6" s="1011"/>
      <c r="F6" s="1011"/>
      <c r="G6" s="1011"/>
      <c r="H6" s="1011"/>
      <c r="I6" s="1011"/>
      <c r="J6" s="1011"/>
      <c r="K6" s="1011"/>
      <c r="L6" s="1011"/>
      <c r="M6" s="1011"/>
      <c r="N6" s="1011"/>
    </row>
    <row r="7" spans="1:15" ht="19.5" customHeight="1" x14ac:dyDescent="0.25">
      <c r="D7" s="137"/>
      <c r="E7" s="137"/>
      <c r="F7" s="137"/>
      <c r="G7" s="137"/>
    </row>
    <row r="8" spans="1:15" ht="19.5" customHeight="1" x14ac:dyDescent="0.25">
      <c r="A8" s="1012" t="s">
        <v>378</v>
      </c>
      <c r="B8" s="1012"/>
      <c r="C8" s="1012"/>
      <c r="D8" s="1012"/>
      <c r="E8" s="1012"/>
      <c r="F8" s="1012"/>
      <c r="G8" s="1012"/>
      <c r="H8" s="1012"/>
      <c r="I8" s="1013" t="s">
        <v>379</v>
      </c>
      <c r="J8" s="1013"/>
      <c r="K8" s="1013"/>
      <c r="L8" s="1013"/>
      <c r="M8" s="1013"/>
      <c r="N8" s="1013"/>
    </row>
    <row r="9" spans="1:15" ht="27.75" customHeight="1" x14ac:dyDescent="0.25">
      <c r="A9" s="203" t="s">
        <v>380</v>
      </c>
      <c r="B9" s="204" t="s">
        <v>381</v>
      </c>
      <c r="C9" s="204" t="s">
        <v>382</v>
      </c>
      <c r="D9" s="204" t="s">
        <v>113</v>
      </c>
      <c r="E9" s="204" t="s">
        <v>383</v>
      </c>
      <c r="F9" s="204" t="s">
        <v>384</v>
      </c>
      <c r="G9" s="204" t="s">
        <v>385</v>
      </c>
      <c r="H9" s="205" t="s">
        <v>386</v>
      </c>
      <c r="I9" s="206" t="s">
        <v>141</v>
      </c>
      <c r="J9" s="207" t="s">
        <v>181</v>
      </c>
      <c r="K9" s="207" t="s">
        <v>212</v>
      </c>
      <c r="L9" s="207" t="s">
        <v>243</v>
      </c>
      <c r="M9" s="207" t="s">
        <v>274</v>
      </c>
      <c r="N9" s="208" t="s">
        <v>305</v>
      </c>
    </row>
    <row r="10" spans="1:15" ht="19.5" customHeight="1" x14ac:dyDescent="0.25">
      <c r="A10" s="1014" t="s">
        <v>387</v>
      </c>
      <c r="B10" s="1014"/>
      <c r="C10" s="1014"/>
      <c r="D10" s="1014"/>
      <c r="E10" s="1014"/>
      <c r="F10" s="1014"/>
      <c r="G10" s="1014"/>
      <c r="H10" s="1014"/>
      <c r="I10" s="209"/>
      <c r="J10" s="209"/>
      <c r="K10" s="209"/>
      <c r="L10" s="209"/>
      <c r="M10" s="209"/>
      <c r="N10" s="210"/>
    </row>
    <row r="11" spans="1:15" ht="19.5" customHeight="1" x14ac:dyDescent="0.25">
      <c r="A11" s="211"/>
      <c r="B11" s="212"/>
      <c r="C11" s="213"/>
      <c r="D11" s="214"/>
      <c r="E11" s="215"/>
      <c r="F11" s="216" t="str">
        <f>IFERROR(VLOOKUP(A11,Honorarios!$A$8:$C$14,2,FALSE()),"")</f>
        <v/>
      </c>
      <c r="G11" s="217">
        <f>IFERROR(B11*C11*E11*F11,0)</f>
        <v>0</v>
      </c>
      <c r="H11" s="218">
        <f t="shared" ref="H11:H51" si="0">IFERROR(G11/$G$80,0)</f>
        <v>0</v>
      </c>
      <c r="I11" s="219"/>
      <c r="J11" s="209"/>
      <c r="K11" s="220"/>
      <c r="L11" s="209"/>
      <c r="M11" s="209"/>
      <c r="N11" s="210"/>
      <c r="O11" s="221">
        <f t="shared" ref="O11:O51" si="1">G11-SUM(I11:N11)</f>
        <v>0</v>
      </c>
    </row>
    <row r="12" spans="1:15" ht="19.5" customHeight="1" x14ac:dyDescent="0.25">
      <c r="A12" s="211"/>
      <c r="B12" s="212"/>
      <c r="C12" s="213"/>
      <c r="D12" s="214"/>
      <c r="E12" s="215"/>
      <c r="F12" s="216" t="str">
        <f>IFERROR(VLOOKUP(A12,Honorarios!$A$8:$C$14,2,FALSE()),"")</f>
        <v/>
      </c>
      <c r="G12" s="217">
        <f>IFERROR(B12*C12*E12*F12,0)</f>
        <v>0</v>
      </c>
      <c r="H12" s="218">
        <f t="shared" si="0"/>
        <v>0</v>
      </c>
      <c r="I12" s="222"/>
      <c r="J12" s="220"/>
      <c r="K12" s="220"/>
      <c r="L12" s="209"/>
      <c r="M12" s="209"/>
      <c r="N12" s="210"/>
      <c r="O12" s="221">
        <f t="shared" si="1"/>
        <v>0</v>
      </c>
    </row>
    <row r="13" spans="1:15" ht="19.5" customHeight="1" x14ac:dyDescent="0.25">
      <c r="A13" s="211"/>
      <c r="B13" s="212"/>
      <c r="C13" s="213"/>
      <c r="D13" s="214"/>
      <c r="E13" s="215"/>
      <c r="F13" s="216" t="str">
        <f>IFERROR(VLOOKUP(A13,Honorarios!$A$8:$C$14,2,FALSE()),"")</f>
        <v/>
      </c>
      <c r="G13" s="217">
        <f>IFERROR(B13*C13*E13*F13,0)</f>
        <v>0</v>
      </c>
      <c r="H13" s="218">
        <f t="shared" si="0"/>
        <v>0</v>
      </c>
      <c r="I13" s="222"/>
      <c r="J13" s="220"/>
      <c r="K13" s="220"/>
      <c r="L13" s="209"/>
      <c r="M13" s="209"/>
      <c r="N13" s="210"/>
      <c r="O13" s="221">
        <f t="shared" si="1"/>
        <v>0</v>
      </c>
    </row>
    <row r="14" spans="1:15" ht="19.5" customHeight="1" x14ac:dyDescent="0.25">
      <c r="A14" s="211"/>
      <c r="B14" s="212"/>
      <c r="C14" s="213"/>
      <c r="D14" s="214"/>
      <c r="E14" s="215"/>
      <c r="F14" s="216" t="str">
        <f>IFERROR(VLOOKUP(A14,Honorarios!$A$8:$C$14,2,FALSE()),"")</f>
        <v/>
      </c>
      <c r="G14" s="217">
        <f>IFERROR(B14*C14*E14*F14,0)</f>
        <v>0</v>
      </c>
      <c r="H14" s="218">
        <f t="shared" si="0"/>
        <v>0</v>
      </c>
      <c r="I14" s="222"/>
      <c r="J14" s="220"/>
      <c r="K14" s="220"/>
      <c r="L14" s="209"/>
      <c r="M14" s="209"/>
      <c r="N14" s="210"/>
      <c r="O14" s="221">
        <f t="shared" si="1"/>
        <v>0</v>
      </c>
    </row>
    <row r="15" spans="1:15" ht="19.5" customHeight="1" x14ac:dyDescent="0.25">
      <c r="A15" s="211"/>
      <c r="B15" s="212"/>
      <c r="C15" s="213"/>
      <c r="D15" s="214"/>
      <c r="E15" s="215"/>
      <c r="F15" s="216" t="str">
        <f>IFERROR(VLOOKUP(A15,Honorarios!$A$8:$C$14,2,FALSE()),"")</f>
        <v/>
      </c>
      <c r="G15" s="217">
        <f>IFERROR(B15*C15*E15*F15,0)</f>
        <v>0</v>
      </c>
      <c r="H15" s="218">
        <f t="shared" si="0"/>
        <v>0</v>
      </c>
      <c r="I15" s="222"/>
      <c r="J15" s="220"/>
      <c r="K15" s="220"/>
      <c r="L15" s="209"/>
      <c r="M15" s="209"/>
      <c r="N15" s="210"/>
      <c r="O15" s="221">
        <f t="shared" si="1"/>
        <v>0</v>
      </c>
    </row>
    <row r="16" spans="1:15" ht="19.5" hidden="1" customHeight="1" x14ac:dyDescent="0.25">
      <c r="A16" s="211"/>
      <c r="B16" s="212"/>
      <c r="C16" s="213"/>
      <c r="D16" s="214"/>
      <c r="E16" s="215"/>
      <c r="F16" s="216" t="str">
        <f>IFERROR(VLOOKUP(A16,Honorarios!$A$8:$C$14,2,FALSE()),"")</f>
        <v/>
      </c>
      <c r="G16" s="223">
        <f>IFERROR(B16*C16*E16*F16*#REF!,0)</f>
        <v>0</v>
      </c>
      <c r="H16" s="218">
        <f t="shared" si="0"/>
        <v>0</v>
      </c>
      <c r="I16" s="222"/>
      <c r="J16" s="220"/>
      <c r="K16" s="220"/>
      <c r="L16" s="209"/>
      <c r="M16" s="209"/>
      <c r="N16" s="210"/>
      <c r="O16" s="221">
        <f t="shared" si="1"/>
        <v>0</v>
      </c>
    </row>
    <row r="17" spans="1:15" ht="19.5" hidden="1" customHeight="1" x14ac:dyDescent="0.25">
      <c r="A17" s="211"/>
      <c r="B17" s="212"/>
      <c r="C17" s="213"/>
      <c r="D17" s="214"/>
      <c r="E17" s="215"/>
      <c r="F17" s="216" t="str">
        <f>IFERROR(VLOOKUP(A17,Honorarios!$A$8:$C$14,2,FALSE()),"")</f>
        <v/>
      </c>
      <c r="G17" s="223">
        <f>IFERROR(B17*C17*E17*F17*#REF!,0)</f>
        <v>0</v>
      </c>
      <c r="H17" s="218">
        <f t="shared" si="0"/>
        <v>0</v>
      </c>
      <c r="I17" s="222"/>
      <c r="J17" s="220"/>
      <c r="K17" s="220"/>
      <c r="L17" s="209"/>
      <c r="M17" s="209"/>
      <c r="N17" s="210"/>
      <c r="O17" s="221">
        <f t="shared" si="1"/>
        <v>0</v>
      </c>
    </row>
    <row r="18" spans="1:15" ht="19.5" hidden="1" customHeight="1" x14ac:dyDescent="0.25">
      <c r="A18" s="211"/>
      <c r="B18" s="212"/>
      <c r="C18" s="213"/>
      <c r="D18" s="214"/>
      <c r="E18" s="215"/>
      <c r="F18" s="216" t="str">
        <f>IFERROR(VLOOKUP(A18,Honorarios!$A$8:$C$14,2,FALSE()),"")</f>
        <v/>
      </c>
      <c r="G18" s="223">
        <f>IFERROR(B18*C18*E18*F18*#REF!,0)</f>
        <v>0</v>
      </c>
      <c r="H18" s="218">
        <f t="shared" si="0"/>
        <v>0</v>
      </c>
      <c r="I18" s="222"/>
      <c r="J18" s="220"/>
      <c r="K18" s="220"/>
      <c r="L18" s="209"/>
      <c r="M18" s="209"/>
      <c r="N18" s="210"/>
      <c r="O18" s="221">
        <f t="shared" si="1"/>
        <v>0</v>
      </c>
    </row>
    <row r="19" spans="1:15" ht="19.5" hidden="1" customHeight="1" x14ac:dyDescent="0.25">
      <c r="A19" s="211"/>
      <c r="B19" s="212"/>
      <c r="C19" s="213"/>
      <c r="D19" s="214"/>
      <c r="E19" s="215"/>
      <c r="F19" s="216" t="str">
        <f>IFERROR(VLOOKUP(A19,Honorarios!$A$8:$C$14,2,FALSE()),"")</f>
        <v/>
      </c>
      <c r="G19" s="223">
        <f>IFERROR(B19*C19*E19*F19*#REF!,0)</f>
        <v>0</v>
      </c>
      <c r="H19" s="218">
        <f t="shared" si="0"/>
        <v>0</v>
      </c>
      <c r="I19" s="222"/>
      <c r="J19" s="220"/>
      <c r="K19" s="220"/>
      <c r="L19" s="209"/>
      <c r="M19" s="209"/>
      <c r="N19" s="210"/>
      <c r="O19" s="221">
        <f t="shared" si="1"/>
        <v>0</v>
      </c>
    </row>
    <row r="20" spans="1:15" ht="19.5" hidden="1" customHeight="1" x14ac:dyDescent="0.25">
      <c r="A20" s="211"/>
      <c r="B20" s="212"/>
      <c r="C20" s="213"/>
      <c r="D20" s="214"/>
      <c r="E20" s="215"/>
      <c r="F20" s="216" t="str">
        <f>IFERROR(VLOOKUP(A20,Honorarios!$A$8:$C$14,2,FALSE()),"")</f>
        <v/>
      </c>
      <c r="G20" s="223">
        <f>IFERROR(B20*C20*E20*F20*#REF!,0)</f>
        <v>0</v>
      </c>
      <c r="H20" s="218">
        <f t="shared" si="0"/>
        <v>0</v>
      </c>
      <c r="I20" s="222"/>
      <c r="J20" s="220"/>
      <c r="K20" s="220"/>
      <c r="L20" s="209"/>
      <c r="M20" s="209"/>
      <c r="N20" s="210"/>
      <c r="O20" s="221">
        <f t="shared" si="1"/>
        <v>0</v>
      </c>
    </row>
    <row r="21" spans="1:15" ht="19.5" hidden="1" customHeight="1" x14ac:dyDescent="0.25">
      <c r="A21" s="211"/>
      <c r="B21" s="212"/>
      <c r="C21" s="213"/>
      <c r="D21" s="214"/>
      <c r="E21" s="215"/>
      <c r="F21" s="216" t="str">
        <f>IFERROR(VLOOKUP(A21,Honorarios!$A$8:$C$14,2,FALSE()),"")</f>
        <v/>
      </c>
      <c r="G21" s="223">
        <f>IFERROR(B21*C21*E21*F21*#REF!,0)</f>
        <v>0</v>
      </c>
      <c r="H21" s="218">
        <f t="shared" si="0"/>
        <v>0</v>
      </c>
      <c r="I21" s="222"/>
      <c r="J21" s="220"/>
      <c r="K21" s="220"/>
      <c r="L21" s="209"/>
      <c r="M21" s="209"/>
      <c r="N21" s="210"/>
      <c r="O21" s="221">
        <f t="shared" si="1"/>
        <v>0</v>
      </c>
    </row>
    <row r="22" spans="1:15" ht="19.5" hidden="1" customHeight="1" x14ac:dyDescent="0.25">
      <c r="A22" s="211"/>
      <c r="B22" s="212"/>
      <c r="C22" s="213"/>
      <c r="D22" s="214"/>
      <c r="E22" s="215"/>
      <c r="F22" s="216" t="str">
        <f>IFERROR(VLOOKUP(A22,Honorarios!$A$8:$C$14,2,FALSE()),"")</f>
        <v/>
      </c>
      <c r="G22" s="223">
        <f>IFERROR(B22*C22*E22*F22*#REF!,0)</f>
        <v>0</v>
      </c>
      <c r="H22" s="218">
        <f t="shared" si="0"/>
        <v>0</v>
      </c>
      <c r="I22" s="222"/>
      <c r="J22" s="220"/>
      <c r="K22" s="220"/>
      <c r="L22" s="209"/>
      <c r="M22" s="209"/>
      <c r="N22" s="210"/>
      <c r="O22" s="221">
        <f t="shared" si="1"/>
        <v>0</v>
      </c>
    </row>
    <row r="23" spans="1:15" ht="19.5" hidden="1" customHeight="1" x14ac:dyDescent="0.25">
      <c r="A23" s="211"/>
      <c r="B23" s="212"/>
      <c r="C23" s="213"/>
      <c r="D23" s="214"/>
      <c r="E23" s="215"/>
      <c r="F23" s="216" t="str">
        <f>IFERROR(VLOOKUP(A23,Honorarios!$A$8:$C$14,2,FALSE()),"")</f>
        <v/>
      </c>
      <c r="G23" s="223">
        <f>IFERROR(B23*C23*E23*F23*#REF!,0)</f>
        <v>0</v>
      </c>
      <c r="H23" s="218">
        <f t="shared" si="0"/>
        <v>0</v>
      </c>
      <c r="I23" s="222"/>
      <c r="J23" s="220"/>
      <c r="K23" s="220"/>
      <c r="L23" s="209"/>
      <c r="M23" s="209"/>
      <c r="N23" s="210"/>
      <c r="O23" s="221">
        <f t="shared" si="1"/>
        <v>0</v>
      </c>
    </row>
    <row r="24" spans="1:15" ht="19.5" hidden="1" customHeight="1" x14ac:dyDescent="0.25">
      <c r="A24" s="211"/>
      <c r="B24" s="212"/>
      <c r="C24" s="213"/>
      <c r="D24" s="214"/>
      <c r="E24" s="215"/>
      <c r="F24" s="216" t="str">
        <f>IFERROR(VLOOKUP(A24,Honorarios!$A$8:$C$14,2,FALSE()),"")</f>
        <v/>
      </c>
      <c r="G24" s="223">
        <f>IFERROR(B24*C24*E24*F24*#REF!,0)</f>
        <v>0</v>
      </c>
      <c r="H24" s="218">
        <f t="shared" si="0"/>
        <v>0</v>
      </c>
      <c r="I24" s="222"/>
      <c r="J24" s="220"/>
      <c r="K24" s="220"/>
      <c r="L24" s="209"/>
      <c r="M24" s="209"/>
      <c r="N24" s="210"/>
      <c r="O24" s="221">
        <f t="shared" si="1"/>
        <v>0</v>
      </c>
    </row>
    <row r="25" spans="1:15" ht="19.5" hidden="1" customHeight="1" x14ac:dyDescent="0.25">
      <c r="A25" s="211"/>
      <c r="B25" s="212"/>
      <c r="C25" s="213"/>
      <c r="D25" s="214"/>
      <c r="E25" s="215"/>
      <c r="F25" s="216" t="str">
        <f>IFERROR(VLOOKUP(A25,Honorarios!$A$8:$C$14,2,FALSE()),"")</f>
        <v/>
      </c>
      <c r="G25" s="223">
        <f>IFERROR(B25*C25*E25*F25*#REF!,0)</f>
        <v>0</v>
      </c>
      <c r="H25" s="218">
        <f t="shared" si="0"/>
        <v>0</v>
      </c>
      <c r="I25" s="222"/>
      <c r="J25" s="220"/>
      <c r="K25" s="220"/>
      <c r="L25" s="209"/>
      <c r="M25" s="209"/>
      <c r="N25" s="210"/>
      <c r="O25" s="221">
        <f t="shared" si="1"/>
        <v>0</v>
      </c>
    </row>
    <row r="26" spans="1:15" ht="19.5" hidden="1" customHeight="1" x14ac:dyDescent="0.25">
      <c r="A26" s="211"/>
      <c r="B26" s="212"/>
      <c r="C26" s="213"/>
      <c r="D26" s="214"/>
      <c r="E26" s="215"/>
      <c r="F26" s="216" t="str">
        <f>IFERROR(VLOOKUP(A26,Honorarios!$A$8:$C$14,2,FALSE()),"")</f>
        <v/>
      </c>
      <c r="G26" s="223">
        <f>IFERROR(B26*C26*E26*F26*#REF!,0)</f>
        <v>0</v>
      </c>
      <c r="H26" s="218">
        <f t="shared" si="0"/>
        <v>0</v>
      </c>
      <c r="I26" s="222"/>
      <c r="J26" s="220"/>
      <c r="K26" s="220"/>
      <c r="L26" s="209"/>
      <c r="M26" s="209"/>
      <c r="N26" s="210"/>
      <c r="O26" s="221">
        <f t="shared" si="1"/>
        <v>0</v>
      </c>
    </row>
    <row r="27" spans="1:15" ht="19.5" hidden="1" customHeight="1" x14ac:dyDescent="0.25">
      <c r="A27" s="211"/>
      <c r="B27" s="212"/>
      <c r="C27" s="213"/>
      <c r="D27" s="214"/>
      <c r="E27" s="215"/>
      <c r="F27" s="216" t="str">
        <f>IFERROR(VLOOKUP(A27,Honorarios!$A$8:$C$14,2,FALSE()),"")</f>
        <v/>
      </c>
      <c r="G27" s="223">
        <f>IFERROR(B27*C27*E27*F27*#REF!,0)</f>
        <v>0</v>
      </c>
      <c r="H27" s="218">
        <f t="shared" si="0"/>
        <v>0</v>
      </c>
      <c r="I27" s="222"/>
      <c r="J27" s="220"/>
      <c r="K27" s="220"/>
      <c r="L27" s="209"/>
      <c r="M27" s="209"/>
      <c r="N27" s="210"/>
      <c r="O27" s="221">
        <f t="shared" si="1"/>
        <v>0</v>
      </c>
    </row>
    <row r="28" spans="1:15" ht="19.5" hidden="1" customHeight="1" x14ac:dyDescent="0.25">
      <c r="A28" s="211"/>
      <c r="B28" s="212"/>
      <c r="C28" s="213"/>
      <c r="D28" s="214"/>
      <c r="E28" s="224"/>
      <c r="F28" s="216" t="str">
        <f>IFERROR(VLOOKUP(A28,Honorarios!$A$8:$C$14,2,FALSE()),"")</f>
        <v/>
      </c>
      <c r="G28" s="223">
        <f>IFERROR(B28*C28*E28*F28*#REF!,0)</f>
        <v>0</v>
      </c>
      <c r="H28" s="218">
        <f t="shared" si="0"/>
        <v>0</v>
      </c>
      <c r="I28" s="222"/>
      <c r="J28" s="220"/>
      <c r="K28" s="209"/>
      <c r="L28" s="209"/>
      <c r="M28" s="209"/>
      <c r="N28" s="210"/>
      <c r="O28" s="221">
        <f t="shared" si="1"/>
        <v>0</v>
      </c>
    </row>
    <row r="29" spans="1:15" ht="19.5" hidden="1" customHeight="1" x14ac:dyDescent="0.25">
      <c r="A29" s="211"/>
      <c r="B29" s="212"/>
      <c r="C29" s="213"/>
      <c r="D29" s="214"/>
      <c r="E29" s="224"/>
      <c r="F29" s="216" t="str">
        <f>IFERROR(VLOOKUP(A29,Honorarios!$A$8:$C$14,2,FALSE()),"")</f>
        <v/>
      </c>
      <c r="G29" s="223">
        <f>IFERROR(B29*C29*E29*F29*#REF!,0)</f>
        <v>0</v>
      </c>
      <c r="H29" s="218">
        <f t="shared" si="0"/>
        <v>0</v>
      </c>
      <c r="I29" s="222"/>
      <c r="J29" s="209"/>
      <c r="K29" s="209"/>
      <c r="L29" s="209"/>
      <c r="M29" s="209"/>
      <c r="N29" s="210"/>
      <c r="O29" s="221">
        <f t="shared" si="1"/>
        <v>0</v>
      </c>
    </row>
    <row r="30" spans="1:15" ht="19.5" hidden="1" customHeight="1" x14ac:dyDescent="0.25">
      <c r="A30" s="211"/>
      <c r="B30" s="212"/>
      <c r="C30" s="213"/>
      <c r="D30" s="214"/>
      <c r="E30" s="224"/>
      <c r="F30" s="216" t="str">
        <f>IFERROR(VLOOKUP(A30,Honorarios!$A$8:$C$14,2,FALSE()),"")</f>
        <v/>
      </c>
      <c r="G30" s="223">
        <f>IFERROR(B30*C30*E30*F30*#REF!,0)</f>
        <v>0</v>
      </c>
      <c r="H30" s="218">
        <f t="shared" si="0"/>
        <v>0</v>
      </c>
      <c r="I30" s="222"/>
      <c r="J30" s="209"/>
      <c r="K30" s="209"/>
      <c r="L30" s="209"/>
      <c r="M30" s="209"/>
      <c r="N30" s="210"/>
      <c r="O30" s="221">
        <f t="shared" si="1"/>
        <v>0</v>
      </c>
    </row>
    <row r="31" spans="1:15" ht="19.5" hidden="1" customHeight="1" x14ac:dyDescent="0.25">
      <c r="A31" s="211"/>
      <c r="B31" s="212"/>
      <c r="C31" s="213"/>
      <c r="D31" s="214"/>
      <c r="E31" s="224"/>
      <c r="F31" s="216" t="str">
        <f>IFERROR(VLOOKUP(A31,Honorarios!$A$8:$C$14,2,FALSE()),"")</f>
        <v/>
      </c>
      <c r="G31" s="223">
        <f>IFERROR(B31*C31*E31*F31*#REF!,0)</f>
        <v>0</v>
      </c>
      <c r="H31" s="218">
        <f t="shared" si="0"/>
        <v>0</v>
      </c>
      <c r="I31" s="222"/>
      <c r="J31" s="209"/>
      <c r="K31" s="209"/>
      <c r="L31" s="209"/>
      <c r="M31" s="209"/>
      <c r="N31" s="210"/>
      <c r="O31" s="221">
        <f t="shared" si="1"/>
        <v>0</v>
      </c>
    </row>
    <row r="32" spans="1:15" ht="19.5" hidden="1" customHeight="1" x14ac:dyDescent="0.25">
      <c r="A32" s="211"/>
      <c r="B32" s="212"/>
      <c r="C32" s="213"/>
      <c r="D32" s="214"/>
      <c r="E32" s="224"/>
      <c r="F32" s="216" t="str">
        <f>IFERROR(VLOOKUP(A32,Honorarios!$A$8:$C$14,2,FALSE()),"")</f>
        <v/>
      </c>
      <c r="G32" s="223">
        <f>IFERROR(B32*C32*E32*F32*#REF!,0)</f>
        <v>0</v>
      </c>
      <c r="H32" s="218">
        <f t="shared" si="0"/>
        <v>0</v>
      </c>
      <c r="I32" s="222"/>
      <c r="J32" s="209"/>
      <c r="K32" s="209"/>
      <c r="L32" s="209"/>
      <c r="M32" s="209"/>
      <c r="N32" s="210"/>
      <c r="O32" s="221">
        <f t="shared" si="1"/>
        <v>0</v>
      </c>
    </row>
    <row r="33" spans="1:15" ht="19.5" hidden="1" customHeight="1" x14ac:dyDescent="0.25">
      <c r="A33" s="211"/>
      <c r="B33" s="212"/>
      <c r="C33" s="213"/>
      <c r="D33" s="214"/>
      <c r="E33" s="224"/>
      <c r="F33" s="216" t="str">
        <f>IFERROR(VLOOKUP(A33,Honorarios!$A$8:$C$14,2,FALSE()),"")</f>
        <v/>
      </c>
      <c r="G33" s="223">
        <f>IFERROR(B33*C33*E33*F33*#REF!,0)</f>
        <v>0</v>
      </c>
      <c r="H33" s="218">
        <f t="shared" si="0"/>
        <v>0</v>
      </c>
      <c r="I33" s="222"/>
      <c r="J33" s="209"/>
      <c r="K33" s="209"/>
      <c r="L33" s="209"/>
      <c r="M33" s="209"/>
      <c r="N33" s="210"/>
      <c r="O33" s="221">
        <f t="shared" si="1"/>
        <v>0</v>
      </c>
    </row>
    <row r="34" spans="1:15" ht="19.5" hidden="1" customHeight="1" x14ac:dyDescent="0.25">
      <c r="A34" s="211"/>
      <c r="B34" s="212"/>
      <c r="C34" s="213"/>
      <c r="D34" s="214"/>
      <c r="E34" s="224"/>
      <c r="F34" s="216" t="str">
        <f>IFERROR(VLOOKUP(A34,Honorarios!$A$8:$C$14,2,FALSE()),"")</f>
        <v/>
      </c>
      <c r="G34" s="223">
        <f>IFERROR(B34*C34*E34*F34*#REF!,0)</f>
        <v>0</v>
      </c>
      <c r="H34" s="218">
        <f t="shared" si="0"/>
        <v>0</v>
      </c>
      <c r="I34" s="222"/>
      <c r="J34" s="209"/>
      <c r="K34" s="209"/>
      <c r="L34" s="209"/>
      <c r="M34" s="209"/>
      <c r="N34" s="210"/>
      <c r="O34" s="221">
        <f t="shared" si="1"/>
        <v>0</v>
      </c>
    </row>
    <row r="35" spans="1:15" ht="19.5" hidden="1" customHeight="1" x14ac:dyDescent="0.25">
      <c r="A35" s="211"/>
      <c r="B35" s="212"/>
      <c r="C35" s="213"/>
      <c r="D35" s="214"/>
      <c r="E35" s="224"/>
      <c r="F35" s="216" t="str">
        <f>IFERROR(VLOOKUP(A35,Honorarios!$A$8:$C$14,2,FALSE()),"")</f>
        <v/>
      </c>
      <c r="G35" s="223">
        <f>IFERROR(B35*C35*E35*F35*#REF!,0)</f>
        <v>0</v>
      </c>
      <c r="H35" s="218">
        <f t="shared" si="0"/>
        <v>0</v>
      </c>
      <c r="I35" s="222"/>
      <c r="J35" s="209"/>
      <c r="K35" s="209"/>
      <c r="L35" s="209"/>
      <c r="M35" s="209"/>
      <c r="N35" s="210"/>
      <c r="O35" s="221">
        <f t="shared" si="1"/>
        <v>0</v>
      </c>
    </row>
    <row r="36" spans="1:15" ht="19.5" hidden="1" customHeight="1" x14ac:dyDescent="0.25">
      <c r="A36" s="211"/>
      <c r="B36" s="212"/>
      <c r="C36" s="213"/>
      <c r="D36" s="214"/>
      <c r="E36" s="224"/>
      <c r="F36" s="216" t="str">
        <f>IFERROR(VLOOKUP(A36,Honorarios!$A$8:$C$14,2,FALSE()),"")</f>
        <v/>
      </c>
      <c r="G36" s="223">
        <f>IFERROR(B36*C36*E36*F36*#REF!,0)</f>
        <v>0</v>
      </c>
      <c r="H36" s="218">
        <f t="shared" si="0"/>
        <v>0</v>
      </c>
      <c r="I36" s="222"/>
      <c r="J36" s="209"/>
      <c r="K36" s="209"/>
      <c r="L36" s="209"/>
      <c r="M36" s="209"/>
      <c r="N36" s="210"/>
      <c r="O36" s="221">
        <f t="shared" si="1"/>
        <v>0</v>
      </c>
    </row>
    <row r="37" spans="1:15" ht="19.5" hidden="1" customHeight="1" x14ac:dyDescent="0.25">
      <c r="A37" s="211"/>
      <c r="B37" s="212"/>
      <c r="C37" s="213"/>
      <c r="D37" s="214"/>
      <c r="E37" s="224"/>
      <c r="F37" s="216" t="str">
        <f>IFERROR(VLOOKUP(A37,Honorarios!$A$8:$C$14,2,FALSE()),"")</f>
        <v/>
      </c>
      <c r="G37" s="223">
        <f>IFERROR(B37*C37*E37*F37*#REF!,0)</f>
        <v>0</v>
      </c>
      <c r="H37" s="218">
        <f t="shared" si="0"/>
        <v>0</v>
      </c>
      <c r="I37" s="222"/>
      <c r="J37" s="209"/>
      <c r="K37" s="209"/>
      <c r="L37" s="209"/>
      <c r="M37" s="209"/>
      <c r="N37" s="210"/>
      <c r="O37" s="221">
        <f t="shared" si="1"/>
        <v>0</v>
      </c>
    </row>
    <row r="38" spans="1:15" ht="19.5" hidden="1" customHeight="1" x14ac:dyDescent="0.25">
      <c r="A38" s="211"/>
      <c r="B38" s="212"/>
      <c r="C38" s="213"/>
      <c r="D38" s="214"/>
      <c r="E38" s="224"/>
      <c r="F38" s="216" t="str">
        <f>IFERROR(VLOOKUP(A38,Honorarios!$A$8:$C$14,2,FALSE()),"")</f>
        <v/>
      </c>
      <c r="G38" s="223">
        <f>IFERROR(B38*C38*E38*F38*#REF!,0)</f>
        <v>0</v>
      </c>
      <c r="H38" s="218">
        <f t="shared" si="0"/>
        <v>0</v>
      </c>
      <c r="I38" s="222"/>
      <c r="J38" s="209"/>
      <c r="K38" s="209"/>
      <c r="L38" s="209"/>
      <c r="M38" s="209"/>
      <c r="N38" s="210"/>
      <c r="O38" s="221">
        <f t="shared" si="1"/>
        <v>0</v>
      </c>
    </row>
    <row r="39" spans="1:15" ht="19.5" hidden="1" customHeight="1" x14ac:dyDescent="0.25">
      <c r="A39" s="211"/>
      <c r="B39" s="212"/>
      <c r="C39" s="213"/>
      <c r="D39" s="214"/>
      <c r="E39" s="224"/>
      <c r="F39" s="216" t="str">
        <f>IFERROR(VLOOKUP(A39,Honorarios!$A$8:$C$14,2,FALSE()),"")</f>
        <v/>
      </c>
      <c r="G39" s="223">
        <f>IFERROR(B39*C39*E39*F39*#REF!,0)</f>
        <v>0</v>
      </c>
      <c r="H39" s="218">
        <f t="shared" si="0"/>
        <v>0</v>
      </c>
      <c r="I39" s="222"/>
      <c r="J39" s="209"/>
      <c r="K39" s="209"/>
      <c r="L39" s="209"/>
      <c r="M39" s="209"/>
      <c r="N39" s="210"/>
      <c r="O39" s="221">
        <f t="shared" si="1"/>
        <v>0</v>
      </c>
    </row>
    <row r="40" spans="1:15" ht="19.5" hidden="1" customHeight="1" x14ac:dyDescent="0.25">
      <c r="A40" s="211"/>
      <c r="B40" s="212"/>
      <c r="C40" s="213"/>
      <c r="D40" s="214"/>
      <c r="E40" s="224"/>
      <c r="F40" s="216" t="str">
        <f>IFERROR(VLOOKUP(A40,Honorarios!$A$8:$C$14,2,FALSE()),"")</f>
        <v/>
      </c>
      <c r="G40" s="223">
        <f>IFERROR(B40*C40*E40*F40*#REF!,0)</f>
        <v>0</v>
      </c>
      <c r="H40" s="218">
        <f t="shared" si="0"/>
        <v>0</v>
      </c>
      <c r="I40" s="222"/>
      <c r="J40" s="209"/>
      <c r="K40" s="209"/>
      <c r="L40" s="209"/>
      <c r="M40" s="209"/>
      <c r="N40" s="210"/>
      <c r="O40" s="221">
        <f t="shared" si="1"/>
        <v>0</v>
      </c>
    </row>
    <row r="41" spans="1:15" ht="19.5" hidden="1" customHeight="1" x14ac:dyDescent="0.25">
      <c r="A41" s="211"/>
      <c r="B41" s="212"/>
      <c r="C41" s="213"/>
      <c r="D41" s="214"/>
      <c r="E41" s="224"/>
      <c r="F41" s="216" t="str">
        <f>IFERROR(VLOOKUP(A41,Honorarios!$A$8:$C$14,2,FALSE()),"")</f>
        <v/>
      </c>
      <c r="G41" s="223">
        <f>IFERROR(B41*C41*E41*F41*#REF!,0)</f>
        <v>0</v>
      </c>
      <c r="H41" s="218">
        <f t="shared" si="0"/>
        <v>0</v>
      </c>
      <c r="I41" s="222"/>
      <c r="J41" s="209"/>
      <c r="K41" s="209"/>
      <c r="L41" s="209"/>
      <c r="M41" s="209"/>
      <c r="N41" s="210"/>
      <c r="O41" s="221">
        <f t="shared" si="1"/>
        <v>0</v>
      </c>
    </row>
    <row r="42" spans="1:15" ht="19.5" hidden="1" customHeight="1" x14ac:dyDescent="0.25">
      <c r="A42" s="211"/>
      <c r="B42" s="212"/>
      <c r="C42" s="213"/>
      <c r="D42" s="214"/>
      <c r="E42" s="224"/>
      <c r="F42" s="216" t="str">
        <f>IFERROR(VLOOKUP(A42,Honorarios!$A$8:$C$14,2,FALSE()),"")</f>
        <v/>
      </c>
      <c r="G42" s="223">
        <f>IFERROR(B42*C42*E42*F42*#REF!,0)</f>
        <v>0</v>
      </c>
      <c r="H42" s="218">
        <f t="shared" si="0"/>
        <v>0</v>
      </c>
      <c r="I42" s="222"/>
      <c r="J42" s="209"/>
      <c r="K42" s="209"/>
      <c r="L42" s="209"/>
      <c r="M42" s="209"/>
      <c r="N42" s="210"/>
      <c r="O42" s="221">
        <f t="shared" si="1"/>
        <v>0</v>
      </c>
    </row>
    <row r="43" spans="1:15" ht="19.5" hidden="1" customHeight="1" x14ac:dyDescent="0.25">
      <c r="A43" s="211"/>
      <c r="B43" s="212"/>
      <c r="C43" s="213"/>
      <c r="D43" s="214"/>
      <c r="E43" s="224"/>
      <c r="F43" s="216" t="str">
        <f>IFERROR(VLOOKUP(A43,Honorarios!$A$8:$C$14,2,FALSE()),"")</f>
        <v/>
      </c>
      <c r="G43" s="223">
        <f>IFERROR(B43*C43*E43*F43*#REF!,0)</f>
        <v>0</v>
      </c>
      <c r="H43" s="218">
        <f t="shared" si="0"/>
        <v>0</v>
      </c>
      <c r="I43" s="222"/>
      <c r="J43" s="209"/>
      <c r="K43" s="209"/>
      <c r="L43" s="209"/>
      <c r="M43" s="209"/>
      <c r="N43" s="210"/>
      <c r="O43" s="221">
        <f t="shared" si="1"/>
        <v>0</v>
      </c>
    </row>
    <row r="44" spans="1:15" ht="19.5" hidden="1" customHeight="1" x14ac:dyDescent="0.25">
      <c r="A44" s="211"/>
      <c r="B44" s="212"/>
      <c r="C44" s="213"/>
      <c r="D44" s="214"/>
      <c r="E44" s="224"/>
      <c r="F44" s="216" t="str">
        <f>IFERROR(VLOOKUP(A44,Honorarios!$A$8:$C$14,2,FALSE()),"")</f>
        <v/>
      </c>
      <c r="G44" s="223">
        <f>IFERROR(B44*C44*E44*F44*#REF!,0)</f>
        <v>0</v>
      </c>
      <c r="H44" s="218">
        <f t="shared" si="0"/>
        <v>0</v>
      </c>
      <c r="I44" s="222"/>
      <c r="J44" s="209"/>
      <c r="K44" s="209"/>
      <c r="L44" s="209"/>
      <c r="M44" s="209"/>
      <c r="N44" s="210"/>
      <c r="O44" s="221">
        <f t="shared" si="1"/>
        <v>0</v>
      </c>
    </row>
    <row r="45" spans="1:15" ht="19.5" hidden="1" customHeight="1" x14ac:dyDescent="0.25">
      <c r="A45" s="211"/>
      <c r="B45" s="212"/>
      <c r="C45" s="213"/>
      <c r="D45" s="214"/>
      <c r="E45" s="224"/>
      <c r="F45" s="216" t="str">
        <f>IFERROR(VLOOKUP(A45,Honorarios!$A$8:$C$14,2,FALSE()),"")</f>
        <v/>
      </c>
      <c r="G45" s="223">
        <f>IFERROR(B45*C45*E45*F45*#REF!,0)</f>
        <v>0</v>
      </c>
      <c r="H45" s="218">
        <f t="shared" si="0"/>
        <v>0</v>
      </c>
      <c r="I45" s="222"/>
      <c r="J45" s="209"/>
      <c r="K45" s="209"/>
      <c r="L45" s="209"/>
      <c r="M45" s="209"/>
      <c r="N45" s="210"/>
      <c r="O45" s="221">
        <f t="shared" si="1"/>
        <v>0</v>
      </c>
    </row>
    <row r="46" spans="1:15" ht="19.5" hidden="1" customHeight="1" x14ac:dyDescent="0.25">
      <c r="A46" s="211"/>
      <c r="B46" s="212"/>
      <c r="C46" s="213"/>
      <c r="D46" s="214"/>
      <c r="E46" s="224"/>
      <c r="F46" s="216" t="str">
        <f>IFERROR(VLOOKUP(A46,Honorarios!$A$8:$C$14,2,FALSE()),"")</f>
        <v/>
      </c>
      <c r="G46" s="223">
        <f>IFERROR(B46*C46*E46*F46*#REF!,0)</f>
        <v>0</v>
      </c>
      <c r="H46" s="218">
        <f t="shared" si="0"/>
        <v>0</v>
      </c>
      <c r="I46" s="222"/>
      <c r="J46" s="209"/>
      <c r="K46" s="209"/>
      <c r="L46" s="209"/>
      <c r="M46" s="209"/>
      <c r="N46" s="210"/>
      <c r="O46" s="221">
        <f t="shared" si="1"/>
        <v>0</v>
      </c>
    </row>
    <row r="47" spans="1:15" ht="19.5" hidden="1" customHeight="1" x14ac:dyDescent="0.25">
      <c r="A47" s="211"/>
      <c r="B47" s="212"/>
      <c r="C47" s="213"/>
      <c r="D47" s="214"/>
      <c r="E47" s="224"/>
      <c r="F47" s="216" t="str">
        <f>IFERROR(VLOOKUP(A47,Honorarios!$A$8:$C$14,2,FALSE()),"")</f>
        <v/>
      </c>
      <c r="G47" s="223">
        <f>IFERROR(B47*C47*E47*F47*#REF!,0)</f>
        <v>0</v>
      </c>
      <c r="H47" s="218">
        <f t="shared" si="0"/>
        <v>0</v>
      </c>
      <c r="I47" s="222"/>
      <c r="J47" s="209"/>
      <c r="K47" s="209"/>
      <c r="L47" s="209"/>
      <c r="M47" s="209"/>
      <c r="N47" s="210"/>
      <c r="O47" s="221">
        <f t="shared" si="1"/>
        <v>0</v>
      </c>
    </row>
    <row r="48" spans="1:15" ht="19.5" hidden="1" customHeight="1" x14ac:dyDescent="0.25">
      <c r="A48" s="211"/>
      <c r="B48" s="212"/>
      <c r="C48" s="213"/>
      <c r="D48" s="214"/>
      <c r="E48" s="224"/>
      <c r="F48" s="216" t="str">
        <f>IFERROR(VLOOKUP(A48,Honorarios!$A$8:$C$14,2,FALSE()),"")</f>
        <v/>
      </c>
      <c r="G48" s="223">
        <f>IFERROR(B48*C48*E48*F48*#REF!,0)</f>
        <v>0</v>
      </c>
      <c r="H48" s="218">
        <f t="shared" si="0"/>
        <v>0</v>
      </c>
      <c r="I48" s="222"/>
      <c r="J48" s="209"/>
      <c r="K48" s="209"/>
      <c r="L48" s="209"/>
      <c r="M48" s="209"/>
      <c r="N48" s="210"/>
      <c r="O48" s="221">
        <f t="shared" si="1"/>
        <v>0</v>
      </c>
    </row>
    <row r="49" spans="1:15" ht="19.5" hidden="1" customHeight="1" x14ac:dyDescent="0.25">
      <c r="A49" s="211"/>
      <c r="B49" s="212"/>
      <c r="C49" s="213"/>
      <c r="D49" s="214"/>
      <c r="E49" s="224"/>
      <c r="F49" s="216" t="str">
        <f>IFERROR(VLOOKUP(A49,Honorarios!$A$8:$C$14,2,FALSE()),"")</f>
        <v/>
      </c>
      <c r="G49" s="223">
        <f>IFERROR(B49*C49*E49*F49*#REF!,0)</f>
        <v>0</v>
      </c>
      <c r="H49" s="218">
        <f t="shared" si="0"/>
        <v>0</v>
      </c>
      <c r="I49" s="222"/>
      <c r="J49" s="209"/>
      <c r="K49" s="209"/>
      <c r="L49" s="209"/>
      <c r="M49" s="209"/>
      <c r="N49" s="210"/>
      <c r="O49" s="221">
        <f t="shared" si="1"/>
        <v>0</v>
      </c>
    </row>
    <row r="50" spans="1:15" ht="19.5" hidden="1" customHeight="1" x14ac:dyDescent="0.25">
      <c r="A50" s="211"/>
      <c r="B50" s="212"/>
      <c r="C50" s="213"/>
      <c r="D50" s="214"/>
      <c r="E50" s="224"/>
      <c r="F50" s="216" t="str">
        <f>IFERROR(VLOOKUP(A50,Honorarios!$A$8:$C$14,2,FALSE()),"")</f>
        <v/>
      </c>
      <c r="G50" s="223">
        <f>IFERROR(B50*C50*E50*F50*#REF!,0)</f>
        <v>0</v>
      </c>
      <c r="H50" s="218">
        <f t="shared" si="0"/>
        <v>0</v>
      </c>
      <c r="I50" s="222"/>
      <c r="J50" s="209"/>
      <c r="K50" s="209"/>
      <c r="L50" s="209"/>
      <c r="M50" s="209"/>
      <c r="N50" s="210"/>
      <c r="O50" s="221">
        <f t="shared" si="1"/>
        <v>0</v>
      </c>
    </row>
    <row r="51" spans="1:15" ht="19.5" hidden="1" customHeight="1" x14ac:dyDescent="0.25">
      <c r="A51" s="211"/>
      <c r="B51" s="212"/>
      <c r="C51" s="213"/>
      <c r="D51" s="214"/>
      <c r="E51" s="224"/>
      <c r="F51" s="216" t="str">
        <f>IFERROR(VLOOKUP(A51,Honorarios!$A$8:$C$14,2,FALSE()),"")</f>
        <v/>
      </c>
      <c r="G51" s="223">
        <f>IFERROR(B51*C51*E51*F51*#REF!,0)</f>
        <v>0</v>
      </c>
      <c r="H51" s="218">
        <f t="shared" si="0"/>
        <v>0</v>
      </c>
      <c r="I51" s="222"/>
      <c r="J51" s="209"/>
      <c r="K51" s="209"/>
      <c r="L51" s="209"/>
      <c r="M51" s="209"/>
      <c r="N51" s="210"/>
      <c r="O51" s="221">
        <f t="shared" si="1"/>
        <v>0</v>
      </c>
    </row>
    <row r="52" spans="1:15" ht="19.5" customHeight="1" x14ac:dyDescent="0.25">
      <c r="A52" s="1015" t="s">
        <v>388</v>
      </c>
      <c r="B52" s="1015"/>
      <c r="C52" s="1015"/>
      <c r="D52" s="1015"/>
      <c r="E52" s="1015"/>
      <c r="F52" s="1015"/>
      <c r="G52" s="225">
        <f>SUM(G11:G51)</f>
        <v>0</v>
      </c>
      <c r="H52" s="226">
        <f>SUM(H11:H51)</f>
        <v>0</v>
      </c>
      <c r="I52" s="222"/>
      <c r="J52" s="209"/>
      <c r="K52" s="209"/>
      <c r="L52" s="209"/>
      <c r="M52" s="209"/>
      <c r="N52" s="210"/>
      <c r="O52" s="227"/>
    </row>
    <row r="53" spans="1:15" ht="19.5" customHeight="1" x14ac:dyDescent="0.25">
      <c r="A53" s="1014" t="s">
        <v>389</v>
      </c>
      <c r="B53" s="1014"/>
      <c r="C53" s="1014"/>
      <c r="D53" s="1014"/>
      <c r="E53" s="1014"/>
      <c r="F53" s="1014"/>
      <c r="G53" s="1014"/>
      <c r="H53" s="1014"/>
      <c r="I53" s="222"/>
      <c r="J53" s="209"/>
      <c r="K53" s="209"/>
      <c r="L53" s="209"/>
      <c r="M53" s="209"/>
      <c r="N53" s="210"/>
      <c r="O53" s="227"/>
    </row>
    <row r="54" spans="1:15" ht="19.5" customHeight="1" x14ac:dyDescent="0.25">
      <c r="A54" s="211"/>
      <c r="B54" s="228"/>
      <c r="C54" s="229"/>
      <c r="D54" s="214"/>
      <c r="E54" s="230"/>
      <c r="F54" s="216"/>
      <c r="G54" s="217">
        <f t="shared" ref="G54:G78" si="2">B54*C54*E54*F54</f>
        <v>0</v>
      </c>
      <c r="H54" s="218">
        <f t="shared" ref="H54:H78" si="3">IFERROR(G54/$G$80,0)</f>
        <v>0</v>
      </c>
      <c r="I54" s="219"/>
      <c r="J54" s="220"/>
      <c r="K54" s="209"/>
      <c r="L54" s="209"/>
      <c r="M54" s="209"/>
      <c r="N54" s="210"/>
      <c r="O54" s="221">
        <f t="shared" ref="O54:O78" si="4">G54-SUM(I54:N54)</f>
        <v>0</v>
      </c>
    </row>
    <row r="55" spans="1:15" ht="19.5" customHeight="1" x14ac:dyDescent="0.25">
      <c r="A55" s="211"/>
      <c r="B55" s="228"/>
      <c r="C55" s="229"/>
      <c r="D55" s="214"/>
      <c r="E55" s="230"/>
      <c r="F55" s="231"/>
      <c r="G55" s="217">
        <f t="shared" si="2"/>
        <v>0</v>
      </c>
      <c r="H55" s="218">
        <f t="shared" si="3"/>
        <v>0</v>
      </c>
      <c r="I55" s="222"/>
      <c r="J55" s="209"/>
      <c r="K55" s="220"/>
      <c r="L55" s="209"/>
      <c r="M55" s="209"/>
      <c r="N55" s="210"/>
      <c r="O55" s="221">
        <f t="shared" si="4"/>
        <v>0</v>
      </c>
    </row>
    <row r="56" spans="1:15" ht="19.5" customHeight="1" x14ac:dyDescent="0.25">
      <c r="A56" s="211"/>
      <c r="B56" s="228"/>
      <c r="C56" s="229"/>
      <c r="D56" s="214"/>
      <c r="E56" s="230"/>
      <c r="F56" s="214"/>
      <c r="G56" s="217">
        <f t="shared" si="2"/>
        <v>0</v>
      </c>
      <c r="H56" s="218">
        <f t="shared" si="3"/>
        <v>0</v>
      </c>
      <c r="I56" s="222"/>
      <c r="J56" s="209"/>
      <c r="K56" s="209"/>
      <c r="L56" s="209"/>
      <c r="M56" s="209"/>
      <c r="N56" s="210"/>
      <c r="O56" s="221">
        <f t="shared" si="4"/>
        <v>0</v>
      </c>
    </row>
    <row r="57" spans="1:15" ht="19.5" customHeight="1" x14ac:dyDescent="0.25">
      <c r="A57" s="211"/>
      <c r="B57" s="228"/>
      <c r="C57" s="229"/>
      <c r="D57" s="214"/>
      <c r="E57" s="230"/>
      <c r="F57" s="214"/>
      <c r="G57" s="217">
        <f t="shared" si="2"/>
        <v>0</v>
      </c>
      <c r="H57" s="218">
        <f t="shared" si="3"/>
        <v>0</v>
      </c>
      <c r="I57" s="222"/>
      <c r="J57" s="209"/>
      <c r="K57" s="209"/>
      <c r="L57" s="209"/>
      <c r="M57" s="209"/>
      <c r="N57" s="210"/>
      <c r="O57" s="221">
        <f t="shared" si="4"/>
        <v>0</v>
      </c>
    </row>
    <row r="58" spans="1:15" ht="19.5" customHeight="1" x14ac:dyDescent="0.25">
      <c r="A58" s="211"/>
      <c r="B58" s="228"/>
      <c r="C58" s="229"/>
      <c r="D58" s="214"/>
      <c r="E58" s="230"/>
      <c r="F58" s="214"/>
      <c r="G58" s="217">
        <f t="shared" si="2"/>
        <v>0</v>
      </c>
      <c r="H58" s="218">
        <f t="shared" si="3"/>
        <v>0</v>
      </c>
      <c r="I58" s="222"/>
      <c r="J58" s="209"/>
      <c r="K58" s="209"/>
      <c r="L58" s="209"/>
      <c r="M58" s="209"/>
      <c r="N58" s="210"/>
      <c r="O58" s="221">
        <f t="shared" si="4"/>
        <v>0</v>
      </c>
    </row>
    <row r="59" spans="1:15" ht="19.5" hidden="1" customHeight="1" x14ac:dyDescent="0.25">
      <c r="A59" s="211"/>
      <c r="B59" s="228"/>
      <c r="C59" s="229"/>
      <c r="D59" s="214"/>
      <c r="E59" s="230"/>
      <c r="F59" s="214"/>
      <c r="G59" s="223">
        <f t="shared" si="2"/>
        <v>0</v>
      </c>
      <c r="H59" s="218">
        <f t="shared" si="3"/>
        <v>0</v>
      </c>
      <c r="I59" s="222"/>
      <c r="J59" s="209"/>
      <c r="K59" s="209"/>
      <c r="L59" s="209"/>
      <c r="M59" s="209"/>
      <c r="N59" s="210"/>
      <c r="O59" s="221">
        <f t="shared" si="4"/>
        <v>0</v>
      </c>
    </row>
    <row r="60" spans="1:15" ht="19.5" hidden="1" customHeight="1" x14ac:dyDescent="0.25">
      <c r="A60" s="211"/>
      <c r="B60" s="228"/>
      <c r="C60" s="229"/>
      <c r="D60" s="214"/>
      <c r="E60" s="230"/>
      <c r="F60" s="214"/>
      <c r="G60" s="223">
        <f t="shared" si="2"/>
        <v>0</v>
      </c>
      <c r="H60" s="218">
        <f t="shared" si="3"/>
        <v>0</v>
      </c>
      <c r="I60" s="222"/>
      <c r="J60" s="209"/>
      <c r="K60" s="209"/>
      <c r="L60" s="209"/>
      <c r="M60" s="209"/>
      <c r="N60" s="210"/>
      <c r="O60" s="221">
        <f t="shared" si="4"/>
        <v>0</v>
      </c>
    </row>
    <row r="61" spans="1:15" ht="19.5" hidden="1" customHeight="1" x14ac:dyDescent="0.25">
      <c r="A61" s="211"/>
      <c r="B61" s="228"/>
      <c r="C61" s="229"/>
      <c r="D61" s="214"/>
      <c r="E61" s="230"/>
      <c r="F61" s="214"/>
      <c r="G61" s="223">
        <f t="shared" si="2"/>
        <v>0</v>
      </c>
      <c r="H61" s="218">
        <f t="shared" si="3"/>
        <v>0</v>
      </c>
      <c r="I61" s="222"/>
      <c r="J61" s="209"/>
      <c r="K61" s="209"/>
      <c r="L61" s="209"/>
      <c r="M61" s="209"/>
      <c r="N61" s="210"/>
      <c r="O61" s="221">
        <f t="shared" si="4"/>
        <v>0</v>
      </c>
    </row>
    <row r="62" spans="1:15" ht="19.5" hidden="1" customHeight="1" x14ac:dyDescent="0.25">
      <c r="A62" s="211"/>
      <c r="B62" s="228"/>
      <c r="C62" s="229"/>
      <c r="D62" s="214"/>
      <c r="E62" s="230"/>
      <c r="F62" s="214"/>
      <c r="G62" s="223">
        <f t="shared" si="2"/>
        <v>0</v>
      </c>
      <c r="H62" s="218">
        <f t="shared" si="3"/>
        <v>0</v>
      </c>
      <c r="I62" s="222"/>
      <c r="J62" s="209"/>
      <c r="K62" s="209"/>
      <c r="L62" s="209"/>
      <c r="M62" s="209"/>
      <c r="N62" s="210"/>
      <c r="O62" s="221">
        <f t="shared" si="4"/>
        <v>0</v>
      </c>
    </row>
    <row r="63" spans="1:15" ht="19.5" hidden="1" customHeight="1" x14ac:dyDescent="0.25">
      <c r="A63" s="211"/>
      <c r="B63" s="228"/>
      <c r="C63" s="229"/>
      <c r="D63" s="214"/>
      <c r="E63" s="230"/>
      <c r="F63" s="214"/>
      <c r="G63" s="223">
        <f t="shared" si="2"/>
        <v>0</v>
      </c>
      <c r="H63" s="218">
        <f t="shared" si="3"/>
        <v>0</v>
      </c>
      <c r="I63" s="222"/>
      <c r="J63" s="209"/>
      <c r="K63" s="209"/>
      <c r="L63" s="209"/>
      <c r="M63" s="209"/>
      <c r="N63" s="210"/>
      <c r="O63" s="221">
        <f t="shared" si="4"/>
        <v>0</v>
      </c>
    </row>
    <row r="64" spans="1:15" ht="19.5" hidden="1" customHeight="1" x14ac:dyDescent="0.25">
      <c r="A64" s="211"/>
      <c r="B64" s="228"/>
      <c r="C64" s="229"/>
      <c r="D64" s="214"/>
      <c r="E64" s="230"/>
      <c r="F64" s="214"/>
      <c r="G64" s="223">
        <f t="shared" si="2"/>
        <v>0</v>
      </c>
      <c r="H64" s="218">
        <f t="shared" si="3"/>
        <v>0</v>
      </c>
      <c r="I64" s="222"/>
      <c r="J64" s="209"/>
      <c r="K64" s="209"/>
      <c r="L64" s="209"/>
      <c r="M64" s="209"/>
      <c r="N64" s="210"/>
      <c r="O64" s="221">
        <f t="shared" si="4"/>
        <v>0</v>
      </c>
    </row>
    <row r="65" spans="1:15" ht="19.5" hidden="1" customHeight="1" x14ac:dyDescent="0.25">
      <c r="A65" s="211"/>
      <c r="B65" s="228"/>
      <c r="C65" s="229"/>
      <c r="D65" s="214"/>
      <c r="E65" s="230"/>
      <c r="F65" s="214"/>
      <c r="G65" s="223">
        <f t="shared" si="2"/>
        <v>0</v>
      </c>
      <c r="H65" s="218">
        <f t="shared" si="3"/>
        <v>0</v>
      </c>
      <c r="I65" s="222"/>
      <c r="J65" s="209"/>
      <c r="K65" s="209"/>
      <c r="L65" s="209"/>
      <c r="M65" s="209"/>
      <c r="N65" s="210"/>
      <c r="O65" s="221">
        <f t="shared" si="4"/>
        <v>0</v>
      </c>
    </row>
    <row r="66" spans="1:15" ht="19.5" hidden="1" customHeight="1" x14ac:dyDescent="0.25">
      <c r="A66" s="211"/>
      <c r="B66" s="228"/>
      <c r="C66" s="229"/>
      <c r="D66" s="214"/>
      <c r="E66" s="230"/>
      <c r="F66" s="214"/>
      <c r="G66" s="223">
        <f t="shared" si="2"/>
        <v>0</v>
      </c>
      <c r="H66" s="218">
        <f t="shared" si="3"/>
        <v>0</v>
      </c>
      <c r="I66" s="222"/>
      <c r="J66" s="209"/>
      <c r="K66" s="209"/>
      <c r="L66" s="209"/>
      <c r="M66" s="209"/>
      <c r="N66" s="210"/>
      <c r="O66" s="221">
        <f t="shared" si="4"/>
        <v>0</v>
      </c>
    </row>
    <row r="67" spans="1:15" ht="19.5" hidden="1" customHeight="1" x14ac:dyDescent="0.25">
      <c r="A67" s="211"/>
      <c r="B67" s="228"/>
      <c r="C67" s="229"/>
      <c r="D67" s="214"/>
      <c r="E67" s="230"/>
      <c r="F67" s="214"/>
      <c r="G67" s="223">
        <f t="shared" si="2"/>
        <v>0</v>
      </c>
      <c r="H67" s="218">
        <f t="shared" si="3"/>
        <v>0</v>
      </c>
      <c r="I67" s="222"/>
      <c r="J67" s="209"/>
      <c r="K67" s="209"/>
      <c r="L67" s="209"/>
      <c r="M67" s="209"/>
      <c r="N67" s="210"/>
      <c r="O67" s="221">
        <f t="shared" si="4"/>
        <v>0</v>
      </c>
    </row>
    <row r="68" spans="1:15" ht="19.5" hidden="1" customHeight="1" x14ac:dyDescent="0.25">
      <c r="A68" s="211"/>
      <c r="B68" s="228"/>
      <c r="C68" s="229"/>
      <c r="D68" s="214"/>
      <c r="E68" s="230"/>
      <c r="F68" s="214"/>
      <c r="G68" s="223">
        <f t="shared" si="2"/>
        <v>0</v>
      </c>
      <c r="H68" s="218">
        <f t="shared" si="3"/>
        <v>0</v>
      </c>
      <c r="I68" s="222"/>
      <c r="J68" s="209"/>
      <c r="K68" s="209"/>
      <c r="L68" s="209"/>
      <c r="M68" s="209"/>
      <c r="N68" s="210"/>
      <c r="O68" s="221">
        <f t="shared" si="4"/>
        <v>0</v>
      </c>
    </row>
    <row r="69" spans="1:15" ht="19.5" hidden="1" customHeight="1" x14ac:dyDescent="0.25">
      <c r="A69" s="211"/>
      <c r="B69" s="228"/>
      <c r="C69" s="229"/>
      <c r="D69" s="214"/>
      <c r="E69" s="230"/>
      <c r="F69" s="214"/>
      <c r="G69" s="223">
        <f t="shared" si="2"/>
        <v>0</v>
      </c>
      <c r="H69" s="218">
        <f t="shared" si="3"/>
        <v>0</v>
      </c>
      <c r="I69" s="222"/>
      <c r="J69" s="209"/>
      <c r="K69" s="209"/>
      <c r="L69" s="209"/>
      <c r="M69" s="209"/>
      <c r="N69" s="210"/>
      <c r="O69" s="221">
        <f t="shared" si="4"/>
        <v>0</v>
      </c>
    </row>
    <row r="70" spans="1:15" ht="19.5" hidden="1" customHeight="1" x14ac:dyDescent="0.25">
      <c r="A70" s="211"/>
      <c r="B70" s="228"/>
      <c r="C70" s="229"/>
      <c r="D70" s="214"/>
      <c r="E70" s="230"/>
      <c r="F70" s="214"/>
      <c r="G70" s="223">
        <f t="shared" si="2"/>
        <v>0</v>
      </c>
      <c r="H70" s="218">
        <f t="shared" si="3"/>
        <v>0</v>
      </c>
      <c r="I70" s="222"/>
      <c r="J70" s="209"/>
      <c r="K70" s="209"/>
      <c r="L70" s="209"/>
      <c r="M70" s="209"/>
      <c r="N70" s="210"/>
      <c r="O70" s="221">
        <f t="shared" si="4"/>
        <v>0</v>
      </c>
    </row>
    <row r="71" spans="1:15" ht="19.5" hidden="1" customHeight="1" x14ac:dyDescent="0.25">
      <c r="A71" s="211"/>
      <c r="B71" s="228"/>
      <c r="C71" s="229"/>
      <c r="D71" s="214"/>
      <c r="E71" s="230"/>
      <c r="F71" s="214"/>
      <c r="G71" s="223">
        <f t="shared" si="2"/>
        <v>0</v>
      </c>
      <c r="H71" s="218">
        <f t="shared" si="3"/>
        <v>0</v>
      </c>
      <c r="I71" s="222"/>
      <c r="J71" s="209"/>
      <c r="K71" s="209"/>
      <c r="L71" s="209"/>
      <c r="M71" s="209"/>
      <c r="N71" s="210"/>
      <c r="O71" s="221">
        <f t="shared" si="4"/>
        <v>0</v>
      </c>
    </row>
    <row r="72" spans="1:15" ht="19.5" hidden="1" customHeight="1" x14ac:dyDescent="0.25">
      <c r="A72" s="211"/>
      <c r="B72" s="228"/>
      <c r="C72" s="229"/>
      <c r="D72" s="214"/>
      <c r="E72" s="230"/>
      <c r="F72" s="214"/>
      <c r="G72" s="223">
        <f t="shared" si="2"/>
        <v>0</v>
      </c>
      <c r="H72" s="218">
        <f t="shared" si="3"/>
        <v>0</v>
      </c>
      <c r="I72" s="222"/>
      <c r="J72" s="209"/>
      <c r="K72" s="209"/>
      <c r="L72" s="209"/>
      <c r="M72" s="209"/>
      <c r="N72" s="210"/>
      <c r="O72" s="221">
        <f t="shared" si="4"/>
        <v>0</v>
      </c>
    </row>
    <row r="73" spans="1:15" ht="19.5" hidden="1" customHeight="1" x14ac:dyDescent="0.25">
      <c r="A73" s="211"/>
      <c r="B73" s="228"/>
      <c r="C73" s="229"/>
      <c r="D73" s="214"/>
      <c r="E73" s="230"/>
      <c r="F73" s="214"/>
      <c r="G73" s="223">
        <f t="shared" si="2"/>
        <v>0</v>
      </c>
      <c r="H73" s="218">
        <f t="shared" si="3"/>
        <v>0</v>
      </c>
      <c r="I73" s="222"/>
      <c r="J73" s="209"/>
      <c r="K73" s="209"/>
      <c r="L73" s="209"/>
      <c r="M73" s="209"/>
      <c r="N73" s="210"/>
      <c r="O73" s="221">
        <f t="shared" si="4"/>
        <v>0</v>
      </c>
    </row>
    <row r="74" spans="1:15" ht="19.5" hidden="1" customHeight="1" x14ac:dyDescent="0.25">
      <c r="A74" s="211"/>
      <c r="B74" s="228"/>
      <c r="C74" s="229"/>
      <c r="D74" s="214"/>
      <c r="E74" s="230"/>
      <c r="F74" s="214"/>
      <c r="G74" s="223">
        <f t="shared" si="2"/>
        <v>0</v>
      </c>
      <c r="H74" s="218">
        <f t="shared" si="3"/>
        <v>0</v>
      </c>
      <c r="I74" s="222"/>
      <c r="J74" s="209"/>
      <c r="K74" s="209"/>
      <c r="L74" s="209"/>
      <c r="M74" s="209"/>
      <c r="N74" s="210"/>
      <c r="O74" s="221">
        <f t="shared" si="4"/>
        <v>0</v>
      </c>
    </row>
    <row r="75" spans="1:15" ht="19.5" hidden="1" customHeight="1" x14ac:dyDescent="0.25">
      <c r="A75" s="211"/>
      <c r="B75" s="228"/>
      <c r="C75" s="229"/>
      <c r="D75" s="214"/>
      <c r="E75" s="230"/>
      <c r="F75" s="214"/>
      <c r="G75" s="223">
        <f t="shared" si="2"/>
        <v>0</v>
      </c>
      <c r="H75" s="218">
        <f t="shared" si="3"/>
        <v>0</v>
      </c>
      <c r="I75" s="222"/>
      <c r="J75" s="209"/>
      <c r="K75" s="209"/>
      <c r="L75" s="209"/>
      <c r="M75" s="209"/>
      <c r="N75" s="210"/>
      <c r="O75" s="221">
        <f t="shared" si="4"/>
        <v>0</v>
      </c>
    </row>
    <row r="76" spans="1:15" ht="19.5" hidden="1" customHeight="1" x14ac:dyDescent="0.25">
      <c r="A76" s="211"/>
      <c r="B76" s="228"/>
      <c r="C76" s="229"/>
      <c r="D76" s="214"/>
      <c r="E76" s="230"/>
      <c r="F76" s="214"/>
      <c r="G76" s="223">
        <f t="shared" si="2"/>
        <v>0</v>
      </c>
      <c r="H76" s="218">
        <f t="shared" si="3"/>
        <v>0</v>
      </c>
      <c r="I76" s="222"/>
      <c r="J76" s="209"/>
      <c r="K76" s="209"/>
      <c r="L76" s="209"/>
      <c r="M76" s="209"/>
      <c r="N76" s="210"/>
      <c r="O76" s="221">
        <f t="shared" si="4"/>
        <v>0</v>
      </c>
    </row>
    <row r="77" spans="1:15" ht="19.5" hidden="1" customHeight="1" x14ac:dyDescent="0.25">
      <c r="A77" s="211"/>
      <c r="B77" s="228"/>
      <c r="C77" s="229"/>
      <c r="D77" s="214"/>
      <c r="E77" s="230"/>
      <c r="F77" s="214"/>
      <c r="G77" s="223">
        <f t="shared" si="2"/>
        <v>0</v>
      </c>
      <c r="H77" s="218">
        <f t="shared" si="3"/>
        <v>0</v>
      </c>
      <c r="I77" s="222"/>
      <c r="J77" s="209"/>
      <c r="K77" s="209"/>
      <c r="L77" s="209"/>
      <c r="M77" s="209"/>
      <c r="N77" s="210"/>
      <c r="O77" s="221">
        <f t="shared" si="4"/>
        <v>0</v>
      </c>
    </row>
    <row r="78" spans="1:15" ht="19.5" hidden="1" customHeight="1" x14ac:dyDescent="0.25">
      <c r="A78" s="211"/>
      <c r="B78" s="228"/>
      <c r="C78" s="229"/>
      <c r="D78" s="214"/>
      <c r="E78" s="230"/>
      <c r="F78" s="214"/>
      <c r="G78" s="223">
        <f t="shared" si="2"/>
        <v>0</v>
      </c>
      <c r="H78" s="218">
        <f t="shared" si="3"/>
        <v>0</v>
      </c>
      <c r="I78" s="222"/>
      <c r="J78" s="209"/>
      <c r="K78" s="209"/>
      <c r="L78" s="209"/>
      <c r="M78" s="209"/>
      <c r="N78" s="210"/>
      <c r="O78" s="221">
        <f t="shared" si="4"/>
        <v>0</v>
      </c>
    </row>
    <row r="79" spans="1:15" ht="19.5" customHeight="1" x14ac:dyDescent="0.25">
      <c r="A79" s="1015" t="s">
        <v>390</v>
      </c>
      <c r="B79" s="1015"/>
      <c r="C79" s="1015"/>
      <c r="D79" s="1015"/>
      <c r="E79" s="1015"/>
      <c r="F79" s="1015"/>
      <c r="G79" s="225">
        <f>SUM(G54:G78)</f>
        <v>0</v>
      </c>
      <c r="H79" s="226">
        <f>SUM(H54:H78)</f>
        <v>0</v>
      </c>
      <c r="I79" s="222"/>
      <c r="J79" s="209"/>
      <c r="K79" s="209"/>
      <c r="L79" s="209"/>
      <c r="M79" s="209"/>
      <c r="N79" s="210"/>
      <c r="O79" s="227"/>
    </row>
    <row r="80" spans="1:15" ht="19.5" customHeight="1" x14ac:dyDescent="0.25">
      <c r="A80" s="1016" t="s">
        <v>391</v>
      </c>
      <c r="B80" s="1016"/>
      <c r="C80" s="1016"/>
      <c r="D80" s="1016"/>
      <c r="E80" s="1016"/>
      <c r="F80" s="1016"/>
      <c r="G80" s="232">
        <f>G52+G79</f>
        <v>0</v>
      </c>
      <c r="H80" s="233">
        <f>H52+H79</f>
        <v>0</v>
      </c>
      <c r="I80" s="222"/>
      <c r="J80" s="209"/>
      <c r="K80" s="209"/>
      <c r="L80" s="209"/>
      <c r="M80" s="209"/>
      <c r="N80" s="210"/>
      <c r="O80" s="227"/>
    </row>
    <row r="81" spans="1:15" ht="19.5" customHeight="1" x14ac:dyDescent="0.25">
      <c r="A81" s="234"/>
      <c r="B81" s="235"/>
      <c r="C81" s="235"/>
      <c r="D81" s="236"/>
      <c r="E81" s="236"/>
      <c r="F81" s="236"/>
      <c r="G81" s="237"/>
      <c r="H81" s="238"/>
      <c r="I81" s="222"/>
      <c r="J81" s="209"/>
      <c r="K81" s="209"/>
      <c r="L81" s="209"/>
      <c r="M81" s="209"/>
      <c r="N81" s="210"/>
      <c r="O81" s="227"/>
    </row>
    <row r="82" spans="1:15" ht="19.5" customHeight="1" x14ac:dyDescent="0.25">
      <c r="A82" s="1012" t="s">
        <v>392</v>
      </c>
      <c r="B82" s="1012"/>
      <c r="C82" s="1012"/>
      <c r="D82" s="1012"/>
      <c r="E82" s="1012"/>
      <c r="F82" s="1012"/>
      <c r="G82" s="1012"/>
      <c r="H82" s="1012"/>
      <c r="I82" s="222"/>
      <c r="J82" s="209"/>
      <c r="K82" s="209"/>
      <c r="L82" s="209"/>
      <c r="M82" s="209"/>
      <c r="N82" s="210"/>
      <c r="O82" s="227"/>
    </row>
    <row r="83" spans="1:15" ht="25.5" customHeight="1" x14ac:dyDescent="0.25">
      <c r="A83" s="1017" t="s">
        <v>380</v>
      </c>
      <c r="B83" s="1017"/>
      <c r="C83" s="1017"/>
      <c r="D83" s="239" t="s">
        <v>113</v>
      </c>
      <c r="E83" s="240" t="s">
        <v>383</v>
      </c>
      <c r="F83" s="239" t="s">
        <v>393</v>
      </c>
      <c r="G83" s="240" t="s">
        <v>385</v>
      </c>
      <c r="H83" s="205" t="s">
        <v>386</v>
      </c>
      <c r="I83" s="222"/>
      <c r="J83" s="209"/>
      <c r="K83" s="209"/>
      <c r="L83" s="209"/>
      <c r="M83" s="209"/>
      <c r="N83" s="210"/>
      <c r="O83" s="227"/>
    </row>
    <row r="84" spans="1:15" ht="19.5" customHeight="1" x14ac:dyDescent="0.25">
      <c r="A84" s="1018"/>
      <c r="B84" s="1018"/>
      <c r="C84" s="1018"/>
      <c r="D84" s="241"/>
      <c r="E84" s="242"/>
      <c r="F84" s="243"/>
      <c r="G84" s="244">
        <f t="shared" ref="G84:G125" si="5">+F84*E84</f>
        <v>0</v>
      </c>
      <c r="H84" s="218">
        <f t="shared" ref="H84:H125" si="6">IFERROR(G84/$G$126,0)</f>
        <v>0</v>
      </c>
      <c r="I84" s="245"/>
      <c r="J84" s="209"/>
      <c r="K84" s="209"/>
      <c r="L84" s="209"/>
      <c r="M84" s="209"/>
      <c r="N84" s="210"/>
      <c r="O84" s="221">
        <f t="shared" ref="O84:O125" si="7">G84-SUM(I84:N84)</f>
        <v>0</v>
      </c>
    </row>
    <row r="85" spans="1:15" ht="19.5" customHeight="1" x14ac:dyDescent="0.25">
      <c r="A85" s="1018"/>
      <c r="B85" s="1018"/>
      <c r="C85" s="1018"/>
      <c r="D85" s="241"/>
      <c r="E85" s="246"/>
      <c r="F85" s="243"/>
      <c r="G85" s="244">
        <f t="shared" si="5"/>
        <v>0</v>
      </c>
      <c r="H85" s="218">
        <f t="shared" si="6"/>
        <v>0</v>
      </c>
      <c r="I85" s="222"/>
      <c r="J85" s="247"/>
      <c r="K85" s="209"/>
      <c r="L85" s="209"/>
      <c r="M85" s="209"/>
      <c r="N85" s="210"/>
      <c r="O85" s="221">
        <f t="shared" si="7"/>
        <v>0</v>
      </c>
    </row>
    <row r="86" spans="1:15" ht="19.5" customHeight="1" x14ac:dyDescent="0.25">
      <c r="A86" s="1018"/>
      <c r="B86" s="1018"/>
      <c r="C86" s="1018"/>
      <c r="D86" s="241"/>
      <c r="E86" s="214"/>
      <c r="F86" s="243"/>
      <c r="G86" s="244">
        <f t="shared" si="5"/>
        <v>0</v>
      </c>
      <c r="H86" s="218">
        <f t="shared" si="6"/>
        <v>0</v>
      </c>
      <c r="I86" s="222"/>
      <c r="J86" s="209"/>
      <c r="K86" s="247"/>
      <c r="L86" s="209"/>
      <c r="M86" s="209"/>
      <c r="N86" s="210"/>
      <c r="O86" s="221">
        <f t="shared" si="7"/>
        <v>0</v>
      </c>
    </row>
    <row r="87" spans="1:15" ht="19.5" customHeight="1" x14ac:dyDescent="0.25">
      <c r="A87" s="1018"/>
      <c r="B87" s="1018"/>
      <c r="C87" s="1018"/>
      <c r="D87" s="241"/>
      <c r="E87" s="214"/>
      <c r="F87" s="243"/>
      <c r="G87" s="244">
        <f t="shared" si="5"/>
        <v>0</v>
      </c>
      <c r="H87" s="218">
        <f t="shared" si="6"/>
        <v>0</v>
      </c>
      <c r="I87" s="222"/>
      <c r="J87" s="209"/>
      <c r="K87" s="247"/>
      <c r="L87" s="209"/>
      <c r="M87" s="209"/>
      <c r="N87" s="210"/>
      <c r="O87" s="221">
        <f t="shared" si="7"/>
        <v>0</v>
      </c>
    </row>
    <row r="88" spans="1:15" ht="19.5" customHeight="1" x14ac:dyDescent="0.25">
      <c r="A88" s="1018"/>
      <c r="B88" s="1018"/>
      <c r="C88" s="1018"/>
      <c r="D88" s="241"/>
      <c r="E88" s="214"/>
      <c r="F88" s="243"/>
      <c r="G88" s="244">
        <f t="shared" si="5"/>
        <v>0</v>
      </c>
      <c r="H88" s="218">
        <f t="shared" si="6"/>
        <v>0</v>
      </c>
      <c r="I88" s="222"/>
      <c r="J88" s="209"/>
      <c r="K88" s="247"/>
      <c r="L88" s="209"/>
      <c r="M88" s="209"/>
      <c r="N88" s="210"/>
      <c r="O88" s="221">
        <f t="shared" si="7"/>
        <v>0</v>
      </c>
    </row>
    <row r="89" spans="1:15" ht="19.5" hidden="1" customHeight="1" x14ac:dyDescent="0.25">
      <c r="A89" s="1018"/>
      <c r="B89" s="1018"/>
      <c r="C89" s="1018"/>
      <c r="D89" s="241"/>
      <c r="E89" s="214"/>
      <c r="F89" s="243"/>
      <c r="G89" s="244">
        <f t="shared" si="5"/>
        <v>0</v>
      </c>
      <c r="H89" s="218">
        <f t="shared" si="6"/>
        <v>0</v>
      </c>
      <c r="I89" s="222"/>
      <c r="J89" s="209"/>
      <c r="K89" s="247"/>
      <c r="L89" s="209"/>
      <c r="M89" s="209"/>
      <c r="N89" s="210"/>
      <c r="O89" s="221">
        <f t="shared" si="7"/>
        <v>0</v>
      </c>
    </row>
    <row r="90" spans="1:15" ht="19.5" hidden="1" customHeight="1" x14ac:dyDescent="0.25">
      <c r="A90" s="1018"/>
      <c r="B90" s="1018"/>
      <c r="C90" s="1018"/>
      <c r="D90" s="241"/>
      <c r="E90" s="214"/>
      <c r="F90" s="243"/>
      <c r="G90" s="244">
        <f t="shared" si="5"/>
        <v>0</v>
      </c>
      <c r="H90" s="218">
        <f t="shared" si="6"/>
        <v>0</v>
      </c>
      <c r="I90" s="222"/>
      <c r="J90" s="209"/>
      <c r="K90" s="247"/>
      <c r="L90" s="209"/>
      <c r="M90" s="209"/>
      <c r="N90" s="210"/>
      <c r="O90" s="221">
        <f t="shared" si="7"/>
        <v>0</v>
      </c>
    </row>
    <row r="91" spans="1:15" ht="19.5" hidden="1" customHeight="1" x14ac:dyDescent="0.25">
      <c r="A91" s="1018"/>
      <c r="B91" s="1018"/>
      <c r="C91" s="1018"/>
      <c r="D91" s="241"/>
      <c r="E91" s="214"/>
      <c r="F91" s="243"/>
      <c r="G91" s="244">
        <f t="shared" si="5"/>
        <v>0</v>
      </c>
      <c r="H91" s="218">
        <f t="shared" si="6"/>
        <v>0</v>
      </c>
      <c r="I91" s="222"/>
      <c r="J91" s="209"/>
      <c r="K91" s="247"/>
      <c r="L91" s="209"/>
      <c r="M91" s="209"/>
      <c r="N91" s="210"/>
      <c r="O91" s="221">
        <f t="shared" si="7"/>
        <v>0</v>
      </c>
    </row>
    <row r="92" spans="1:15" ht="19.5" hidden="1" customHeight="1" x14ac:dyDescent="0.25">
      <c r="A92" s="1018"/>
      <c r="B92" s="1018"/>
      <c r="C92" s="1018"/>
      <c r="D92" s="241"/>
      <c r="E92" s="214"/>
      <c r="F92" s="243"/>
      <c r="G92" s="244">
        <f t="shared" si="5"/>
        <v>0</v>
      </c>
      <c r="H92" s="218">
        <f t="shared" si="6"/>
        <v>0</v>
      </c>
      <c r="I92" s="222"/>
      <c r="J92" s="209"/>
      <c r="K92" s="247"/>
      <c r="L92" s="209"/>
      <c r="M92" s="209"/>
      <c r="N92" s="210"/>
      <c r="O92" s="221">
        <f t="shared" si="7"/>
        <v>0</v>
      </c>
    </row>
    <row r="93" spans="1:15" ht="19.5" hidden="1" customHeight="1" x14ac:dyDescent="0.25">
      <c r="A93" s="1018"/>
      <c r="B93" s="1018"/>
      <c r="C93" s="1018"/>
      <c r="D93" s="241"/>
      <c r="E93" s="214"/>
      <c r="F93" s="243"/>
      <c r="G93" s="244">
        <f t="shared" si="5"/>
        <v>0</v>
      </c>
      <c r="H93" s="218">
        <f t="shared" si="6"/>
        <v>0</v>
      </c>
      <c r="I93" s="222"/>
      <c r="J93" s="209"/>
      <c r="K93" s="247"/>
      <c r="L93" s="209"/>
      <c r="M93" s="209"/>
      <c r="N93" s="210"/>
      <c r="O93" s="221">
        <f t="shared" si="7"/>
        <v>0</v>
      </c>
    </row>
    <row r="94" spans="1:15" ht="19.5" hidden="1" customHeight="1" x14ac:dyDescent="0.25">
      <c r="A94" s="1018"/>
      <c r="B94" s="1018"/>
      <c r="C94" s="1018"/>
      <c r="D94" s="241"/>
      <c r="E94" s="214"/>
      <c r="F94" s="243"/>
      <c r="G94" s="244">
        <f t="shared" si="5"/>
        <v>0</v>
      </c>
      <c r="H94" s="218">
        <f t="shared" si="6"/>
        <v>0</v>
      </c>
      <c r="I94" s="222"/>
      <c r="J94" s="209"/>
      <c r="K94" s="247"/>
      <c r="L94" s="209"/>
      <c r="M94" s="209"/>
      <c r="N94" s="210"/>
      <c r="O94" s="221">
        <f t="shared" si="7"/>
        <v>0</v>
      </c>
    </row>
    <row r="95" spans="1:15" ht="19.5" hidden="1" customHeight="1" x14ac:dyDescent="0.25">
      <c r="A95" s="1018"/>
      <c r="B95" s="1018"/>
      <c r="C95" s="1018"/>
      <c r="D95" s="241"/>
      <c r="E95" s="214"/>
      <c r="F95" s="243"/>
      <c r="G95" s="244">
        <f t="shared" si="5"/>
        <v>0</v>
      </c>
      <c r="H95" s="218">
        <f t="shared" si="6"/>
        <v>0</v>
      </c>
      <c r="I95" s="222"/>
      <c r="J95" s="209"/>
      <c r="K95" s="247"/>
      <c r="L95" s="209"/>
      <c r="M95" s="209"/>
      <c r="N95" s="210"/>
      <c r="O95" s="221">
        <f t="shared" si="7"/>
        <v>0</v>
      </c>
    </row>
    <row r="96" spans="1:15" ht="19.5" hidden="1" customHeight="1" x14ac:dyDescent="0.25">
      <c r="A96" s="1018"/>
      <c r="B96" s="1018"/>
      <c r="C96" s="1018"/>
      <c r="D96" s="241"/>
      <c r="E96" s="214"/>
      <c r="F96" s="243"/>
      <c r="G96" s="244">
        <f t="shared" si="5"/>
        <v>0</v>
      </c>
      <c r="H96" s="218">
        <f t="shared" si="6"/>
        <v>0</v>
      </c>
      <c r="I96" s="222"/>
      <c r="J96" s="209"/>
      <c r="K96" s="247"/>
      <c r="L96" s="209"/>
      <c r="M96" s="209"/>
      <c r="N96" s="210"/>
      <c r="O96" s="221">
        <f t="shared" si="7"/>
        <v>0</v>
      </c>
    </row>
    <row r="97" spans="1:15" ht="19.5" hidden="1" customHeight="1" x14ac:dyDescent="0.25">
      <c r="A97" s="1018"/>
      <c r="B97" s="1018"/>
      <c r="C97" s="1018"/>
      <c r="D97" s="241"/>
      <c r="E97" s="214"/>
      <c r="F97" s="243"/>
      <c r="G97" s="244">
        <f t="shared" si="5"/>
        <v>0</v>
      </c>
      <c r="H97" s="218">
        <f t="shared" si="6"/>
        <v>0</v>
      </c>
      <c r="I97" s="222"/>
      <c r="J97" s="209"/>
      <c r="K97" s="247"/>
      <c r="L97" s="209"/>
      <c r="M97" s="209"/>
      <c r="N97" s="210"/>
      <c r="O97" s="221">
        <f t="shared" si="7"/>
        <v>0</v>
      </c>
    </row>
    <row r="98" spans="1:15" ht="19.5" hidden="1" customHeight="1" x14ac:dyDescent="0.25">
      <c r="A98" s="1018"/>
      <c r="B98" s="1018"/>
      <c r="C98" s="1018"/>
      <c r="D98" s="241"/>
      <c r="E98" s="214"/>
      <c r="F98" s="243"/>
      <c r="G98" s="244">
        <f t="shared" si="5"/>
        <v>0</v>
      </c>
      <c r="H98" s="218">
        <f t="shared" si="6"/>
        <v>0</v>
      </c>
      <c r="I98" s="222"/>
      <c r="J98" s="209"/>
      <c r="K98" s="247"/>
      <c r="L98" s="209"/>
      <c r="M98" s="209"/>
      <c r="N98" s="210"/>
      <c r="O98" s="221">
        <f t="shared" si="7"/>
        <v>0</v>
      </c>
    </row>
    <row r="99" spans="1:15" ht="19.5" hidden="1" customHeight="1" x14ac:dyDescent="0.25">
      <c r="A99" s="1018"/>
      <c r="B99" s="1018"/>
      <c r="C99" s="1018"/>
      <c r="D99" s="241"/>
      <c r="E99" s="214"/>
      <c r="F99" s="243"/>
      <c r="G99" s="244">
        <f t="shared" si="5"/>
        <v>0</v>
      </c>
      <c r="H99" s="218">
        <f t="shared" si="6"/>
        <v>0</v>
      </c>
      <c r="I99" s="222"/>
      <c r="J99" s="209"/>
      <c r="K99" s="247"/>
      <c r="L99" s="209"/>
      <c r="M99" s="209"/>
      <c r="N99" s="210"/>
      <c r="O99" s="221">
        <f t="shared" si="7"/>
        <v>0</v>
      </c>
    </row>
    <row r="100" spans="1:15" ht="19.5" hidden="1" customHeight="1" x14ac:dyDescent="0.25">
      <c r="A100" s="1018"/>
      <c r="B100" s="1018"/>
      <c r="C100" s="1018"/>
      <c r="D100" s="241"/>
      <c r="E100" s="214"/>
      <c r="F100" s="243"/>
      <c r="G100" s="244">
        <f t="shared" si="5"/>
        <v>0</v>
      </c>
      <c r="H100" s="218">
        <f t="shared" si="6"/>
        <v>0</v>
      </c>
      <c r="I100" s="222"/>
      <c r="J100" s="209"/>
      <c r="K100" s="247"/>
      <c r="L100" s="209"/>
      <c r="M100" s="209"/>
      <c r="N100" s="210"/>
      <c r="O100" s="221">
        <f t="shared" si="7"/>
        <v>0</v>
      </c>
    </row>
    <row r="101" spans="1:15" ht="19.5" hidden="1" customHeight="1" x14ac:dyDescent="0.25">
      <c r="A101" s="1018"/>
      <c r="B101" s="1018"/>
      <c r="C101" s="1018"/>
      <c r="D101" s="241"/>
      <c r="E101" s="214"/>
      <c r="F101" s="243"/>
      <c r="G101" s="244">
        <f t="shared" si="5"/>
        <v>0</v>
      </c>
      <c r="H101" s="218">
        <f t="shared" si="6"/>
        <v>0</v>
      </c>
      <c r="I101" s="222"/>
      <c r="J101" s="209"/>
      <c r="K101" s="247"/>
      <c r="L101" s="209"/>
      <c r="M101" s="209"/>
      <c r="N101" s="210"/>
      <c r="O101" s="221">
        <f t="shared" si="7"/>
        <v>0</v>
      </c>
    </row>
    <row r="102" spans="1:15" ht="19.5" hidden="1" customHeight="1" x14ac:dyDescent="0.25">
      <c r="A102" s="1018"/>
      <c r="B102" s="1018"/>
      <c r="C102" s="1018"/>
      <c r="D102" s="241"/>
      <c r="E102" s="214"/>
      <c r="F102" s="243"/>
      <c r="G102" s="244">
        <f t="shared" si="5"/>
        <v>0</v>
      </c>
      <c r="H102" s="218">
        <f t="shared" si="6"/>
        <v>0</v>
      </c>
      <c r="I102" s="222"/>
      <c r="J102" s="209"/>
      <c r="K102" s="247"/>
      <c r="L102" s="209"/>
      <c r="M102" s="209"/>
      <c r="N102" s="210"/>
      <c r="O102" s="221">
        <f t="shared" si="7"/>
        <v>0</v>
      </c>
    </row>
    <row r="103" spans="1:15" ht="19.5" hidden="1" customHeight="1" x14ac:dyDescent="0.25">
      <c r="A103" s="1018"/>
      <c r="B103" s="1018"/>
      <c r="C103" s="1018"/>
      <c r="D103" s="241"/>
      <c r="E103" s="214"/>
      <c r="F103" s="243"/>
      <c r="G103" s="244">
        <f t="shared" si="5"/>
        <v>0</v>
      </c>
      <c r="H103" s="218">
        <f t="shared" si="6"/>
        <v>0</v>
      </c>
      <c r="I103" s="222"/>
      <c r="J103" s="209"/>
      <c r="K103" s="247"/>
      <c r="L103" s="209"/>
      <c r="M103" s="209"/>
      <c r="N103" s="210"/>
      <c r="O103" s="221">
        <f t="shared" si="7"/>
        <v>0</v>
      </c>
    </row>
    <row r="104" spans="1:15" ht="19.5" hidden="1" customHeight="1" x14ac:dyDescent="0.25">
      <c r="A104" s="1018"/>
      <c r="B104" s="1018"/>
      <c r="C104" s="1018"/>
      <c r="D104" s="241"/>
      <c r="E104" s="214"/>
      <c r="F104" s="243"/>
      <c r="G104" s="244">
        <f t="shared" si="5"/>
        <v>0</v>
      </c>
      <c r="H104" s="218">
        <f t="shared" si="6"/>
        <v>0</v>
      </c>
      <c r="I104" s="222"/>
      <c r="J104" s="209"/>
      <c r="K104" s="247"/>
      <c r="L104" s="209"/>
      <c r="M104" s="209"/>
      <c r="N104" s="210"/>
      <c r="O104" s="221">
        <f t="shared" si="7"/>
        <v>0</v>
      </c>
    </row>
    <row r="105" spans="1:15" ht="19.5" hidden="1" customHeight="1" x14ac:dyDescent="0.25">
      <c r="A105" s="1018"/>
      <c r="B105" s="1018"/>
      <c r="C105" s="1018"/>
      <c r="D105" s="241"/>
      <c r="E105" s="214"/>
      <c r="F105" s="243"/>
      <c r="G105" s="244">
        <f t="shared" si="5"/>
        <v>0</v>
      </c>
      <c r="H105" s="218">
        <f t="shared" si="6"/>
        <v>0</v>
      </c>
      <c r="I105" s="222"/>
      <c r="J105" s="209"/>
      <c r="K105" s="247"/>
      <c r="L105" s="209"/>
      <c r="M105" s="209"/>
      <c r="N105" s="210"/>
      <c r="O105" s="221">
        <f t="shared" si="7"/>
        <v>0</v>
      </c>
    </row>
    <row r="106" spans="1:15" ht="19.5" hidden="1" customHeight="1" x14ac:dyDescent="0.25">
      <c r="A106" s="1018"/>
      <c r="B106" s="1018"/>
      <c r="C106" s="1018"/>
      <c r="D106" s="241"/>
      <c r="E106" s="214"/>
      <c r="F106" s="243"/>
      <c r="G106" s="244">
        <f t="shared" si="5"/>
        <v>0</v>
      </c>
      <c r="H106" s="218">
        <f t="shared" si="6"/>
        <v>0</v>
      </c>
      <c r="I106" s="222"/>
      <c r="J106" s="209"/>
      <c r="K106" s="247"/>
      <c r="L106" s="209"/>
      <c r="M106" s="209"/>
      <c r="N106" s="210"/>
      <c r="O106" s="221">
        <f t="shared" si="7"/>
        <v>0</v>
      </c>
    </row>
    <row r="107" spans="1:15" ht="19.5" hidden="1" customHeight="1" x14ac:dyDescent="0.25">
      <c r="A107" s="1018"/>
      <c r="B107" s="1018"/>
      <c r="C107" s="1018"/>
      <c r="D107" s="241"/>
      <c r="E107" s="214"/>
      <c r="F107" s="243"/>
      <c r="G107" s="244">
        <f t="shared" si="5"/>
        <v>0</v>
      </c>
      <c r="H107" s="218">
        <f t="shared" si="6"/>
        <v>0</v>
      </c>
      <c r="I107" s="222"/>
      <c r="J107" s="209"/>
      <c r="K107" s="247"/>
      <c r="L107" s="209"/>
      <c r="M107" s="209"/>
      <c r="N107" s="210"/>
      <c r="O107" s="221">
        <f t="shared" si="7"/>
        <v>0</v>
      </c>
    </row>
    <row r="108" spans="1:15" ht="19.5" hidden="1" customHeight="1" x14ac:dyDescent="0.25">
      <c r="A108" s="1018"/>
      <c r="B108" s="1018"/>
      <c r="C108" s="1018"/>
      <c r="D108" s="241"/>
      <c r="E108" s="214"/>
      <c r="F108" s="243"/>
      <c r="G108" s="244">
        <f t="shared" si="5"/>
        <v>0</v>
      </c>
      <c r="H108" s="218">
        <f t="shared" si="6"/>
        <v>0</v>
      </c>
      <c r="I108" s="222"/>
      <c r="J108" s="209"/>
      <c r="K108" s="247"/>
      <c r="L108" s="209"/>
      <c r="M108" s="209"/>
      <c r="N108" s="210"/>
      <c r="O108" s="221">
        <f t="shared" si="7"/>
        <v>0</v>
      </c>
    </row>
    <row r="109" spans="1:15" ht="19.5" hidden="1" customHeight="1" x14ac:dyDescent="0.25">
      <c r="A109" s="1018"/>
      <c r="B109" s="1018"/>
      <c r="C109" s="1018"/>
      <c r="D109" s="241"/>
      <c r="E109" s="214"/>
      <c r="F109" s="243"/>
      <c r="G109" s="244">
        <f t="shared" si="5"/>
        <v>0</v>
      </c>
      <c r="H109" s="218">
        <f t="shared" si="6"/>
        <v>0</v>
      </c>
      <c r="I109" s="222"/>
      <c r="J109" s="209"/>
      <c r="K109" s="247"/>
      <c r="L109" s="209"/>
      <c r="M109" s="209"/>
      <c r="N109" s="210"/>
      <c r="O109" s="221">
        <f t="shared" si="7"/>
        <v>0</v>
      </c>
    </row>
    <row r="110" spans="1:15" ht="19.5" hidden="1" customHeight="1" x14ac:dyDescent="0.25">
      <c r="A110" s="1018"/>
      <c r="B110" s="1018"/>
      <c r="C110" s="1018"/>
      <c r="D110" s="241"/>
      <c r="E110" s="214"/>
      <c r="F110" s="243"/>
      <c r="G110" s="244">
        <f t="shared" si="5"/>
        <v>0</v>
      </c>
      <c r="H110" s="218">
        <f t="shared" si="6"/>
        <v>0</v>
      </c>
      <c r="I110" s="222"/>
      <c r="J110" s="209"/>
      <c r="K110" s="247"/>
      <c r="L110" s="209"/>
      <c r="M110" s="209"/>
      <c r="N110" s="210"/>
      <c r="O110" s="221">
        <f t="shared" si="7"/>
        <v>0</v>
      </c>
    </row>
    <row r="111" spans="1:15" ht="19.5" hidden="1" customHeight="1" x14ac:dyDescent="0.25">
      <c r="A111" s="1018"/>
      <c r="B111" s="1018"/>
      <c r="C111" s="1018"/>
      <c r="D111" s="241"/>
      <c r="E111" s="214"/>
      <c r="F111" s="243"/>
      <c r="G111" s="244">
        <f t="shared" si="5"/>
        <v>0</v>
      </c>
      <c r="H111" s="218">
        <f t="shared" si="6"/>
        <v>0</v>
      </c>
      <c r="I111" s="222"/>
      <c r="J111" s="209"/>
      <c r="K111" s="209"/>
      <c r="L111" s="209"/>
      <c r="M111" s="209"/>
      <c r="N111" s="210"/>
      <c r="O111" s="221">
        <f t="shared" si="7"/>
        <v>0</v>
      </c>
    </row>
    <row r="112" spans="1:15" ht="19.5" hidden="1" customHeight="1" x14ac:dyDescent="0.25">
      <c r="A112" s="1018"/>
      <c r="B112" s="1018"/>
      <c r="C112" s="1018"/>
      <c r="D112" s="241"/>
      <c r="E112" s="214"/>
      <c r="F112" s="243"/>
      <c r="G112" s="244">
        <f t="shared" si="5"/>
        <v>0</v>
      </c>
      <c r="H112" s="218">
        <f t="shared" si="6"/>
        <v>0</v>
      </c>
      <c r="I112" s="222"/>
      <c r="J112" s="209"/>
      <c r="K112" s="209"/>
      <c r="L112" s="209"/>
      <c r="M112" s="209"/>
      <c r="N112" s="210"/>
      <c r="O112" s="221">
        <f t="shared" si="7"/>
        <v>0</v>
      </c>
    </row>
    <row r="113" spans="1:15" ht="19.5" hidden="1" customHeight="1" x14ac:dyDescent="0.25">
      <c r="A113" s="1018"/>
      <c r="B113" s="1018"/>
      <c r="C113" s="1018"/>
      <c r="D113" s="241"/>
      <c r="E113" s="214"/>
      <c r="F113" s="243"/>
      <c r="G113" s="244">
        <f t="shared" si="5"/>
        <v>0</v>
      </c>
      <c r="H113" s="218">
        <f t="shared" si="6"/>
        <v>0</v>
      </c>
      <c r="I113" s="222"/>
      <c r="J113" s="209"/>
      <c r="K113" s="209"/>
      <c r="L113" s="209"/>
      <c r="M113" s="209"/>
      <c r="N113" s="210"/>
      <c r="O113" s="221">
        <f t="shared" si="7"/>
        <v>0</v>
      </c>
    </row>
    <row r="114" spans="1:15" ht="19.5" hidden="1" customHeight="1" x14ac:dyDescent="0.25">
      <c r="A114" s="1018"/>
      <c r="B114" s="1018"/>
      <c r="C114" s="1018"/>
      <c r="D114" s="241"/>
      <c r="E114" s="214"/>
      <c r="F114" s="243"/>
      <c r="G114" s="244">
        <f t="shared" si="5"/>
        <v>0</v>
      </c>
      <c r="H114" s="218">
        <f t="shared" si="6"/>
        <v>0</v>
      </c>
      <c r="I114" s="222"/>
      <c r="J114" s="209"/>
      <c r="K114" s="209"/>
      <c r="L114" s="209"/>
      <c r="M114" s="209"/>
      <c r="N114" s="210"/>
      <c r="O114" s="221">
        <f t="shared" si="7"/>
        <v>0</v>
      </c>
    </row>
    <row r="115" spans="1:15" ht="19.5" hidden="1" customHeight="1" x14ac:dyDescent="0.25">
      <c r="A115" s="1018"/>
      <c r="B115" s="1018"/>
      <c r="C115" s="1018"/>
      <c r="D115" s="241"/>
      <c r="E115" s="214"/>
      <c r="F115" s="243"/>
      <c r="G115" s="244">
        <f t="shared" si="5"/>
        <v>0</v>
      </c>
      <c r="H115" s="218">
        <f t="shared" si="6"/>
        <v>0</v>
      </c>
      <c r="I115" s="222"/>
      <c r="J115" s="209"/>
      <c r="K115" s="209"/>
      <c r="L115" s="209"/>
      <c r="M115" s="209"/>
      <c r="N115" s="210"/>
      <c r="O115" s="221">
        <f t="shared" si="7"/>
        <v>0</v>
      </c>
    </row>
    <row r="116" spans="1:15" ht="19.5" hidden="1" customHeight="1" x14ac:dyDescent="0.25">
      <c r="A116" s="1018"/>
      <c r="B116" s="1018"/>
      <c r="C116" s="1018"/>
      <c r="D116" s="241"/>
      <c r="E116" s="214"/>
      <c r="F116" s="243"/>
      <c r="G116" s="244">
        <f t="shared" si="5"/>
        <v>0</v>
      </c>
      <c r="H116" s="218">
        <f t="shared" si="6"/>
        <v>0</v>
      </c>
      <c r="I116" s="222"/>
      <c r="J116" s="209"/>
      <c r="K116" s="209"/>
      <c r="L116" s="209"/>
      <c r="M116" s="209"/>
      <c r="N116" s="210"/>
      <c r="O116" s="221">
        <f t="shared" si="7"/>
        <v>0</v>
      </c>
    </row>
    <row r="117" spans="1:15" ht="19.5" hidden="1" customHeight="1" x14ac:dyDescent="0.25">
      <c r="A117" s="1018"/>
      <c r="B117" s="1018"/>
      <c r="C117" s="1018"/>
      <c r="D117" s="241"/>
      <c r="E117" s="214"/>
      <c r="F117" s="243"/>
      <c r="G117" s="244">
        <f t="shared" si="5"/>
        <v>0</v>
      </c>
      <c r="H117" s="218">
        <f t="shared" si="6"/>
        <v>0</v>
      </c>
      <c r="I117" s="222"/>
      <c r="J117" s="209"/>
      <c r="K117" s="209"/>
      <c r="L117" s="209"/>
      <c r="M117" s="209"/>
      <c r="N117" s="210"/>
      <c r="O117" s="221">
        <f t="shared" si="7"/>
        <v>0</v>
      </c>
    </row>
    <row r="118" spans="1:15" ht="19.5" hidden="1" customHeight="1" x14ac:dyDescent="0.25">
      <c r="A118" s="1018"/>
      <c r="B118" s="1018"/>
      <c r="C118" s="1018"/>
      <c r="D118" s="241"/>
      <c r="E118" s="214"/>
      <c r="F118" s="243"/>
      <c r="G118" s="244">
        <f t="shared" si="5"/>
        <v>0</v>
      </c>
      <c r="H118" s="218">
        <f t="shared" si="6"/>
        <v>0</v>
      </c>
      <c r="I118" s="222"/>
      <c r="J118" s="209"/>
      <c r="K118" s="209"/>
      <c r="L118" s="209"/>
      <c r="M118" s="209"/>
      <c r="N118" s="210"/>
      <c r="O118" s="221">
        <f t="shared" si="7"/>
        <v>0</v>
      </c>
    </row>
    <row r="119" spans="1:15" ht="19.5" hidden="1" customHeight="1" x14ac:dyDescent="0.25">
      <c r="A119" s="1018"/>
      <c r="B119" s="1018"/>
      <c r="C119" s="1018"/>
      <c r="D119" s="241"/>
      <c r="E119" s="214"/>
      <c r="F119" s="243"/>
      <c r="G119" s="244">
        <f t="shared" si="5"/>
        <v>0</v>
      </c>
      <c r="H119" s="218">
        <f t="shared" si="6"/>
        <v>0</v>
      </c>
      <c r="I119" s="222"/>
      <c r="J119" s="209"/>
      <c r="K119" s="209"/>
      <c r="L119" s="209"/>
      <c r="M119" s="209"/>
      <c r="N119" s="210"/>
      <c r="O119" s="221">
        <f t="shared" si="7"/>
        <v>0</v>
      </c>
    </row>
    <row r="120" spans="1:15" ht="19.5" hidden="1" customHeight="1" x14ac:dyDescent="0.25">
      <c r="A120" s="1018"/>
      <c r="B120" s="1018"/>
      <c r="C120" s="1018"/>
      <c r="D120" s="241"/>
      <c r="E120" s="214"/>
      <c r="F120" s="243"/>
      <c r="G120" s="244">
        <f t="shared" si="5"/>
        <v>0</v>
      </c>
      <c r="H120" s="218">
        <f t="shared" si="6"/>
        <v>0</v>
      </c>
      <c r="I120" s="222"/>
      <c r="J120" s="209"/>
      <c r="K120" s="209"/>
      <c r="L120" s="209"/>
      <c r="M120" s="209"/>
      <c r="N120" s="210"/>
      <c r="O120" s="221">
        <f t="shared" si="7"/>
        <v>0</v>
      </c>
    </row>
    <row r="121" spans="1:15" ht="19.5" hidden="1" customHeight="1" x14ac:dyDescent="0.25">
      <c r="A121" s="1018"/>
      <c r="B121" s="1018"/>
      <c r="C121" s="1018"/>
      <c r="D121" s="241"/>
      <c r="E121" s="214"/>
      <c r="F121" s="243"/>
      <c r="G121" s="244">
        <f t="shared" si="5"/>
        <v>0</v>
      </c>
      <c r="H121" s="218">
        <f t="shared" si="6"/>
        <v>0</v>
      </c>
      <c r="I121" s="222"/>
      <c r="J121" s="209"/>
      <c r="K121" s="209"/>
      <c r="L121" s="209"/>
      <c r="M121" s="209"/>
      <c r="N121" s="210"/>
      <c r="O121" s="221">
        <f t="shared" si="7"/>
        <v>0</v>
      </c>
    </row>
    <row r="122" spans="1:15" ht="19.5" hidden="1" customHeight="1" x14ac:dyDescent="0.25">
      <c r="A122" s="1018"/>
      <c r="B122" s="1018"/>
      <c r="C122" s="1018"/>
      <c r="D122" s="241"/>
      <c r="E122" s="214"/>
      <c r="F122" s="243"/>
      <c r="G122" s="244">
        <f t="shared" si="5"/>
        <v>0</v>
      </c>
      <c r="H122" s="218">
        <f t="shared" si="6"/>
        <v>0</v>
      </c>
      <c r="I122" s="222"/>
      <c r="J122" s="209"/>
      <c r="K122" s="209"/>
      <c r="L122" s="209"/>
      <c r="M122" s="209"/>
      <c r="N122" s="210"/>
      <c r="O122" s="221">
        <f t="shared" si="7"/>
        <v>0</v>
      </c>
    </row>
    <row r="123" spans="1:15" ht="19.5" hidden="1" customHeight="1" x14ac:dyDescent="0.25">
      <c r="A123" s="1018"/>
      <c r="B123" s="1018"/>
      <c r="C123" s="1018"/>
      <c r="D123" s="241"/>
      <c r="E123" s="214"/>
      <c r="F123" s="243"/>
      <c r="G123" s="244">
        <f t="shared" si="5"/>
        <v>0</v>
      </c>
      <c r="H123" s="218">
        <f t="shared" si="6"/>
        <v>0</v>
      </c>
      <c r="I123" s="222"/>
      <c r="J123" s="209"/>
      <c r="K123" s="209"/>
      <c r="L123" s="209"/>
      <c r="M123" s="209"/>
      <c r="N123" s="210"/>
      <c r="O123" s="221">
        <f t="shared" si="7"/>
        <v>0</v>
      </c>
    </row>
    <row r="124" spans="1:15" ht="19.5" hidden="1" customHeight="1" x14ac:dyDescent="0.25">
      <c r="A124" s="1018"/>
      <c r="B124" s="1018"/>
      <c r="C124" s="1018"/>
      <c r="D124" s="241"/>
      <c r="E124" s="214"/>
      <c r="F124" s="243"/>
      <c r="G124" s="244">
        <f t="shared" si="5"/>
        <v>0</v>
      </c>
      <c r="H124" s="218">
        <f t="shared" si="6"/>
        <v>0</v>
      </c>
      <c r="I124" s="222"/>
      <c r="J124" s="209"/>
      <c r="K124" s="209"/>
      <c r="L124" s="209"/>
      <c r="M124" s="209"/>
      <c r="N124" s="210"/>
      <c r="O124" s="221">
        <f t="shared" si="7"/>
        <v>0</v>
      </c>
    </row>
    <row r="125" spans="1:15" ht="19.5" hidden="1" customHeight="1" x14ac:dyDescent="0.25">
      <c r="A125" s="1018"/>
      <c r="B125" s="1018"/>
      <c r="C125" s="1018"/>
      <c r="D125" s="241"/>
      <c r="E125" s="214"/>
      <c r="F125" s="243"/>
      <c r="G125" s="244">
        <f t="shared" si="5"/>
        <v>0</v>
      </c>
      <c r="H125" s="218">
        <f t="shared" si="6"/>
        <v>0</v>
      </c>
      <c r="I125" s="222"/>
      <c r="J125" s="209"/>
      <c r="K125" s="209"/>
      <c r="L125" s="209"/>
      <c r="M125" s="209"/>
      <c r="N125" s="210"/>
      <c r="O125" s="221">
        <f t="shared" si="7"/>
        <v>0</v>
      </c>
    </row>
    <row r="126" spans="1:15" ht="19.5" customHeight="1" x14ac:dyDescent="0.25">
      <c r="A126" s="1016" t="s">
        <v>394</v>
      </c>
      <c r="B126" s="1016"/>
      <c r="C126" s="1016"/>
      <c r="D126" s="1016"/>
      <c r="E126" s="1016"/>
      <c r="F126" s="1016"/>
      <c r="G126" s="248">
        <f>SUM(G84:G125)</f>
        <v>0</v>
      </c>
      <c r="H126" s="233">
        <f>SUM(H84:H125)</f>
        <v>0</v>
      </c>
      <c r="I126" s="249"/>
      <c r="J126" s="250"/>
      <c r="K126" s="250"/>
      <c r="L126" s="250"/>
      <c r="M126" s="250"/>
      <c r="N126" s="251"/>
      <c r="O126" s="227"/>
    </row>
    <row r="127" spans="1:15" ht="19.5" customHeight="1" x14ac:dyDescent="0.25">
      <c r="A127" s="252"/>
      <c r="B127" s="252"/>
      <c r="C127" s="252"/>
      <c r="D127" s="252"/>
      <c r="E127" s="252"/>
      <c r="F127" s="252"/>
      <c r="G127" s="253"/>
      <c r="H127" s="254"/>
      <c r="I127" s="255">
        <f t="shared" ref="I127:N127" si="8">SUM(I10:I126)</f>
        <v>0</v>
      </c>
      <c r="J127" s="255">
        <f t="shared" si="8"/>
        <v>0</v>
      </c>
      <c r="K127" s="255">
        <f t="shared" si="8"/>
        <v>0</v>
      </c>
      <c r="L127" s="255">
        <f t="shared" si="8"/>
        <v>0</v>
      </c>
      <c r="M127" s="255">
        <f t="shared" si="8"/>
        <v>0</v>
      </c>
      <c r="N127" s="255">
        <f t="shared" si="8"/>
        <v>0</v>
      </c>
      <c r="O127" s="227"/>
    </row>
    <row r="128" spans="1:15" ht="19.5" customHeight="1" x14ac:dyDescent="0.25">
      <c r="A128" s="252"/>
      <c r="B128" s="252"/>
      <c r="C128" s="252"/>
      <c r="D128" s="256"/>
      <c r="E128" s="256"/>
      <c r="F128" s="256"/>
      <c r="G128" s="257"/>
      <c r="H128" s="258"/>
      <c r="O128" s="227"/>
    </row>
    <row r="129" spans="1:15" ht="19.5" customHeight="1" x14ac:dyDescent="0.25">
      <c r="A129" s="1019" t="s">
        <v>395</v>
      </c>
      <c r="B129" s="1019"/>
      <c r="C129" s="1019"/>
      <c r="D129" s="1019"/>
      <c r="E129" s="1019"/>
      <c r="F129" s="1019"/>
      <c r="G129" s="1019"/>
      <c r="H129" s="259">
        <f>G80+G126</f>
        <v>0</v>
      </c>
      <c r="O129" s="227"/>
    </row>
    <row r="130" spans="1:15" ht="19.5" customHeight="1" x14ac:dyDescent="0.25">
      <c r="A130" s="1020" t="s">
        <v>396</v>
      </c>
      <c r="B130" s="1020"/>
      <c r="C130" s="1020"/>
      <c r="D130" s="1020"/>
      <c r="E130" s="1020"/>
      <c r="F130" s="1020"/>
      <c r="G130" s="260">
        <v>0.15</v>
      </c>
      <c r="H130" s="261">
        <f>H129*G130</f>
        <v>0</v>
      </c>
      <c r="I130" s="132" t="s">
        <v>397</v>
      </c>
      <c r="O130" s="227"/>
    </row>
    <row r="131" spans="1:15" ht="19.5" customHeight="1" x14ac:dyDescent="0.25">
      <c r="A131" s="1020" t="s">
        <v>398</v>
      </c>
      <c r="B131" s="1020"/>
      <c r="C131" s="1020"/>
      <c r="D131" s="1020"/>
      <c r="E131" s="1020"/>
      <c r="F131" s="1020"/>
      <c r="G131" s="262">
        <v>0</v>
      </c>
      <c r="H131" s="261">
        <f>G131*H130</f>
        <v>0</v>
      </c>
      <c r="O131" s="227"/>
    </row>
    <row r="132" spans="1:15" ht="19.5" customHeight="1" x14ac:dyDescent="0.25">
      <c r="A132" s="1020" t="s">
        <v>399</v>
      </c>
      <c r="B132" s="1020"/>
      <c r="C132" s="1020"/>
      <c r="D132" s="1020"/>
      <c r="E132" s="1020"/>
      <c r="F132" s="1020"/>
      <c r="G132" s="262">
        <v>0.19</v>
      </c>
      <c r="H132" s="263">
        <f>(H129+H130+H131)*G132</f>
        <v>0</v>
      </c>
      <c r="I132" s="132" t="s">
        <v>400</v>
      </c>
      <c r="O132" s="227"/>
    </row>
    <row r="133" spans="1:15" ht="19.5" customHeight="1" x14ac:dyDescent="0.25">
      <c r="A133" s="1021" t="s">
        <v>401</v>
      </c>
      <c r="B133" s="1021"/>
      <c r="C133" s="1021"/>
      <c r="D133" s="1021"/>
      <c r="E133" s="1021"/>
      <c r="F133" s="1021"/>
      <c r="G133" s="1021"/>
      <c r="H133" s="264">
        <f>SUM(H129:H132)</f>
        <v>0</v>
      </c>
      <c r="O133" s="227"/>
    </row>
    <row r="134" spans="1:15" ht="19.5" customHeight="1" x14ac:dyDescent="0.25">
      <c r="A134" s="252"/>
      <c r="B134" s="265"/>
      <c r="C134" s="265"/>
      <c r="D134" s="265"/>
      <c r="E134" s="265"/>
      <c r="F134" s="265"/>
      <c r="G134" s="257"/>
      <c r="O134" s="227"/>
    </row>
    <row r="135" spans="1:15" ht="19.5" customHeight="1" x14ac:dyDescent="0.25">
      <c r="A135" s="1022" t="s">
        <v>402</v>
      </c>
      <c r="B135" s="1022"/>
      <c r="C135" s="1022"/>
      <c r="D135" s="1022"/>
      <c r="E135" s="1022"/>
      <c r="F135" s="1022"/>
      <c r="G135" s="257"/>
      <c r="O135" s="227"/>
    </row>
    <row r="136" spans="1:15" ht="29.25" customHeight="1" x14ac:dyDescent="0.25">
      <c r="A136" s="1023" t="s">
        <v>380</v>
      </c>
      <c r="B136" s="1023"/>
      <c r="C136" s="1023"/>
      <c r="D136" s="267" t="s">
        <v>385</v>
      </c>
      <c r="E136" s="268" t="s">
        <v>403</v>
      </c>
      <c r="F136" s="269" t="s">
        <v>404</v>
      </c>
      <c r="G136" s="257"/>
    </row>
    <row r="137" spans="1:15" ht="28.5" customHeight="1" x14ac:dyDescent="0.25">
      <c r="A137" s="1024" t="str">
        <f>A80</f>
        <v>SUBTOTAL PERSONAL (Mano de Obra Calificada + Mano de Obra no Calificada)</v>
      </c>
      <c r="B137" s="1024"/>
      <c r="C137" s="1024"/>
      <c r="D137" s="217">
        <f>G80</f>
        <v>0</v>
      </c>
      <c r="E137" s="270">
        <f>IFERROR(D137/$H$129,0)</f>
        <v>0</v>
      </c>
      <c r="F137" s="271">
        <f>IFERROR(D137/$H$133,0)</f>
        <v>0</v>
      </c>
      <c r="G137" s="257"/>
    </row>
    <row r="138" spans="1:15" ht="19.5" customHeight="1" x14ac:dyDescent="0.25">
      <c r="A138" s="1025" t="str">
        <f>A82</f>
        <v>COSTOS (Diferentes a los costos del personal)</v>
      </c>
      <c r="B138" s="1025"/>
      <c r="C138" s="1025"/>
      <c r="D138" s="217">
        <f>G126</f>
        <v>0</v>
      </c>
      <c r="E138" s="270">
        <f>IFERROR(D138/$H$129,0)</f>
        <v>0</v>
      </c>
      <c r="F138" s="271">
        <f>IFERROR(D138/$H$133,0)</f>
        <v>0</v>
      </c>
      <c r="G138" s="257"/>
    </row>
    <row r="139" spans="1:15" ht="19.5" customHeight="1" x14ac:dyDescent="0.25">
      <c r="A139" s="1025" t="str">
        <f>A130</f>
        <v>Administración</v>
      </c>
      <c r="B139" s="1025"/>
      <c r="C139" s="1025"/>
      <c r="D139" s="272">
        <f>H130</f>
        <v>0</v>
      </c>
      <c r="E139" s="273" t="s">
        <v>405</v>
      </c>
      <c r="F139" s="271">
        <f>IFERROR(D139/$H$133,0)</f>
        <v>0</v>
      </c>
    </row>
    <row r="140" spans="1:15" ht="19.5" customHeight="1" x14ac:dyDescent="0.25">
      <c r="A140" s="1025" t="str">
        <f>A131</f>
        <v>Utilidad</v>
      </c>
      <c r="B140" s="1025"/>
      <c r="C140" s="1025"/>
      <c r="D140" s="274">
        <f>H131</f>
        <v>0</v>
      </c>
      <c r="E140" s="273" t="s">
        <v>405</v>
      </c>
      <c r="F140" s="271">
        <f>IFERROR(D140/$H$133,0)</f>
        <v>0</v>
      </c>
    </row>
    <row r="141" spans="1:15" ht="19.5" customHeight="1" x14ac:dyDescent="0.25">
      <c r="A141" s="1026" t="str">
        <f>A132</f>
        <v>IVA</v>
      </c>
      <c r="B141" s="1026"/>
      <c r="C141" s="1026"/>
      <c r="D141" s="275">
        <f>H132</f>
        <v>0</v>
      </c>
      <c r="E141" s="276" t="s">
        <v>405</v>
      </c>
      <c r="F141" s="277">
        <f>IFERROR(D141/$H$133,0)</f>
        <v>0</v>
      </c>
    </row>
    <row r="142" spans="1:15" ht="19.5" customHeight="1" x14ac:dyDescent="0.25">
      <c r="E142" s="278">
        <f>SUM(E137:E138)</f>
        <v>0</v>
      </c>
      <c r="F142" s="278">
        <f>SUM(F137:F141)</f>
        <v>0</v>
      </c>
    </row>
    <row r="143" spans="1:15" ht="19.5" customHeight="1" x14ac:dyDescent="0.25">
      <c r="E143" s="278"/>
      <c r="F143" s="278"/>
    </row>
    <row r="144" spans="1:15" ht="19.5" customHeight="1" x14ac:dyDescent="0.25">
      <c r="A144" s="1027" t="s">
        <v>406</v>
      </c>
      <c r="B144" s="1027"/>
      <c r="C144" s="1027"/>
      <c r="D144" s="1027"/>
      <c r="E144" s="1027"/>
      <c r="F144" s="1027"/>
      <c r="G144" s="1027"/>
    </row>
    <row r="145" spans="1:7" ht="63" customHeight="1" x14ac:dyDescent="0.25">
      <c r="A145" s="266" t="s">
        <v>407</v>
      </c>
      <c r="B145" s="267" t="s">
        <v>408</v>
      </c>
      <c r="C145" s="267" t="s">
        <v>409</v>
      </c>
      <c r="D145" s="267" t="s">
        <v>410</v>
      </c>
      <c r="E145" s="267" t="s">
        <v>411</v>
      </c>
      <c r="F145" s="267" t="s">
        <v>412</v>
      </c>
      <c r="G145" s="279" t="s">
        <v>404</v>
      </c>
    </row>
    <row r="146" spans="1:7" ht="19.5" customHeight="1" x14ac:dyDescent="0.25">
      <c r="A146" s="222"/>
      <c r="B146" s="247"/>
      <c r="C146" s="247"/>
      <c r="D146" s="247"/>
      <c r="E146" s="280">
        <f t="shared" ref="E146:E165" si="9">SUM(B146:D146)</f>
        <v>0</v>
      </c>
      <c r="F146" s="209"/>
      <c r="G146" s="281">
        <f t="shared" ref="G146:G165" si="10">IFERROR(E146/$H$133,0)</f>
        <v>0</v>
      </c>
    </row>
    <row r="147" spans="1:7" ht="19.5" customHeight="1" x14ac:dyDescent="0.25">
      <c r="A147" s="222"/>
      <c r="B147" s="247"/>
      <c r="C147" s="247"/>
      <c r="D147" s="247"/>
      <c r="E147" s="280">
        <f t="shared" si="9"/>
        <v>0</v>
      </c>
      <c r="F147" s="209"/>
      <c r="G147" s="281">
        <f t="shared" si="10"/>
        <v>0</v>
      </c>
    </row>
    <row r="148" spans="1:7" ht="19.5" customHeight="1" x14ac:dyDescent="0.25">
      <c r="A148" s="222"/>
      <c r="B148" s="247"/>
      <c r="C148" s="247"/>
      <c r="D148" s="247"/>
      <c r="E148" s="280">
        <f t="shared" si="9"/>
        <v>0</v>
      </c>
      <c r="F148" s="209"/>
      <c r="G148" s="281">
        <f t="shared" si="10"/>
        <v>0</v>
      </c>
    </row>
    <row r="149" spans="1:7" ht="19.5" customHeight="1" x14ac:dyDescent="0.25">
      <c r="A149" s="222"/>
      <c r="B149" s="247"/>
      <c r="C149" s="247"/>
      <c r="D149" s="247"/>
      <c r="E149" s="280">
        <f t="shared" si="9"/>
        <v>0</v>
      </c>
      <c r="F149" s="209"/>
      <c r="G149" s="281">
        <f t="shared" si="10"/>
        <v>0</v>
      </c>
    </row>
    <row r="150" spans="1:7" ht="19.5" customHeight="1" x14ac:dyDescent="0.25">
      <c r="A150" s="222"/>
      <c r="B150" s="247"/>
      <c r="C150" s="247"/>
      <c r="D150" s="247"/>
      <c r="E150" s="280">
        <f t="shared" si="9"/>
        <v>0</v>
      </c>
      <c r="F150" s="209"/>
      <c r="G150" s="281">
        <f t="shared" si="10"/>
        <v>0</v>
      </c>
    </row>
    <row r="151" spans="1:7" ht="19.5" customHeight="1" x14ac:dyDescent="0.25">
      <c r="A151" s="222"/>
      <c r="B151" s="247"/>
      <c r="C151" s="247"/>
      <c r="D151" s="247"/>
      <c r="E151" s="280">
        <f t="shared" si="9"/>
        <v>0</v>
      </c>
      <c r="F151" s="209"/>
      <c r="G151" s="281">
        <f t="shared" si="10"/>
        <v>0</v>
      </c>
    </row>
    <row r="152" spans="1:7" ht="19.5" customHeight="1" x14ac:dyDescent="0.25">
      <c r="A152" s="222"/>
      <c r="B152" s="247"/>
      <c r="C152" s="247"/>
      <c r="D152" s="247"/>
      <c r="E152" s="280">
        <f t="shared" si="9"/>
        <v>0</v>
      </c>
      <c r="F152" s="209"/>
      <c r="G152" s="281">
        <f t="shared" si="10"/>
        <v>0</v>
      </c>
    </row>
    <row r="153" spans="1:7" ht="19.5" customHeight="1" x14ac:dyDescent="0.25">
      <c r="A153" s="222"/>
      <c r="B153" s="247"/>
      <c r="C153" s="247"/>
      <c r="D153" s="247"/>
      <c r="E153" s="280">
        <f t="shared" si="9"/>
        <v>0</v>
      </c>
      <c r="F153" s="209"/>
      <c r="G153" s="281">
        <f t="shared" si="10"/>
        <v>0</v>
      </c>
    </row>
    <row r="154" spans="1:7" ht="19.5" customHeight="1" x14ac:dyDescent="0.25">
      <c r="A154" s="222"/>
      <c r="B154" s="247"/>
      <c r="C154" s="247"/>
      <c r="D154" s="247"/>
      <c r="E154" s="280">
        <f t="shared" si="9"/>
        <v>0</v>
      </c>
      <c r="F154" s="209"/>
      <c r="G154" s="281">
        <f t="shared" si="10"/>
        <v>0</v>
      </c>
    </row>
    <row r="155" spans="1:7" ht="19.5" customHeight="1" x14ac:dyDescent="0.25">
      <c r="A155" s="222"/>
      <c r="B155" s="247"/>
      <c r="C155" s="247"/>
      <c r="D155" s="247"/>
      <c r="E155" s="280">
        <f t="shared" si="9"/>
        <v>0</v>
      </c>
      <c r="F155" s="209"/>
      <c r="G155" s="281">
        <f t="shared" si="10"/>
        <v>0</v>
      </c>
    </row>
    <row r="156" spans="1:7" ht="19.5" customHeight="1" x14ac:dyDescent="0.25">
      <c r="A156" s="222"/>
      <c r="B156" s="247"/>
      <c r="C156" s="247"/>
      <c r="D156" s="247"/>
      <c r="E156" s="280">
        <f t="shared" si="9"/>
        <v>0</v>
      </c>
      <c r="F156" s="209"/>
      <c r="G156" s="281">
        <f t="shared" si="10"/>
        <v>0</v>
      </c>
    </row>
    <row r="157" spans="1:7" ht="19.5" customHeight="1" x14ac:dyDescent="0.25">
      <c r="A157" s="222"/>
      <c r="B157" s="247"/>
      <c r="C157" s="247"/>
      <c r="D157" s="247"/>
      <c r="E157" s="280">
        <f t="shared" si="9"/>
        <v>0</v>
      </c>
      <c r="F157" s="209"/>
      <c r="G157" s="281">
        <f t="shared" si="10"/>
        <v>0</v>
      </c>
    </row>
    <row r="158" spans="1:7" ht="19.5" customHeight="1" x14ac:dyDescent="0.25">
      <c r="A158" s="222"/>
      <c r="B158" s="247"/>
      <c r="C158" s="247"/>
      <c r="D158" s="247"/>
      <c r="E158" s="280">
        <f t="shared" si="9"/>
        <v>0</v>
      </c>
      <c r="F158" s="209"/>
      <c r="G158" s="281">
        <f t="shared" si="10"/>
        <v>0</v>
      </c>
    </row>
    <row r="159" spans="1:7" ht="19.5" customHeight="1" x14ac:dyDescent="0.25">
      <c r="A159" s="222"/>
      <c r="B159" s="247"/>
      <c r="C159" s="247"/>
      <c r="D159" s="247"/>
      <c r="E159" s="280">
        <f t="shared" si="9"/>
        <v>0</v>
      </c>
      <c r="F159" s="209"/>
      <c r="G159" s="281">
        <f t="shared" si="10"/>
        <v>0</v>
      </c>
    </row>
    <row r="160" spans="1:7" ht="19.5" customHeight="1" x14ac:dyDescent="0.25">
      <c r="A160" s="222"/>
      <c r="B160" s="247"/>
      <c r="C160" s="247"/>
      <c r="D160" s="247"/>
      <c r="E160" s="280">
        <f t="shared" si="9"/>
        <v>0</v>
      </c>
      <c r="F160" s="209"/>
      <c r="G160" s="281">
        <f t="shared" si="10"/>
        <v>0</v>
      </c>
    </row>
    <row r="161" spans="1:7" ht="19.5" customHeight="1" x14ac:dyDescent="0.25">
      <c r="A161" s="222"/>
      <c r="B161" s="247"/>
      <c r="C161" s="247"/>
      <c r="D161" s="247"/>
      <c r="E161" s="280">
        <f t="shared" si="9"/>
        <v>0</v>
      </c>
      <c r="F161" s="209"/>
      <c r="G161" s="281">
        <f t="shared" si="10"/>
        <v>0</v>
      </c>
    </row>
    <row r="162" spans="1:7" ht="19.5" customHeight="1" x14ac:dyDescent="0.25">
      <c r="A162" s="222"/>
      <c r="B162" s="247"/>
      <c r="C162" s="247"/>
      <c r="D162" s="247"/>
      <c r="E162" s="280">
        <f t="shared" si="9"/>
        <v>0</v>
      </c>
      <c r="F162" s="209"/>
      <c r="G162" s="281">
        <f t="shared" si="10"/>
        <v>0</v>
      </c>
    </row>
    <row r="163" spans="1:7" ht="19.5" customHeight="1" x14ac:dyDescent="0.25">
      <c r="A163" s="222"/>
      <c r="B163" s="247"/>
      <c r="C163" s="247"/>
      <c r="D163" s="247"/>
      <c r="E163" s="280">
        <f t="shared" si="9"/>
        <v>0</v>
      </c>
      <c r="F163" s="209"/>
      <c r="G163" s="281">
        <f t="shared" si="10"/>
        <v>0</v>
      </c>
    </row>
    <row r="164" spans="1:7" ht="19.5" customHeight="1" x14ac:dyDescent="0.25">
      <c r="A164" s="222"/>
      <c r="B164" s="247"/>
      <c r="C164" s="247"/>
      <c r="D164" s="247"/>
      <c r="E164" s="280">
        <f t="shared" si="9"/>
        <v>0</v>
      </c>
      <c r="F164" s="209"/>
      <c r="G164" s="281">
        <f t="shared" si="10"/>
        <v>0</v>
      </c>
    </row>
    <row r="165" spans="1:7" ht="19.5" customHeight="1" x14ac:dyDescent="0.25">
      <c r="A165" s="249"/>
      <c r="B165" s="282"/>
      <c r="C165" s="282"/>
      <c r="D165" s="282"/>
      <c r="E165" s="283">
        <f t="shared" si="9"/>
        <v>0</v>
      </c>
      <c r="F165" s="250"/>
      <c r="G165" s="284">
        <f t="shared" si="10"/>
        <v>0</v>
      </c>
    </row>
    <row r="166" spans="1:7" ht="19.5" customHeight="1" x14ac:dyDescent="0.25">
      <c r="B166" s="285">
        <f>SUM(B146:B165)</f>
        <v>0</v>
      </c>
      <c r="C166" s="285">
        <f>SUM(C146:C165)</f>
        <v>0</v>
      </c>
      <c r="D166" s="285">
        <f>SUM(D146:D165)</f>
        <v>0</v>
      </c>
      <c r="E166" s="285">
        <f>SUM(E146:E165)</f>
        <v>0</v>
      </c>
      <c r="F166" s="286"/>
      <c r="G166" s="287">
        <f>SUM(G146:G165)</f>
        <v>0</v>
      </c>
    </row>
    <row r="167" spans="1:7" ht="19.5" customHeight="1" x14ac:dyDescent="0.25">
      <c r="B167" s="288">
        <f>B166-H129</f>
        <v>0</v>
      </c>
      <c r="C167" s="227">
        <f>C166-(H130+H131)</f>
        <v>0</v>
      </c>
      <c r="D167" s="288">
        <f>D166-H132</f>
        <v>0</v>
      </c>
      <c r="E167" s="288">
        <f>E166-H133</f>
        <v>0</v>
      </c>
    </row>
  </sheetData>
  <sheetProtection algorithmName="SHA-512" hashValue="Nq0snXbza1b8tal8wnKQVbxutkfRV2uQBKG8AEWmksPDj8fFEKgOE5BR+Kpv/xAuoztd2rrXoLuWI0UzAZxxKA==" saltValue="UFHMy3JvJuON/5vrvBd2mA==" spinCount="100000" sheet="1" formatCells="0" formatColumns="0" formatRows="0" insertRows="0" autoFilter="0" pivotTables="0"/>
  <mergeCells count="72">
    <mergeCell ref="A141:C141"/>
    <mergeCell ref="A144:G144"/>
    <mergeCell ref="A136:C136"/>
    <mergeCell ref="A137:C137"/>
    <mergeCell ref="A138:C138"/>
    <mergeCell ref="A139:C139"/>
    <mergeCell ref="A140:C140"/>
    <mergeCell ref="A130:F130"/>
    <mergeCell ref="A131:F131"/>
    <mergeCell ref="A132:F132"/>
    <mergeCell ref="A133:G133"/>
    <mergeCell ref="A135:F135"/>
    <mergeCell ref="A123:C123"/>
    <mergeCell ref="A124:C124"/>
    <mergeCell ref="A125:C125"/>
    <mergeCell ref="A126:F126"/>
    <mergeCell ref="A129:G129"/>
    <mergeCell ref="A118:C118"/>
    <mergeCell ref="A119:C119"/>
    <mergeCell ref="A120:C120"/>
    <mergeCell ref="A121:C121"/>
    <mergeCell ref="A122:C122"/>
    <mergeCell ref="A113:C113"/>
    <mergeCell ref="A114:C114"/>
    <mergeCell ref="A115:C115"/>
    <mergeCell ref="A116:C116"/>
    <mergeCell ref="A117:C117"/>
    <mergeCell ref="A108:C108"/>
    <mergeCell ref="A109:C109"/>
    <mergeCell ref="A110:C110"/>
    <mergeCell ref="A111:C111"/>
    <mergeCell ref="A112:C112"/>
    <mergeCell ref="A103:C103"/>
    <mergeCell ref="A104:C104"/>
    <mergeCell ref="A105:C105"/>
    <mergeCell ref="A106:C106"/>
    <mergeCell ref="A107:C107"/>
    <mergeCell ref="A98:C98"/>
    <mergeCell ref="A99:C99"/>
    <mergeCell ref="A100:C100"/>
    <mergeCell ref="A101:C101"/>
    <mergeCell ref="A102:C102"/>
    <mergeCell ref="A93:C93"/>
    <mergeCell ref="A94:C94"/>
    <mergeCell ref="A95:C95"/>
    <mergeCell ref="A96:C96"/>
    <mergeCell ref="A97:C97"/>
    <mergeCell ref="A88:C88"/>
    <mergeCell ref="A89:C89"/>
    <mergeCell ref="A90:C90"/>
    <mergeCell ref="A91:C91"/>
    <mergeCell ref="A92:C92"/>
    <mergeCell ref="A83:C83"/>
    <mergeCell ref="A84:C84"/>
    <mergeCell ref="A85:C85"/>
    <mergeCell ref="A86:C86"/>
    <mergeCell ref="A87:C87"/>
    <mergeCell ref="A52:F52"/>
    <mergeCell ref="A53:H53"/>
    <mergeCell ref="A79:F79"/>
    <mergeCell ref="A80:F80"/>
    <mergeCell ref="A82:H82"/>
    <mergeCell ref="A6:B6"/>
    <mergeCell ref="C6:N6"/>
    <mergeCell ref="A8:H8"/>
    <mergeCell ref="I8:N8"/>
    <mergeCell ref="A10:H10"/>
    <mergeCell ref="F1:K1"/>
    <mergeCell ref="F2:K2"/>
    <mergeCell ref="A4:H4"/>
    <mergeCell ref="A5:B5"/>
    <mergeCell ref="C5:N5"/>
  </mergeCells>
  <dataValidations count="7">
    <dataValidation allowBlank="1" showInputMessage="1" showErrorMessage="1" prompt="diligencie la dedicación del personal relacionado." sqref="C11:C51 IH11:IH51 SD11:SD51 ABZ11:ABZ51 ALV11:ALV51 AVR11:AVR51 BFN11:BFN51 BPJ11:BPJ51 BZF11:BZF51 CJB11:CJB51 CSX11:CSX51 DCT11:DCT51 DMP11:DMP51 DWL11:DWL51 EGH11:EGH51 EQD11:EQD51 EZZ11:EZZ51 FJV11:FJV51 FTR11:FTR51 GDN11:GDN51 GNJ11:GNJ51 GXF11:GXF51 HHB11:HHB51 HQX11:HQX51 IAT11:IAT51 IKP11:IKP51 IUL11:IUL51 JEH11:JEH51 JOD11:JOD51 JXZ11:JXZ51 KHV11:KHV51 KRR11:KRR51 LBN11:LBN51 LLJ11:LLJ51 LVF11:LVF51 MFB11:MFB51 MOX11:MOX51 MYT11:MYT51 NIP11:NIP51 NSL11:NSL51 OCH11:OCH51 OMD11:OMD51 OVZ11:OVZ51 PFV11:PFV51 PPR11:PPR51 PZN11:PZN51 QJJ11:QJJ51 QTF11:QTF51 RDB11:RDB51 RMX11:RMX51 RWT11:RWT51 SGP11:SGP51 SQL11:SQL51 TAH11:TAH51 TKD11:TKD51 TTZ11:TTZ51 UDV11:UDV51 UNR11:UNR51 UXN11:UXN51 VHJ11:VHJ51 VRF11:VRF51 WBB11:WBB51 WKX11:WKX51 WUT11:WUT51 C54:C78 IH54:IH78 SD54:SD78 ABZ54:ABZ78 ALV54:ALV78 AVR54:AVR78 BFN54:BFN78 BPJ54:BPJ78 BZF54:BZF78 CJB54:CJB78 CSX54:CSX78 DCT54:DCT78 DMP54:DMP78 DWL54:DWL78 EGH54:EGH78 EQD54:EQD78 EZZ54:EZZ78 FJV54:FJV78 FTR54:FTR78 GDN54:GDN78 GNJ54:GNJ78 GXF54:GXF78 HHB54:HHB78 HQX54:HQX78 IAT54:IAT78 IKP54:IKP78 IUL54:IUL78 JEH54:JEH78 JOD54:JOD78 JXZ54:JXZ78 KHV54:KHV78 KRR54:KRR78 LBN54:LBN78 LLJ54:LLJ78 LVF54:LVF78 MFB54:MFB78 MOX54:MOX78 MYT54:MYT78 NIP54:NIP78 NSL54:NSL78 OCH54:OCH78 OMD54:OMD78 OVZ54:OVZ78 PFV54:PFV78 PPR54:PPR78 PZN54:PZN78 QJJ54:QJJ78 QTF54:QTF78 RDB54:RDB78 RMX54:RMX78 RWT54:RWT78 SGP54:SGP78 SQL54:SQL78 TAH54:TAH78 TKD54:TKD78 TTZ54:TTZ78 UDV54:UDV78 UNR54:UNR78 UXN54:UXN78 VHJ54:VHJ78 VRF54:VRF78 WBB54:WBB78 WKX54:WKX78 WUT54:WUT78" xr:uid="{00000000-0002-0000-0300-000000000000}">
      <formula1>0</formula1>
      <formula2>0</formula2>
    </dataValidation>
    <dataValidation allowBlank="1" showInputMessage="1" showErrorMessage="1" prompt="ingrese el valor del Factor Prestacional asignado para el personal." sqref="F11:F51 IL11:IL51 SH11:SH51 ACD11:ACD51 ALZ11:ALZ51 AVV11:AVV51 BFR11:BFR51 BPN11:BPN51 BZJ11:BZJ51 CJF11:CJF51 CTB11:CTB51 DCX11:DCX51 DMT11:DMT51 DWP11:DWP51 EGL11:EGL51 EQH11:EQH51 FAD11:FAD51 FJZ11:FJZ51 FTV11:FTV51 GDR11:GDR51 GNN11:GNN51 GXJ11:GXJ51 HHF11:HHF51 HRB11:HRB51 IAX11:IAX51 IKT11:IKT51 IUP11:IUP51 JEL11:JEL51 JOH11:JOH51 JYD11:JYD51 KHZ11:KHZ51 KRV11:KRV51 LBR11:LBR51 LLN11:LLN51 LVJ11:LVJ51 MFF11:MFF51 MPB11:MPB51 MYX11:MYX51 NIT11:NIT51 NSP11:NSP51 OCL11:OCL51 OMH11:OMH51 OWD11:OWD51 PFZ11:PFZ51 PPV11:PPV51 PZR11:PZR51 QJN11:QJN51 QTJ11:QTJ51 RDF11:RDF51 RNB11:RNB51 RWX11:RWX51 SGT11:SGT51 SQP11:SQP51 TAL11:TAL51 TKH11:TKH51 TUD11:TUD51 UDZ11:UDZ51 UNV11:UNV51 UXR11:UXR51 VHN11:VHN51 VRJ11:VRJ51 WBF11:WBF51 WLB11:WLB51 WUX11:WUX51 F54:F78 IL54:IL78 SH54:SH78 ACD54:ACD78 ALZ54:ALZ78 AVV54:AVV78 BFR54:BFR78 BPN54:BPN78 BZJ54:BZJ78 CJF54:CJF78 CTB54:CTB78 DCX54:DCX78 DMT54:DMT78 DWP54:DWP78 EGL54:EGL78 EQH54:EQH78 FAD54:FAD78 FJZ54:FJZ78 FTV54:FTV78 GDR54:GDR78 GNN54:GNN78 GXJ54:GXJ78 HHF54:HHF78 HRB54:HRB78 IAX54:IAX78 IKT54:IKT78 IUP54:IUP78 JEL54:JEL78 JOH54:JOH78 JYD54:JYD78 KHZ54:KHZ78 KRV54:KRV78 LBR54:LBR78 LLN54:LLN78 LVJ54:LVJ78 MFF54:MFF78 MPB54:MPB78 MYX54:MYX78 NIT54:NIT78 NSP54:NSP78 OCL54:OCL78 OMH54:OMH78 OWD54:OWD78 PFZ54:PFZ78 PPV54:PPV78 PZR54:PZR78 QJN54:QJN78 QTJ54:QTJ78 RDF54:RDF78 RNB54:RNB78 RWX54:RWX78 SGT54:SGT78 SQP54:SQP78 TAL54:TAL78 TKH54:TKH78 TUD54:TUD78 UDZ54:UDZ78 UNV54:UNV78 UXR54:UXR78 VHN54:VHN78 VRJ54:VRJ78 WBF54:WBF78 WLB54:WLB78 WUX54:WUX78" xr:uid="{00000000-0002-0000-0300-000001000000}">
      <formula1>0</formula1>
      <formula2>0</formula2>
    </dataValidation>
    <dataValidation allowBlank="1" showInputMessage="1" showErrorMessage="1" prompt="traer el valor definido en la hoja &quot;honorarios Corporativos&quot;" sqref="IK11:IK51 SG11:SG51 ACC11:ACC51 ALY11:ALY51 AVU11:AVU51 BFQ11:BFQ51 BPM11:BPM51 BZI11:BZI51 CJE11:CJE51 CTA11:CTA51 DCW11:DCW51 DMS11:DMS51 DWO11:DWO51 EGK11:EGK51 EQG11:EQG51 FAC11:FAC51 FJY11:FJY51 FTU11:FTU51 GDQ11:GDQ51 GNM11:GNM51 GXI11:GXI51 HHE11:HHE51 HRA11:HRA51 IAW11:IAW51 IKS11:IKS51 IUO11:IUO51 JEK11:JEK51 JOG11:JOG51 JYC11:JYC51 KHY11:KHY51 KRU11:KRU51 LBQ11:LBQ51 LLM11:LLM51 LVI11:LVI51 MFE11:MFE51 MPA11:MPA51 MYW11:MYW51 NIS11:NIS51 NSO11:NSO51 OCK11:OCK51 OMG11:OMG51 OWC11:OWC51 PFY11:PFY51 PPU11:PPU51 PZQ11:PZQ51 QJM11:QJM51 QTI11:QTI51 RDE11:RDE51 RNA11:RNA51 RWW11:RWW51 SGS11:SGS51 SQO11:SQO51 TAK11:TAK51 TKG11:TKG51 TUC11:TUC51 UDY11:UDY51 UNU11:UNU51 UXQ11:UXQ51 VHM11:VHM51 VRI11:VRI51 WBE11:WBE51 WLA11:WLA51 WUW11:WUW51 E28:E51 E54:E78 IK54:IK78 SG54:SG78 ACC54:ACC78 ALY54:ALY78 AVU54:AVU78 BFQ54:BFQ78 BPM54:BPM78 BZI54:BZI78 CJE54:CJE78 CTA54:CTA78 DCW54:DCW78 DMS54:DMS78 DWO54:DWO78 EGK54:EGK78 EQG54:EQG78 FAC54:FAC78 FJY54:FJY78 FTU54:FTU78 GDQ54:GDQ78 GNM54:GNM78 GXI54:GXI78 HHE54:HHE78 HRA54:HRA78 IAW54:IAW78 IKS54:IKS78 IUO54:IUO78 JEK54:JEK78 JOG54:JOG78 JYC54:JYC78 KHY54:KHY78 KRU54:KRU78 LBQ54:LBQ78 LLM54:LLM78 LVI54:LVI78 MFE54:MFE78 MPA54:MPA78 MYW54:MYW78 NIS54:NIS78 NSO54:NSO78 OCK54:OCK78 OMG54:OMG78 OWC54:OWC78 PFY54:PFY78 PPU54:PPU78 PZQ54:PZQ78 QJM54:QJM78 QTI54:QTI78 RDE54:RDE78 RNA54:RNA78 RWW54:RWW78 SGS54:SGS78 SQO54:SQO78 TAK54:TAK78 TKG54:TKG78 TUC54:TUC78 UDY54:UDY78 UNU54:UNU78 UXQ54:UXQ78 VHM54:VHM78 VRI54:VRI78 WBE54:WBE78 WLA54:WLA78 WUW54:WUW78" xr:uid="{00000000-0002-0000-0300-000002000000}">
      <formula1>0</formula1>
      <formula2>0</formula2>
    </dataValidation>
    <dataValidation allowBlank="1" showInputMessage="1" showErrorMessage="1" prompt="diligencie la cantidad de unidad de medida del valor unitario" sqref="E11:E27 IJ11:IJ51 SF11:SF51 ACB11:ACB51 ALX11:ALX51 AVT11:AVT51 BFP11:BFP51 BPL11:BPL51 BZH11:BZH51 CJD11:CJD51 CSZ11:CSZ51 DCV11:DCV51 DMR11:DMR51 DWN11:DWN51 EGJ11:EGJ51 EQF11:EQF51 FAB11:FAB51 FJX11:FJX51 FTT11:FTT51 GDP11:GDP51 GNL11:GNL51 GXH11:GXH51 HHD11:HHD51 HQZ11:HQZ51 IAV11:IAV51 IKR11:IKR51 IUN11:IUN51 JEJ11:JEJ51 JOF11:JOF51 JYB11:JYB51 KHX11:KHX51 KRT11:KRT51 LBP11:LBP51 LLL11:LLL51 LVH11:LVH51 MFD11:MFD51 MOZ11:MOZ51 MYV11:MYV51 NIR11:NIR51 NSN11:NSN51 OCJ11:OCJ51 OMF11:OMF51 OWB11:OWB51 PFX11:PFX51 PPT11:PPT51 PZP11:PZP51 QJL11:QJL51 QTH11:QTH51 RDD11:RDD51 RMZ11:RMZ51 RWV11:RWV51 SGR11:SGR51 SQN11:SQN51 TAJ11:TAJ51 TKF11:TKF51 TUB11:TUB51 UDX11:UDX51 UNT11:UNT51 UXP11:UXP51 VHL11:VHL51 VRH11:VRH51 WBD11:WBD51 WKZ11:WKZ51 WUV11:WUV51 IJ54:IJ78 SF54:SF78 ACB54:ACB78 ALX54:ALX78 AVT54:AVT78 BFP54:BFP78 BPL54:BPL78 BZH54:BZH78 CJD54:CJD78 CSZ54:CSZ78 DCV54:DCV78 DMR54:DMR78 DWN54:DWN78 EGJ54:EGJ78 EQF54:EQF78 FAB54:FAB78 FJX54:FJX78 FTT54:FTT78 GDP54:GDP78 GNL54:GNL78 GXH54:GXH78 HHD54:HHD78 HQZ54:HQZ78 IAV54:IAV78 IKR54:IKR78 IUN54:IUN78 JEJ54:JEJ78 JOF54:JOF78 JYB54:JYB78 KHX54:KHX78 KRT54:KRT78 LBP54:LBP78 LLL54:LLL78 LVH54:LVH78 MFD54:MFD78 MOZ54:MOZ78 MYV54:MYV78 NIR54:NIR78 NSN54:NSN78 OCJ54:OCJ78 OMF54:OMF78 OWB54:OWB78 PFX54:PFX78 PPT54:PPT78 PZP54:PZP78 QJL54:QJL78 QTH54:QTH78 RDD54:RDD78 RMZ54:RMZ78 RWV54:RWV78 SGR54:SGR78 SQN54:SQN78 TAJ54:TAJ78 TKF54:TKF78 TUB54:TUB78 UDX54:UDX78 UNT54:UNT78 UXP54:UXP78 VHL54:VHL78 VRH54:VRH78 WBD54:WBD78 WKZ54:WKZ78 WUV54:WUV78" xr:uid="{00000000-0002-0000-0300-000003000000}">
      <formula1>0</formula1>
      <formula2>0</formula2>
    </dataValidation>
    <dataValidation allowBlank="1" showInputMessage="1" showErrorMessage="1" prompt="definir la unidad de medida con la cual se asigna el valor unitario." sqref="D11:D51 II11:II51 SE11:SE51 ACA11:ACA51 ALW11:ALW51 AVS11:AVS51 BFO11:BFO51 BPK11:BPK51 BZG11:BZG51 CJC11:CJC51 CSY11:CSY51 DCU11:DCU51 DMQ11:DMQ51 DWM11:DWM51 EGI11:EGI51 EQE11:EQE51 FAA11:FAA51 FJW11:FJW51 FTS11:FTS51 GDO11:GDO51 GNK11:GNK51 GXG11:GXG51 HHC11:HHC51 HQY11:HQY51 IAU11:IAU51 IKQ11:IKQ51 IUM11:IUM51 JEI11:JEI51 JOE11:JOE51 JYA11:JYA51 KHW11:KHW51 KRS11:KRS51 LBO11:LBO51 LLK11:LLK51 LVG11:LVG51 MFC11:MFC51 MOY11:MOY51 MYU11:MYU51 NIQ11:NIQ51 NSM11:NSM51 OCI11:OCI51 OME11:OME51 OWA11:OWA51 PFW11:PFW51 PPS11:PPS51 PZO11:PZO51 QJK11:QJK51 QTG11:QTG51 RDC11:RDC51 RMY11:RMY51 RWU11:RWU51 SGQ11:SGQ51 SQM11:SQM51 TAI11:TAI51 TKE11:TKE51 TUA11:TUA51 UDW11:UDW51 UNS11:UNS51 UXO11:UXO51 VHK11:VHK51 VRG11:VRG51 WBC11:WBC51 WKY11:WKY51 WUU11:WUU51 D54:D78 II54:II78 SE54:SE78 ACA54:ACA78 ALW54:ALW78 AVS54:AVS78 BFO54:BFO78 BPK54:BPK78 BZG54:BZG78 CJC54:CJC78 CSY54:CSY78 DCU54:DCU78 DMQ54:DMQ78 DWM54:DWM78 EGI54:EGI78 EQE54:EQE78 FAA54:FAA78 FJW54:FJW78 FTS54:FTS78 GDO54:GDO78 GNK54:GNK78 GXG54:GXG78 HHC54:HHC78 HQY54:HQY78 IAU54:IAU78 IKQ54:IKQ78 IUM54:IUM78 JEI54:JEI78 JOE54:JOE78 JYA54:JYA78 KHW54:KHW78 KRS54:KRS78 LBO54:LBO78 LLK54:LLK78 LVG54:LVG78 MFC54:MFC78 MOY54:MOY78 MYU54:MYU78 NIQ54:NIQ78 NSM54:NSM78 OCI54:OCI78 OME54:OME78 OWA54:OWA78 PFW54:PFW78 PPS54:PPS78 PZO54:PZO78 QJK54:QJK78 QTG54:QTG78 RDC54:RDC78 RMY54:RMY78 RWU54:RWU78 SGQ54:SGQ78 SQM54:SQM78 TAI54:TAI78 TKE54:TKE78 TUA54:TUA78 UDW54:UDW78 UNS54:UNS78 UXO54:UXO78 VHK54:VHK78 VRG54:VRG78 WBC54:WBC78 WKY54:WKY78 WUU54:WUU78" xr:uid="{00000000-0002-0000-0300-000004000000}">
      <formula1>0</formula1>
      <formula2>0</formula2>
    </dataValidation>
    <dataValidation allowBlank="1" showInputMessage="1" showErrorMessage="1" prompt="diligencie la cantidad del personal requerido" sqref="B11:B51 IG11:IG51 SC11:SC51 ABY11:ABY51 ALU11:ALU51 AVQ11:AVQ51 BFM11:BFM51 BPI11:BPI51 BZE11:BZE51 CJA11:CJA51 CSW11:CSW51 DCS11:DCS51 DMO11:DMO51 DWK11:DWK51 EGG11:EGG51 EQC11:EQC51 EZY11:EZY51 FJU11:FJU51 FTQ11:FTQ51 GDM11:GDM51 GNI11:GNI51 GXE11:GXE51 HHA11:HHA51 HQW11:HQW51 IAS11:IAS51 IKO11:IKO51 IUK11:IUK51 JEG11:JEG51 JOC11:JOC51 JXY11:JXY51 KHU11:KHU51 KRQ11:KRQ51 LBM11:LBM51 LLI11:LLI51 LVE11:LVE51 MFA11:MFA51 MOW11:MOW51 MYS11:MYS51 NIO11:NIO51 NSK11:NSK51 OCG11:OCG51 OMC11:OMC51 OVY11:OVY51 PFU11:PFU51 PPQ11:PPQ51 PZM11:PZM51 QJI11:QJI51 QTE11:QTE51 RDA11:RDA51 RMW11:RMW51 RWS11:RWS51 SGO11:SGO51 SQK11:SQK51 TAG11:TAG51 TKC11:TKC51 TTY11:TTY51 UDU11:UDU51 UNQ11:UNQ51 UXM11:UXM51 VHI11:VHI51 VRE11:VRE51 WBA11:WBA51 WKW11:WKW51 WUS11:WUS51 B54:B78 IG54:IG78 SC54:SC78 ABY54:ABY78 ALU54:ALU78 AVQ54:AVQ78 BFM54:BFM78 BPI54:BPI78 BZE54:BZE78 CJA54:CJA78 CSW54:CSW78 DCS54:DCS78 DMO54:DMO78 DWK54:DWK78 EGG54:EGG78 EQC54:EQC78 EZY54:EZY78 FJU54:FJU78 FTQ54:FTQ78 GDM54:GDM78 GNI54:GNI78 GXE54:GXE78 HHA54:HHA78 HQW54:HQW78 IAS54:IAS78 IKO54:IKO78 IUK54:IUK78 JEG54:JEG78 JOC54:JOC78 JXY54:JXY78 KHU54:KHU78 KRQ54:KRQ78 LBM54:LBM78 LLI54:LLI78 LVE54:LVE78 MFA54:MFA78 MOW54:MOW78 MYS54:MYS78 NIO54:NIO78 NSK54:NSK78 OCG54:OCG78 OMC54:OMC78 OVY54:OVY78 PFU54:PFU78 PPQ54:PPQ78 PZM54:PZM78 QJI54:QJI78 QTE54:QTE78 RDA54:RDA78 RMW54:RMW78 RWS54:RWS78 SGO54:SGO78 SQK54:SQK78 TAG54:TAG78 TKC54:TKC78 TTY54:TTY78 UDU54:UDU78 UNQ54:UNQ78 UXM54:UXM78 VHI54:VHI78 VRE54:VRE78 WBA54:WBA78 WKW54:WKW78 WUS54:WUS78" xr:uid="{00000000-0002-0000-0300-000005000000}">
      <formula1>0</formula1>
      <formula2>0</formula2>
    </dataValidation>
    <dataValidation type="list" allowBlank="1" showInputMessage="1" showErrorMessage="1" sqref="F146:F165" xr:uid="{00000000-0002-0000-0300-000006000000}">
      <formula1>"Si,No"</formula1>
      <formula2>0</formula2>
    </dataValidation>
  </dataValidations>
  <hyperlinks>
    <hyperlink ref="I130" location="gtosadm" display="Gastos de administración" xr:uid="{00000000-0004-0000-0300-000000000000}"/>
    <hyperlink ref="I132" location="IVA!A1" display="Info IVA" xr:uid="{00000000-0004-0000-0300-000001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7000000}">
          <x14:formula1>
            <xm:f>Honorarios!$A$8:$A$14</xm:f>
          </x14:formula1>
          <x14:formula2>
            <xm:f>0</xm:f>
          </x14:formula2>
          <xm:sqref>A11:A34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13"/>
  <sheetViews>
    <sheetView showGridLines="0" topLeftCell="A2" zoomScaleNormal="100" workbookViewId="0">
      <selection activeCell="F9" sqref="F9"/>
    </sheetView>
  </sheetViews>
  <sheetFormatPr baseColWidth="10" defaultColWidth="15.109375" defaultRowHeight="19.5" customHeight="1" x14ac:dyDescent="0.25"/>
  <cols>
    <col min="1" max="1" width="31" style="135" customWidth="1"/>
    <col min="2" max="2" width="20.33203125" style="135" customWidth="1"/>
    <col min="3" max="3" width="17.109375" style="135" customWidth="1"/>
    <col min="4" max="4" width="18.33203125" style="135" customWidth="1"/>
    <col min="5" max="5" width="15.109375" style="135"/>
    <col min="6" max="6" width="22" style="135" customWidth="1"/>
    <col min="7" max="7" width="12.109375" style="135" customWidth="1"/>
    <col min="8" max="230" width="15.109375" style="135"/>
    <col min="231" max="231" width="2.77734375" style="135" customWidth="1"/>
    <col min="232" max="232" width="26.33203125" style="135" customWidth="1"/>
    <col min="233" max="233" width="11.77734375" style="135" customWidth="1"/>
    <col min="234" max="234" width="17.6640625" style="135" customWidth="1"/>
    <col min="235" max="236" width="12.77734375" style="135" customWidth="1"/>
    <col min="237" max="237" width="15.109375" style="135"/>
    <col min="238" max="238" width="17.6640625" style="135" customWidth="1"/>
    <col min="239" max="239" width="15.33203125" style="135" customWidth="1"/>
    <col min="240" max="486" width="15.109375" style="135"/>
    <col min="487" max="487" width="2.77734375" style="135" customWidth="1"/>
    <col min="488" max="488" width="26.33203125" style="135" customWidth="1"/>
    <col min="489" max="489" width="11.77734375" style="135" customWidth="1"/>
    <col min="490" max="490" width="17.6640625" style="135" customWidth="1"/>
    <col min="491" max="492" width="12.77734375" style="135" customWidth="1"/>
    <col min="493" max="493" width="15.109375" style="135"/>
    <col min="494" max="494" width="17.6640625" style="135" customWidth="1"/>
    <col min="495" max="495" width="15.33203125" style="135" customWidth="1"/>
    <col min="496" max="742" width="15.109375" style="135"/>
    <col min="743" max="743" width="2.77734375" style="135" customWidth="1"/>
    <col min="744" max="744" width="26.33203125" style="135" customWidth="1"/>
    <col min="745" max="745" width="11.77734375" style="135" customWidth="1"/>
    <col min="746" max="746" width="17.6640625" style="135" customWidth="1"/>
    <col min="747" max="748" width="12.77734375" style="135" customWidth="1"/>
    <col min="749" max="749" width="15.109375" style="135"/>
    <col min="750" max="750" width="17.6640625" style="135" customWidth="1"/>
    <col min="751" max="751" width="15.33203125" style="135" customWidth="1"/>
    <col min="752" max="998" width="15.109375" style="135"/>
    <col min="999" max="999" width="2.77734375" style="135" customWidth="1"/>
    <col min="1000" max="1000" width="26.33203125" style="135" customWidth="1"/>
    <col min="1001" max="1001" width="11.77734375" style="135" customWidth="1"/>
    <col min="1002" max="1002" width="17.6640625" style="135" customWidth="1"/>
    <col min="1003" max="1004" width="12.77734375" style="135" customWidth="1"/>
    <col min="1005" max="1005" width="15.109375" style="135"/>
    <col min="1006" max="1006" width="17.6640625" style="135" customWidth="1"/>
    <col min="1007" max="1007" width="15.33203125" style="135" customWidth="1"/>
    <col min="1008" max="1254" width="15.109375" style="135"/>
    <col min="1255" max="1255" width="2.77734375" style="135" customWidth="1"/>
    <col min="1256" max="1256" width="26.33203125" style="135" customWidth="1"/>
    <col min="1257" max="1257" width="11.77734375" style="135" customWidth="1"/>
    <col min="1258" max="1258" width="17.6640625" style="135" customWidth="1"/>
    <col min="1259" max="1260" width="12.77734375" style="135" customWidth="1"/>
    <col min="1261" max="1261" width="15.109375" style="135"/>
    <col min="1262" max="1262" width="17.6640625" style="135" customWidth="1"/>
    <col min="1263" max="1263" width="15.33203125" style="135" customWidth="1"/>
    <col min="1264" max="1510" width="15.109375" style="135"/>
    <col min="1511" max="1511" width="2.77734375" style="135" customWidth="1"/>
    <col min="1512" max="1512" width="26.33203125" style="135" customWidth="1"/>
    <col min="1513" max="1513" width="11.77734375" style="135" customWidth="1"/>
    <col min="1514" max="1514" width="17.6640625" style="135" customWidth="1"/>
    <col min="1515" max="1516" width="12.77734375" style="135" customWidth="1"/>
    <col min="1517" max="1517" width="15.109375" style="135"/>
    <col min="1518" max="1518" width="17.6640625" style="135" customWidth="1"/>
    <col min="1519" max="1519" width="15.33203125" style="135" customWidth="1"/>
    <col min="1520" max="1766" width="15.109375" style="135"/>
    <col min="1767" max="1767" width="2.77734375" style="135" customWidth="1"/>
    <col min="1768" max="1768" width="26.33203125" style="135" customWidth="1"/>
    <col min="1769" max="1769" width="11.77734375" style="135" customWidth="1"/>
    <col min="1770" max="1770" width="17.6640625" style="135" customWidth="1"/>
    <col min="1771" max="1772" width="12.77734375" style="135" customWidth="1"/>
    <col min="1773" max="1773" width="15.109375" style="135"/>
    <col min="1774" max="1774" width="17.6640625" style="135" customWidth="1"/>
    <col min="1775" max="1775" width="15.33203125" style="135" customWidth="1"/>
    <col min="1776" max="2022" width="15.109375" style="135"/>
    <col min="2023" max="2023" width="2.77734375" style="135" customWidth="1"/>
    <col min="2024" max="2024" width="26.33203125" style="135" customWidth="1"/>
    <col min="2025" max="2025" width="11.77734375" style="135" customWidth="1"/>
    <col min="2026" max="2026" width="17.6640625" style="135" customWidth="1"/>
    <col min="2027" max="2028" width="12.77734375" style="135" customWidth="1"/>
    <col min="2029" max="2029" width="15.109375" style="135"/>
    <col min="2030" max="2030" width="17.6640625" style="135" customWidth="1"/>
    <col min="2031" max="2031" width="15.33203125" style="135" customWidth="1"/>
    <col min="2032" max="2278" width="15.109375" style="135"/>
    <col min="2279" max="2279" width="2.77734375" style="135" customWidth="1"/>
    <col min="2280" max="2280" width="26.33203125" style="135" customWidth="1"/>
    <col min="2281" max="2281" width="11.77734375" style="135" customWidth="1"/>
    <col min="2282" max="2282" width="17.6640625" style="135" customWidth="1"/>
    <col min="2283" max="2284" width="12.77734375" style="135" customWidth="1"/>
    <col min="2285" max="2285" width="15.109375" style="135"/>
    <col min="2286" max="2286" width="17.6640625" style="135" customWidth="1"/>
    <col min="2287" max="2287" width="15.33203125" style="135" customWidth="1"/>
    <col min="2288" max="2534" width="15.109375" style="135"/>
    <col min="2535" max="2535" width="2.77734375" style="135" customWidth="1"/>
    <col min="2536" max="2536" width="26.33203125" style="135" customWidth="1"/>
    <col min="2537" max="2537" width="11.77734375" style="135" customWidth="1"/>
    <col min="2538" max="2538" width="17.6640625" style="135" customWidth="1"/>
    <col min="2539" max="2540" width="12.77734375" style="135" customWidth="1"/>
    <col min="2541" max="2541" width="15.109375" style="135"/>
    <col min="2542" max="2542" width="17.6640625" style="135" customWidth="1"/>
    <col min="2543" max="2543" width="15.33203125" style="135" customWidth="1"/>
    <col min="2544" max="2790" width="15.109375" style="135"/>
    <col min="2791" max="2791" width="2.77734375" style="135" customWidth="1"/>
    <col min="2792" max="2792" width="26.33203125" style="135" customWidth="1"/>
    <col min="2793" max="2793" width="11.77734375" style="135" customWidth="1"/>
    <col min="2794" max="2794" width="17.6640625" style="135" customWidth="1"/>
    <col min="2795" max="2796" width="12.77734375" style="135" customWidth="1"/>
    <col min="2797" max="2797" width="15.109375" style="135"/>
    <col min="2798" max="2798" width="17.6640625" style="135" customWidth="1"/>
    <col min="2799" max="2799" width="15.33203125" style="135" customWidth="1"/>
    <col min="2800" max="3046" width="15.109375" style="135"/>
    <col min="3047" max="3047" width="2.77734375" style="135" customWidth="1"/>
    <col min="3048" max="3048" width="26.33203125" style="135" customWidth="1"/>
    <col min="3049" max="3049" width="11.77734375" style="135" customWidth="1"/>
    <col min="3050" max="3050" width="17.6640625" style="135" customWidth="1"/>
    <col min="3051" max="3052" width="12.77734375" style="135" customWidth="1"/>
    <col min="3053" max="3053" width="15.109375" style="135"/>
    <col min="3054" max="3054" width="17.6640625" style="135" customWidth="1"/>
    <col min="3055" max="3055" width="15.33203125" style="135" customWidth="1"/>
    <col min="3056" max="3302" width="15.109375" style="135"/>
    <col min="3303" max="3303" width="2.77734375" style="135" customWidth="1"/>
    <col min="3304" max="3304" width="26.33203125" style="135" customWidth="1"/>
    <col min="3305" max="3305" width="11.77734375" style="135" customWidth="1"/>
    <col min="3306" max="3306" width="17.6640625" style="135" customWidth="1"/>
    <col min="3307" max="3308" width="12.77734375" style="135" customWidth="1"/>
    <col min="3309" max="3309" width="15.109375" style="135"/>
    <col min="3310" max="3310" width="17.6640625" style="135" customWidth="1"/>
    <col min="3311" max="3311" width="15.33203125" style="135" customWidth="1"/>
    <col min="3312" max="3558" width="15.109375" style="135"/>
    <col min="3559" max="3559" width="2.77734375" style="135" customWidth="1"/>
    <col min="3560" max="3560" width="26.33203125" style="135" customWidth="1"/>
    <col min="3561" max="3561" width="11.77734375" style="135" customWidth="1"/>
    <col min="3562" max="3562" width="17.6640625" style="135" customWidth="1"/>
    <col min="3563" max="3564" width="12.77734375" style="135" customWidth="1"/>
    <col min="3565" max="3565" width="15.109375" style="135"/>
    <col min="3566" max="3566" width="17.6640625" style="135" customWidth="1"/>
    <col min="3567" max="3567" width="15.33203125" style="135" customWidth="1"/>
    <col min="3568" max="3814" width="15.109375" style="135"/>
    <col min="3815" max="3815" width="2.77734375" style="135" customWidth="1"/>
    <col min="3816" max="3816" width="26.33203125" style="135" customWidth="1"/>
    <col min="3817" max="3817" width="11.77734375" style="135" customWidth="1"/>
    <col min="3818" max="3818" width="17.6640625" style="135" customWidth="1"/>
    <col min="3819" max="3820" width="12.77734375" style="135" customWidth="1"/>
    <col min="3821" max="3821" width="15.109375" style="135"/>
    <col min="3822" max="3822" width="17.6640625" style="135" customWidth="1"/>
    <col min="3823" max="3823" width="15.33203125" style="135" customWidth="1"/>
    <col min="3824" max="4070" width="15.109375" style="135"/>
    <col min="4071" max="4071" width="2.77734375" style="135" customWidth="1"/>
    <col min="4072" max="4072" width="26.33203125" style="135" customWidth="1"/>
    <col min="4073" max="4073" width="11.77734375" style="135" customWidth="1"/>
    <col min="4074" max="4074" width="17.6640625" style="135" customWidth="1"/>
    <col min="4075" max="4076" width="12.77734375" style="135" customWidth="1"/>
    <col min="4077" max="4077" width="15.109375" style="135"/>
    <col min="4078" max="4078" width="17.6640625" style="135" customWidth="1"/>
    <col min="4079" max="4079" width="15.33203125" style="135" customWidth="1"/>
    <col min="4080" max="4326" width="15.109375" style="135"/>
    <col min="4327" max="4327" width="2.77734375" style="135" customWidth="1"/>
    <col min="4328" max="4328" width="26.33203125" style="135" customWidth="1"/>
    <col min="4329" max="4329" width="11.77734375" style="135" customWidth="1"/>
    <col min="4330" max="4330" width="17.6640625" style="135" customWidth="1"/>
    <col min="4331" max="4332" width="12.77734375" style="135" customWidth="1"/>
    <col min="4333" max="4333" width="15.109375" style="135"/>
    <col min="4334" max="4334" width="17.6640625" style="135" customWidth="1"/>
    <col min="4335" max="4335" width="15.33203125" style="135" customWidth="1"/>
    <col min="4336" max="4582" width="15.109375" style="135"/>
    <col min="4583" max="4583" width="2.77734375" style="135" customWidth="1"/>
    <col min="4584" max="4584" width="26.33203125" style="135" customWidth="1"/>
    <col min="4585" max="4585" width="11.77734375" style="135" customWidth="1"/>
    <col min="4586" max="4586" width="17.6640625" style="135" customWidth="1"/>
    <col min="4587" max="4588" width="12.77734375" style="135" customWidth="1"/>
    <col min="4589" max="4589" width="15.109375" style="135"/>
    <col min="4590" max="4590" width="17.6640625" style="135" customWidth="1"/>
    <col min="4591" max="4591" width="15.33203125" style="135" customWidth="1"/>
    <col min="4592" max="4838" width="15.109375" style="135"/>
    <col min="4839" max="4839" width="2.77734375" style="135" customWidth="1"/>
    <col min="4840" max="4840" width="26.33203125" style="135" customWidth="1"/>
    <col min="4841" max="4841" width="11.77734375" style="135" customWidth="1"/>
    <col min="4842" max="4842" width="17.6640625" style="135" customWidth="1"/>
    <col min="4843" max="4844" width="12.77734375" style="135" customWidth="1"/>
    <col min="4845" max="4845" width="15.109375" style="135"/>
    <col min="4846" max="4846" width="17.6640625" style="135" customWidth="1"/>
    <col min="4847" max="4847" width="15.33203125" style="135" customWidth="1"/>
    <col min="4848" max="5094" width="15.109375" style="135"/>
    <col min="5095" max="5095" width="2.77734375" style="135" customWidth="1"/>
    <col min="5096" max="5096" width="26.33203125" style="135" customWidth="1"/>
    <col min="5097" max="5097" width="11.77734375" style="135" customWidth="1"/>
    <col min="5098" max="5098" width="17.6640625" style="135" customWidth="1"/>
    <col min="5099" max="5100" width="12.77734375" style="135" customWidth="1"/>
    <col min="5101" max="5101" width="15.109375" style="135"/>
    <col min="5102" max="5102" width="17.6640625" style="135" customWidth="1"/>
    <col min="5103" max="5103" width="15.33203125" style="135" customWidth="1"/>
    <col min="5104" max="5350" width="15.109375" style="135"/>
    <col min="5351" max="5351" width="2.77734375" style="135" customWidth="1"/>
    <col min="5352" max="5352" width="26.33203125" style="135" customWidth="1"/>
    <col min="5353" max="5353" width="11.77734375" style="135" customWidth="1"/>
    <col min="5354" max="5354" width="17.6640625" style="135" customWidth="1"/>
    <col min="5355" max="5356" width="12.77734375" style="135" customWidth="1"/>
    <col min="5357" max="5357" width="15.109375" style="135"/>
    <col min="5358" max="5358" width="17.6640625" style="135" customWidth="1"/>
    <col min="5359" max="5359" width="15.33203125" style="135" customWidth="1"/>
    <col min="5360" max="5606" width="15.109375" style="135"/>
    <col min="5607" max="5607" width="2.77734375" style="135" customWidth="1"/>
    <col min="5608" max="5608" width="26.33203125" style="135" customWidth="1"/>
    <col min="5609" max="5609" width="11.77734375" style="135" customWidth="1"/>
    <col min="5610" max="5610" width="17.6640625" style="135" customWidth="1"/>
    <col min="5611" max="5612" width="12.77734375" style="135" customWidth="1"/>
    <col min="5613" max="5613" width="15.109375" style="135"/>
    <col min="5614" max="5614" width="17.6640625" style="135" customWidth="1"/>
    <col min="5615" max="5615" width="15.33203125" style="135" customWidth="1"/>
    <col min="5616" max="5862" width="15.109375" style="135"/>
    <col min="5863" max="5863" width="2.77734375" style="135" customWidth="1"/>
    <col min="5864" max="5864" width="26.33203125" style="135" customWidth="1"/>
    <col min="5865" max="5865" width="11.77734375" style="135" customWidth="1"/>
    <col min="5866" max="5866" width="17.6640625" style="135" customWidth="1"/>
    <col min="5867" max="5868" width="12.77734375" style="135" customWidth="1"/>
    <col min="5869" max="5869" width="15.109375" style="135"/>
    <col min="5870" max="5870" width="17.6640625" style="135" customWidth="1"/>
    <col min="5871" max="5871" width="15.33203125" style="135" customWidth="1"/>
    <col min="5872" max="6118" width="15.109375" style="135"/>
    <col min="6119" max="6119" width="2.77734375" style="135" customWidth="1"/>
    <col min="6120" max="6120" width="26.33203125" style="135" customWidth="1"/>
    <col min="6121" max="6121" width="11.77734375" style="135" customWidth="1"/>
    <col min="6122" max="6122" width="17.6640625" style="135" customWidth="1"/>
    <col min="6123" max="6124" width="12.77734375" style="135" customWidth="1"/>
    <col min="6125" max="6125" width="15.109375" style="135"/>
    <col min="6126" max="6126" width="17.6640625" style="135" customWidth="1"/>
    <col min="6127" max="6127" width="15.33203125" style="135" customWidth="1"/>
    <col min="6128" max="6374" width="15.109375" style="135"/>
    <col min="6375" max="6375" width="2.77734375" style="135" customWidth="1"/>
    <col min="6376" max="6376" width="26.33203125" style="135" customWidth="1"/>
    <col min="6377" max="6377" width="11.77734375" style="135" customWidth="1"/>
    <col min="6378" max="6378" width="17.6640625" style="135" customWidth="1"/>
    <col min="6379" max="6380" width="12.77734375" style="135" customWidth="1"/>
    <col min="6381" max="6381" width="15.109375" style="135"/>
    <col min="6382" max="6382" width="17.6640625" style="135" customWidth="1"/>
    <col min="6383" max="6383" width="15.33203125" style="135" customWidth="1"/>
    <col min="6384" max="6630" width="15.109375" style="135"/>
    <col min="6631" max="6631" width="2.77734375" style="135" customWidth="1"/>
    <col min="6632" max="6632" width="26.33203125" style="135" customWidth="1"/>
    <col min="6633" max="6633" width="11.77734375" style="135" customWidth="1"/>
    <col min="6634" max="6634" width="17.6640625" style="135" customWidth="1"/>
    <col min="6635" max="6636" width="12.77734375" style="135" customWidth="1"/>
    <col min="6637" max="6637" width="15.109375" style="135"/>
    <col min="6638" max="6638" width="17.6640625" style="135" customWidth="1"/>
    <col min="6639" max="6639" width="15.33203125" style="135" customWidth="1"/>
    <col min="6640" max="6886" width="15.109375" style="135"/>
    <col min="6887" max="6887" width="2.77734375" style="135" customWidth="1"/>
    <col min="6888" max="6888" width="26.33203125" style="135" customWidth="1"/>
    <col min="6889" max="6889" width="11.77734375" style="135" customWidth="1"/>
    <col min="6890" max="6890" width="17.6640625" style="135" customWidth="1"/>
    <col min="6891" max="6892" width="12.77734375" style="135" customWidth="1"/>
    <col min="6893" max="6893" width="15.109375" style="135"/>
    <col min="6894" max="6894" width="17.6640625" style="135" customWidth="1"/>
    <col min="6895" max="6895" width="15.33203125" style="135" customWidth="1"/>
    <col min="6896" max="7142" width="15.109375" style="135"/>
    <col min="7143" max="7143" width="2.77734375" style="135" customWidth="1"/>
    <col min="7144" max="7144" width="26.33203125" style="135" customWidth="1"/>
    <col min="7145" max="7145" width="11.77734375" style="135" customWidth="1"/>
    <col min="7146" max="7146" width="17.6640625" style="135" customWidth="1"/>
    <col min="7147" max="7148" width="12.77734375" style="135" customWidth="1"/>
    <col min="7149" max="7149" width="15.109375" style="135"/>
    <col min="7150" max="7150" width="17.6640625" style="135" customWidth="1"/>
    <col min="7151" max="7151" width="15.33203125" style="135" customWidth="1"/>
    <col min="7152" max="7398" width="15.109375" style="135"/>
    <col min="7399" max="7399" width="2.77734375" style="135" customWidth="1"/>
    <col min="7400" max="7400" width="26.33203125" style="135" customWidth="1"/>
    <col min="7401" max="7401" width="11.77734375" style="135" customWidth="1"/>
    <col min="7402" max="7402" width="17.6640625" style="135" customWidth="1"/>
    <col min="7403" max="7404" width="12.77734375" style="135" customWidth="1"/>
    <col min="7405" max="7405" width="15.109375" style="135"/>
    <col min="7406" max="7406" width="17.6640625" style="135" customWidth="1"/>
    <col min="7407" max="7407" width="15.33203125" style="135" customWidth="1"/>
    <col min="7408" max="7654" width="15.109375" style="135"/>
    <col min="7655" max="7655" width="2.77734375" style="135" customWidth="1"/>
    <col min="7656" max="7656" width="26.33203125" style="135" customWidth="1"/>
    <col min="7657" max="7657" width="11.77734375" style="135" customWidth="1"/>
    <col min="7658" max="7658" width="17.6640625" style="135" customWidth="1"/>
    <col min="7659" max="7660" width="12.77734375" style="135" customWidth="1"/>
    <col min="7661" max="7661" width="15.109375" style="135"/>
    <col min="7662" max="7662" width="17.6640625" style="135" customWidth="1"/>
    <col min="7663" max="7663" width="15.33203125" style="135" customWidth="1"/>
    <col min="7664" max="7910" width="15.109375" style="135"/>
    <col min="7911" max="7911" width="2.77734375" style="135" customWidth="1"/>
    <col min="7912" max="7912" width="26.33203125" style="135" customWidth="1"/>
    <col min="7913" max="7913" width="11.77734375" style="135" customWidth="1"/>
    <col min="7914" max="7914" width="17.6640625" style="135" customWidth="1"/>
    <col min="7915" max="7916" width="12.77734375" style="135" customWidth="1"/>
    <col min="7917" max="7917" width="15.109375" style="135"/>
    <col min="7918" max="7918" width="17.6640625" style="135" customWidth="1"/>
    <col min="7919" max="7919" width="15.33203125" style="135" customWidth="1"/>
    <col min="7920" max="8166" width="15.109375" style="135"/>
    <col min="8167" max="8167" width="2.77734375" style="135" customWidth="1"/>
    <col min="8168" max="8168" width="26.33203125" style="135" customWidth="1"/>
    <col min="8169" max="8169" width="11.77734375" style="135" customWidth="1"/>
    <col min="8170" max="8170" width="17.6640625" style="135" customWidth="1"/>
    <col min="8171" max="8172" width="12.77734375" style="135" customWidth="1"/>
    <col min="8173" max="8173" width="15.109375" style="135"/>
    <col min="8174" max="8174" width="17.6640625" style="135" customWidth="1"/>
    <col min="8175" max="8175" width="15.33203125" style="135" customWidth="1"/>
    <col min="8176" max="8422" width="15.109375" style="135"/>
    <col min="8423" max="8423" width="2.77734375" style="135" customWidth="1"/>
    <col min="8424" max="8424" width="26.33203125" style="135" customWidth="1"/>
    <col min="8425" max="8425" width="11.77734375" style="135" customWidth="1"/>
    <col min="8426" max="8426" width="17.6640625" style="135" customWidth="1"/>
    <col min="8427" max="8428" width="12.77734375" style="135" customWidth="1"/>
    <col min="8429" max="8429" width="15.109375" style="135"/>
    <col min="8430" max="8430" width="17.6640625" style="135" customWidth="1"/>
    <col min="8431" max="8431" width="15.33203125" style="135" customWidth="1"/>
    <col min="8432" max="8678" width="15.109375" style="135"/>
    <col min="8679" max="8679" width="2.77734375" style="135" customWidth="1"/>
    <col min="8680" max="8680" width="26.33203125" style="135" customWidth="1"/>
    <col min="8681" max="8681" width="11.77734375" style="135" customWidth="1"/>
    <col min="8682" max="8682" width="17.6640625" style="135" customWidth="1"/>
    <col min="8683" max="8684" width="12.77734375" style="135" customWidth="1"/>
    <col min="8685" max="8685" width="15.109375" style="135"/>
    <col min="8686" max="8686" width="17.6640625" style="135" customWidth="1"/>
    <col min="8687" max="8687" width="15.33203125" style="135" customWidth="1"/>
    <col min="8688" max="8934" width="15.109375" style="135"/>
    <col min="8935" max="8935" width="2.77734375" style="135" customWidth="1"/>
    <col min="8936" max="8936" width="26.33203125" style="135" customWidth="1"/>
    <col min="8937" max="8937" width="11.77734375" style="135" customWidth="1"/>
    <col min="8938" max="8938" width="17.6640625" style="135" customWidth="1"/>
    <col min="8939" max="8940" width="12.77734375" style="135" customWidth="1"/>
    <col min="8941" max="8941" width="15.109375" style="135"/>
    <col min="8942" max="8942" width="17.6640625" style="135" customWidth="1"/>
    <col min="8943" max="8943" width="15.33203125" style="135" customWidth="1"/>
    <col min="8944" max="9190" width="15.109375" style="135"/>
    <col min="9191" max="9191" width="2.77734375" style="135" customWidth="1"/>
    <col min="9192" max="9192" width="26.33203125" style="135" customWidth="1"/>
    <col min="9193" max="9193" width="11.77734375" style="135" customWidth="1"/>
    <col min="9194" max="9194" width="17.6640625" style="135" customWidth="1"/>
    <col min="9195" max="9196" width="12.77734375" style="135" customWidth="1"/>
    <col min="9197" max="9197" width="15.109375" style="135"/>
    <col min="9198" max="9198" width="17.6640625" style="135" customWidth="1"/>
    <col min="9199" max="9199" width="15.33203125" style="135" customWidth="1"/>
    <col min="9200" max="9446" width="15.109375" style="135"/>
    <col min="9447" max="9447" width="2.77734375" style="135" customWidth="1"/>
    <col min="9448" max="9448" width="26.33203125" style="135" customWidth="1"/>
    <col min="9449" max="9449" width="11.77734375" style="135" customWidth="1"/>
    <col min="9450" max="9450" width="17.6640625" style="135" customWidth="1"/>
    <col min="9451" max="9452" width="12.77734375" style="135" customWidth="1"/>
    <col min="9453" max="9453" width="15.109375" style="135"/>
    <col min="9454" max="9454" width="17.6640625" style="135" customWidth="1"/>
    <col min="9455" max="9455" width="15.33203125" style="135" customWidth="1"/>
    <col min="9456" max="9702" width="15.109375" style="135"/>
    <col min="9703" max="9703" width="2.77734375" style="135" customWidth="1"/>
    <col min="9704" max="9704" width="26.33203125" style="135" customWidth="1"/>
    <col min="9705" max="9705" width="11.77734375" style="135" customWidth="1"/>
    <col min="9706" max="9706" width="17.6640625" style="135" customWidth="1"/>
    <col min="9707" max="9708" width="12.77734375" style="135" customWidth="1"/>
    <col min="9709" max="9709" width="15.109375" style="135"/>
    <col min="9710" max="9710" width="17.6640625" style="135" customWidth="1"/>
    <col min="9711" max="9711" width="15.33203125" style="135" customWidth="1"/>
    <col min="9712" max="9958" width="15.109375" style="135"/>
    <col min="9959" max="9959" width="2.77734375" style="135" customWidth="1"/>
    <col min="9960" max="9960" width="26.33203125" style="135" customWidth="1"/>
    <col min="9961" max="9961" width="11.77734375" style="135" customWidth="1"/>
    <col min="9962" max="9962" width="17.6640625" style="135" customWidth="1"/>
    <col min="9963" max="9964" width="12.77734375" style="135" customWidth="1"/>
    <col min="9965" max="9965" width="15.109375" style="135"/>
    <col min="9966" max="9966" width="17.6640625" style="135" customWidth="1"/>
    <col min="9967" max="9967" width="15.33203125" style="135" customWidth="1"/>
    <col min="9968" max="10214" width="15.109375" style="135"/>
    <col min="10215" max="10215" width="2.77734375" style="135" customWidth="1"/>
    <col min="10216" max="10216" width="26.33203125" style="135" customWidth="1"/>
    <col min="10217" max="10217" width="11.77734375" style="135" customWidth="1"/>
    <col min="10218" max="10218" width="17.6640625" style="135" customWidth="1"/>
    <col min="10219" max="10220" width="12.77734375" style="135" customWidth="1"/>
    <col min="10221" max="10221" width="15.109375" style="135"/>
    <col min="10222" max="10222" width="17.6640625" style="135" customWidth="1"/>
    <col min="10223" max="10223" width="15.33203125" style="135" customWidth="1"/>
    <col min="10224" max="10470" width="15.109375" style="135"/>
    <col min="10471" max="10471" width="2.77734375" style="135" customWidth="1"/>
    <col min="10472" max="10472" width="26.33203125" style="135" customWidth="1"/>
    <col min="10473" max="10473" width="11.77734375" style="135" customWidth="1"/>
    <col min="10474" max="10474" width="17.6640625" style="135" customWidth="1"/>
    <col min="10475" max="10476" width="12.77734375" style="135" customWidth="1"/>
    <col min="10477" max="10477" width="15.109375" style="135"/>
    <col min="10478" max="10478" width="17.6640625" style="135" customWidth="1"/>
    <col min="10479" max="10479" width="15.33203125" style="135" customWidth="1"/>
    <col min="10480" max="10726" width="15.109375" style="135"/>
    <col min="10727" max="10727" width="2.77734375" style="135" customWidth="1"/>
    <col min="10728" max="10728" width="26.33203125" style="135" customWidth="1"/>
    <col min="10729" max="10729" width="11.77734375" style="135" customWidth="1"/>
    <col min="10730" max="10730" width="17.6640625" style="135" customWidth="1"/>
    <col min="10731" max="10732" width="12.77734375" style="135" customWidth="1"/>
    <col min="10733" max="10733" width="15.109375" style="135"/>
    <col min="10734" max="10734" width="17.6640625" style="135" customWidth="1"/>
    <col min="10735" max="10735" width="15.33203125" style="135" customWidth="1"/>
    <col min="10736" max="10982" width="15.109375" style="135"/>
    <col min="10983" max="10983" width="2.77734375" style="135" customWidth="1"/>
    <col min="10984" max="10984" width="26.33203125" style="135" customWidth="1"/>
    <col min="10985" max="10985" width="11.77734375" style="135" customWidth="1"/>
    <col min="10986" max="10986" width="17.6640625" style="135" customWidth="1"/>
    <col min="10987" max="10988" width="12.77734375" style="135" customWidth="1"/>
    <col min="10989" max="10989" width="15.109375" style="135"/>
    <col min="10990" max="10990" width="17.6640625" style="135" customWidth="1"/>
    <col min="10991" max="10991" width="15.33203125" style="135" customWidth="1"/>
    <col min="10992" max="11238" width="15.109375" style="135"/>
    <col min="11239" max="11239" width="2.77734375" style="135" customWidth="1"/>
    <col min="11240" max="11240" width="26.33203125" style="135" customWidth="1"/>
    <col min="11241" max="11241" width="11.77734375" style="135" customWidth="1"/>
    <col min="11242" max="11242" width="17.6640625" style="135" customWidth="1"/>
    <col min="11243" max="11244" width="12.77734375" style="135" customWidth="1"/>
    <col min="11245" max="11245" width="15.109375" style="135"/>
    <col min="11246" max="11246" width="17.6640625" style="135" customWidth="1"/>
    <col min="11247" max="11247" width="15.33203125" style="135" customWidth="1"/>
    <col min="11248" max="11494" width="15.109375" style="135"/>
    <col min="11495" max="11495" width="2.77734375" style="135" customWidth="1"/>
    <col min="11496" max="11496" width="26.33203125" style="135" customWidth="1"/>
    <col min="11497" max="11497" width="11.77734375" style="135" customWidth="1"/>
    <col min="11498" max="11498" width="17.6640625" style="135" customWidth="1"/>
    <col min="11499" max="11500" width="12.77734375" style="135" customWidth="1"/>
    <col min="11501" max="11501" width="15.109375" style="135"/>
    <col min="11502" max="11502" width="17.6640625" style="135" customWidth="1"/>
    <col min="11503" max="11503" width="15.33203125" style="135" customWidth="1"/>
    <col min="11504" max="11750" width="15.109375" style="135"/>
    <col min="11751" max="11751" width="2.77734375" style="135" customWidth="1"/>
    <col min="11752" max="11752" width="26.33203125" style="135" customWidth="1"/>
    <col min="11753" max="11753" width="11.77734375" style="135" customWidth="1"/>
    <col min="11754" max="11754" width="17.6640625" style="135" customWidth="1"/>
    <col min="11755" max="11756" width="12.77734375" style="135" customWidth="1"/>
    <col min="11757" max="11757" width="15.109375" style="135"/>
    <col min="11758" max="11758" width="17.6640625" style="135" customWidth="1"/>
    <col min="11759" max="11759" width="15.33203125" style="135" customWidth="1"/>
    <col min="11760" max="12006" width="15.109375" style="135"/>
    <col min="12007" max="12007" width="2.77734375" style="135" customWidth="1"/>
    <col min="12008" max="12008" width="26.33203125" style="135" customWidth="1"/>
    <col min="12009" max="12009" width="11.77734375" style="135" customWidth="1"/>
    <col min="12010" max="12010" width="17.6640625" style="135" customWidth="1"/>
    <col min="12011" max="12012" width="12.77734375" style="135" customWidth="1"/>
    <col min="12013" max="12013" width="15.109375" style="135"/>
    <col min="12014" max="12014" width="17.6640625" style="135" customWidth="1"/>
    <col min="12015" max="12015" width="15.33203125" style="135" customWidth="1"/>
    <col min="12016" max="12262" width="15.109375" style="135"/>
    <col min="12263" max="12263" width="2.77734375" style="135" customWidth="1"/>
    <col min="12264" max="12264" width="26.33203125" style="135" customWidth="1"/>
    <col min="12265" max="12265" width="11.77734375" style="135" customWidth="1"/>
    <col min="12266" max="12266" width="17.6640625" style="135" customWidth="1"/>
    <col min="12267" max="12268" width="12.77734375" style="135" customWidth="1"/>
    <col min="12269" max="12269" width="15.109375" style="135"/>
    <col min="12270" max="12270" width="17.6640625" style="135" customWidth="1"/>
    <col min="12271" max="12271" width="15.33203125" style="135" customWidth="1"/>
    <col min="12272" max="12518" width="15.109375" style="135"/>
    <col min="12519" max="12519" width="2.77734375" style="135" customWidth="1"/>
    <col min="12520" max="12520" width="26.33203125" style="135" customWidth="1"/>
    <col min="12521" max="12521" width="11.77734375" style="135" customWidth="1"/>
    <col min="12522" max="12522" width="17.6640625" style="135" customWidth="1"/>
    <col min="12523" max="12524" width="12.77734375" style="135" customWidth="1"/>
    <col min="12525" max="12525" width="15.109375" style="135"/>
    <col min="12526" max="12526" width="17.6640625" style="135" customWidth="1"/>
    <col min="12527" max="12527" width="15.33203125" style="135" customWidth="1"/>
    <col min="12528" max="12774" width="15.109375" style="135"/>
    <col min="12775" max="12775" width="2.77734375" style="135" customWidth="1"/>
    <col min="12776" max="12776" width="26.33203125" style="135" customWidth="1"/>
    <col min="12777" max="12777" width="11.77734375" style="135" customWidth="1"/>
    <col min="12778" max="12778" width="17.6640625" style="135" customWidth="1"/>
    <col min="12779" max="12780" width="12.77734375" style="135" customWidth="1"/>
    <col min="12781" max="12781" width="15.109375" style="135"/>
    <col min="12782" max="12782" width="17.6640625" style="135" customWidth="1"/>
    <col min="12783" max="12783" width="15.33203125" style="135" customWidth="1"/>
    <col min="12784" max="13030" width="15.109375" style="135"/>
    <col min="13031" max="13031" width="2.77734375" style="135" customWidth="1"/>
    <col min="13032" max="13032" width="26.33203125" style="135" customWidth="1"/>
    <col min="13033" max="13033" width="11.77734375" style="135" customWidth="1"/>
    <col min="13034" max="13034" width="17.6640625" style="135" customWidth="1"/>
    <col min="13035" max="13036" width="12.77734375" style="135" customWidth="1"/>
    <col min="13037" max="13037" width="15.109375" style="135"/>
    <col min="13038" max="13038" width="17.6640625" style="135" customWidth="1"/>
    <col min="13039" max="13039" width="15.33203125" style="135" customWidth="1"/>
    <col min="13040" max="13286" width="15.109375" style="135"/>
    <col min="13287" max="13287" width="2.77734375" style="135" customWidth="1"/>
    <col min="13288" max="13288" width="26.33203125" style="135" customWidth="1"/>
    <col min="13289" max="13289" width="11.77734375" style="135" customWidth="1"/>
    <col min="13290" max="13290" width="17.6640625" style="135" customWidth="1"/>
    <col min="13291" max="13292" width="12.77734375" style="135" customWidth="1"/>
    <col min="13293" max="13293" width="15.109375" style="135"/>
    <col min="13294" max="13294" width="17.6640625" style="135" customWidth="1"/>
    <col min="13295" max="13295" width="15.33203125" style="135" customWidth="1"/>
    <col min="13296" max="13542" width="15.109375" style="135"/>
    <col min="13543" max="13543" width="2.77734375" style="135" customWidth="1"/>
    <col min="13544" max="13544" width="26.33203125" style="135" customWidth="1"/>
    <col min="13545" max="13545" width="11.77734375" style="135" customWidth="1"/>
    <col min="13546" max="13546" width="17.6640625" style="135" customWidth="1"/>
    <col min="13547" max="13548" width="12.77734375" style="135" customWidth="1"/>
    <col min="13549" max="13549" width="15.109375" style="135"/>
    <col min="13550" max="13550" width="17.6640625" style="135" customWidth="1"/>
    <col min="13551" max="13551" width="15.33203125" style="135" customWidth="1"/>
    <col min="13552" max="13798" width="15.109375" style="135"/>
    <col min="13799" max="13799" width="2.77734375" style="135" customWidth="1"/>
    <col min="13800" max="13800" width="26.33203125" style="135" customWidth="1"/>
    <col min="13801" max="13801" width="11.77734375" style="135" customWidth="1"/>
    <col min="13802" max="13802" width="17.6640625" style="135" customWidth="1"/>
    <col min="13803" max="13804" width="12.77734375" style="135" customWidth="1"/>
    <col min="13805" max="13805" width="15.109375" style="135"/>
    <col min="13806" max="13806" width="17.6640625" style="135" customWidth="1"/>
    <col min="13807" max="13807" width="15.33203125" style="135" customWidth="1"/>
    <col min="13808" max="14054" width="15.109375" style="135"/>
    <col min="14055" max="14055" width="2.77734375" style="135" customWidth="1"/>
    <col min="14056" max="14056" width="26.33203125" style="135" customWidth="1"/>
    <col min="14057" max="14057" width="11.77734375" style="135" customWidth="1"/>
    <col min="14058" max="14058" width="17.6640625" style="135" customWidth="1"/>
    <col min="14059" max="14060" width="12.77734375" style="135" customWidth="1"/>
    <col min="14061" max="14061" width="15.109375" style="135"/>
    <col min="14062" max="14062" width="17.6640625" style="135" customWidth="1"/>
    <col min="14063" max="14063" width="15.33203125" style="135" customWidth="1"/>
    <col min="14064" max="14310" width="15.109375" style="135"/>
    <col min="14311" max="14311" width="2.77734375" style="135" customWidth="1"/>
    <col min="14312" max="14312" width="26.33203125" style="135" customWidth="1"/>
    <col min="14313" max="14313" width="11.77734375" style="135" customWidth="1"/>
    <col min="14314" max="14314" width="17.6640625" style="135" customWidth="1"/>
    <col min="14315" max="14316" width="12.77734375" style="135" customWidth="1"/>
    <col min="14317" max="14317" width="15.109375" style="135"/>
    <col min="14318" max="14318" width="17.6640625" style="135" customWidth="1"/>
    <col min="14319" max="14319" width="15.33203125" style="135" customWidth="1"/>
    <col min="14320" max="14566" width="15.109375" style="135"/>
    <col min="14567" max="14567" width="2.77734375" style="135" customWidth="1"/>
    <col min="14568" max="14568" width="26.33203125" style="135" customWidth="1"/>
    <col min="14569" max="14569" width="11.77734375" style="135" customWidth="1"/>
    <col min="14570" max="14570" width="17.6640625" style="135" customWidth="1"/>
    <col min="14571" max="14572" width="12.77734375" style="135" customWidth="1"/>
    <col min="14573" max="14573" width="15.109375" style="135"/>
    <col min="14574" max="14574" width="17.6640625" style="135" customWidth="1"/>
    <col min="14575" max="14575" width="15.33203125" style="135" customWidth="1"/>
    <col min="14576" max="14822" width="15.109375" style="135"/>
    <col min="14823" max="14823" width="2.77734375" style="135" customWidth="1"/>
    <col min="14824" max="14824" width="26.33203125" style="135" customWidth="1"/>
    <col min="14825" max="14825" width="11.77734375" style="135" customWidth="1"/>
    <col min="14826" max="14826" width="17.6640625" style="135" customWidth="1"/>
    <col min="14827" max="14828" width="12.77734375" style="135" customWidth="1"/>
    <col min="14829" max="14829" width="15.109375" style="135"/>
    <col min="14830" max="14830" width="17.6640625" style="135" customWidth="1"/>
    <col min="14831" max="14831" width="15.33203125" style="135" customWidth="1"/>
    <col min="14832" max="15078" width="15.109375" style="135"/>
    <col min="15079" max="15079" width="2.77734375" style="135" customWidth="1"/>
    <col min="15080" max="15080" width="26.33203125" style="135" customWidth="1"/>
    <col min="15081" max="15081" width="11.77734375" style="135" customWidth="1"/>
    <col min="15082" max="15082" width="17.6640625" style="135" customWidth="1"/>
    <col min="15083" max="15084" width="12.77734375" style="135" customWidth="1"/>
    <col min="15085" max="15085" width="15.109375" style="135"/>
    <col min="15086" max="15086" width="17.6640625" style="135" customWidth="1"/>
    <col min="15087" max="15087" width="15.33203125" style="135" customWidth="1"/>
    <col min="15088" max="15334" width="15.109375" style="135"/>
    <col min="15335" max="15335" width="2.77734375" style="135" customWidth="1"/>
    <col min="15336" max="15336" width="26.33203125" style="135" customWidth="1"/>
    <col min="15337" max="15337" width="11.77734375" style="135" customWidth="1"/>
    <col min="15338" max="15338" width="17.6640625" style="135" customWidth="1"/>
    <col min="15339" max="15340" width="12.77734375" style="135" customWidth="1"/>
    <col min="15341" max="15341" width="15.109375" style="135"/>
    <col min="15342" max="15342" width="17.6640625" style="135" customWidth="1"/>
    <col min="15343" max="15343" width="15.33203125" style="135" customWidth="1"/>
    <col min="15344" max="15590" width="15.109375" style="135"/>
    <col min="15591" max="15591" width="2.77734375" style="135" customWidth="1"/>
    <col min="15592" max="15592" width="26.33203125" style="135" customWidth="1"/>
    <col min="15593" max="15593" width="11.77734375" style="135" customWidth="1"/>
    <col min="15594" max="15594" width="17.6640625" style="135" customWidth="1"/>
    <col min="15595" max="15596" width="12.77734375" style="135" customWidth="1"/>
    <col min="15597" max="15597" width="15.109375" style="135"/>
    <col min="15598" max="15598" width="17.6640625" style="135" customWidth="1"/>
    <col min="15599" max="15599" width="15.33203125" style="135" customWidth="1"/>
    <col min="15600" max="15846" width="15.109375" style="135"/>
    <col min="15847" max="15847" width="2.77734375" style="135" customWidth="1"/>
    <col min="15848" max="15848" width="26.33203125" style="135" customWidth="1"/>
    <col min="15849" max="15849" width="11.77734375" style="135" customWidth="1"/>
    <col min="15850" max="15850" width="17.6640625" style="135" customWidth="1"/>
    <col min="15851" max="15852" width="12.77734375" style="135" customWidth="1"/>
    <col min="15853" max="15853" width="15.109375" style="135"/>
    <col min="15854" max="15854" width="17.6640625" style="135" customWidth="1"/>
    <col min="15855" max="15855" width="15.33203125" style="135" customWidth="1"/>
    <col min="15856" max="16102" width="15.109375" style="135"/>
    <col min="16103" max="16103" width="2.77734375" style="135" customWidth="1"/>
    <col min="16104" max="16104" width="26.33203125" style="135" customWidth="1"/>
    <col min="16105" max="16105" width="11.77734375" style="135" customWidth="1"/>
    <col min="16106" max="16106" width="17.6640625" style="135" customWidth="1"/>
    <col min="16107" max="16108" width="12.77734375" style="135" customWidth="1"/>
    <col min="16109" max="16109" width="15.109375" style="135"/>
    <col min="16110" max="16110" width="17.6640625" style="135" customWidth="1"/>
    <col min="16111" max="16111" width="15.33203125" style="135" customWidth="1"/>
    <col min="16112" max="16384" width="15.109375" style="135"/>
  </cols>
  <sheetData>
    <row r="1" spans="1:13" s="15" customFormat="1" ht="39" customHeight="1" x14ac:dyDescent="0.25">
      <c r="F1" s="14" t="str">
        <f>Instructivo!F1</f>
        <v>Sistema de Gestión Integral (SGI)
Instructivo - Componente Financiero EP
Código: F-PGC-21. Versión: 05</v>
      </c>
      <c r="G1" s="14"/>
      <c r="H1" s="14"/>
      <c r="I1" s="14"/>
      <c r="J1" s="14"/>
      <c r="K1" s="14"/>
      <c r="M1" s="289" t="s">
        <v>102</v>
      </c>
    </row>
    <row r="2" spans="1:13" s="15" customFormat="1" ht="18" customHeight="1" x14ac:dyDescent="0.25">
      <c r="F2" s="13" t="s">
        <v>413</v>
      </c>
      <c r="G2" s="13"/>
      <c r="H2" s="13"/>
      <c r="I2" s="13"/>
      <c r="J2" s="13"/>
      <c r="K2" s="13"/>
      <c r="M2" s="289" t="s">
        <v>414</v>
      </c>
    </row>
    <row r="3" spans="1:13" ht="7.5" customHeight="1" x14ac:dyDescent="0.25"/>
    <row r="4" spans="1:13" ht="7.5" customHeight="1" x14ac:dyDescent="0.25">
      <c r="A4" s="1009"/>
      <c r="B4" s="1009"/>
      <c r="C4" s="1009"/>
      <c r="D4" s="1009"/>
      <c r="E4" s="1009"/>
      <c r="F4" s="1009"/>
    </row>
    <row r="5" spans="1:13" ht="29.25" customHeight="1" x14ac:dyDescent="0.25">
      <c r="A5" s="290" t="s">
        <v>104</v>
      </c>
      <c r="B5" s="1028" t="str">
        <f>'PE PSP'!R4</f>
        <v>Directa</v>
      </c>
      <c r="C5" s="1028"/>
      <c r="D5" s="1028"/>
      <c r="E5" s="1028"/>
      <c r="F5" s="1028"/>
      <c r="G5" s="291"/>
    </row>
    <row r="6" spans="1:13" ht="51.75" customHeight="1" x14ac:dyDescent="0.25">
      <c r="A6" s="290" t="s">
        <v>105</v>
      </c>
      <c r="B6" s="1028" t="str">
        <f>'PE PSP'!R5</f>
        <v>Prestar los servicios profesionales para apoyar las actividades técnicas y administrativas, requeridas en el desarrollo del grupo Gestión Integral del Recurso Hídrico en la Subdirección de Gestión Ambiental</v>
      </c>
      <c r="C6" s="1028"/>
      <c r="D6" s="1028"/>
      <c r="E6" s="1028"/>
      <c r="F6" s="1028"/>
      <c r="G6" s="291"/>
    </row>
    <row r="7" spans="1:13" ht="19.5" customHeight="1" x14ac:dyDescent="0.25">
      <c r="B7" s="137"/>
      <c r="C7" s="137"/>
      <c r="D7" s="137"/>
      <c r="E7" s="137"/>
      <c r="F7" s="137"/>
    </row>
    <row r="8" spans="1:13" ht="27.75" customHeight="1" x14ac:dyDescent="0.25">
      <c r="A8" s="292" t="s">
        <v>380</v>
      </c>
      <c r="B8" s="293" t="s">
        <v>113</v>
      </c>
      <c r="C8" s="293" t="s">
        <v>383</v>
      </c>
      <c r="D8" s="293" t="s">
        <v>384</v>
      </c>
      <c r="E8" s="293" t="s">
        <v>415</v>
      </c>
      <c r="F8" s="294" t="s">
        <v>385</v>
      </c>
    </row>
    <row r="9" spans="1:13" ht="19.5" customHeight="1" x14ac:dyDescent="0.25">
      <c r="A9" s="295" t="s">
        <v>416</v>
      </c>
      <c r="B9" s="296" t="s">
        <v>417</v>
      </c>
      <c r="C9" s="297">
        <v>4.5</v>
      </c>
      <c r="D9" s="216">
        <f>IFERROR(VLOOKUP(A9,Honorarios!$A$8:$C$14,2,FALSE()),"")</f>
        <v>8034253</v>
      </c>
      <c r="E9" s="298">
        <v>1</v>
      </c>
      <c r="F9" s="299">
        <f>IFERROR(C9*D9,0)</f>
        <v>36154138.5</v>
      </c>
      <c r="G9" s="300" t="s">
        <v>418</v>
      </c>
      <c r="I9" s="301"/>
    </row>
    <row r="10" spans="1:13" ht="19.5" customHeight="1" x14ac:dyDescent="0.25">
      <c r="A10" s="295"/>
      <c r="B10" s="296"/>
      <c r="C10" s="297"/>
      <c r="D10" s="216"/>
      <c r="E10" s="298"/>
      <c r="F10" s="299">
        <f>IFERROR(C10*D10,0)</f>
        <v>0</v>
      </c>
      <c r="G10" s="300"/>
    </row>
    <row r="11" spans="1:13" ht="19.5" customHeight="1" x14ac:dyDescent="0.25">
      <c r="A11" s="1029" t="s">
        <v>419</v>
      </c>
      <c r="B11" s="1029"/>
      <c r="C11" s="1029"/>
      <c r="D11" s="1029"/>
      <c r="E11" s="1029"/>
      <c r="F11" s="302">
        <f>F9+F10</f>
        <v>36154138.5</v>
      </c>
      <c r="G11" s="227"/>
    </row>
    <row r="12" spans="1:13" ht="19.5" customHeight="1" x14ac:dyDescent="0.25">
      <c r="A12" s="1029" t="s">
        <v>399</v>
      </c>
      <c r="B12" s="1029"/>
      <c r="C12" s="1029"/>
      <c r="D12" s="1029"/>
      <c r="E12" s="1029"/>
      <c r="F12" s="302">
        <v>0</v>
      </c>
      <c r="G12" s="303" t="s">
        <v>420</v>
      </c>
      <c r="H12" s="40"/>
      <c r="I12" s="40"/>
      <c r="J12" s="40"/>
    </row>
    <row r="13" spans="1:13" ht="19.5" customHeight="1" x14ac:dyDescent="0.25">
      <c r="A13" s="1030" t="s">
        <v>411</v>
      </c>
      <c r="B13" s="1030"/>
      <c r="C13" s="1030"/>
      <c r="D13" s="1030"/>
      <c r="E13" s="1030"/>
      <c r="F13" s="304">
        <f>F11+F12</f>
        <v>36154138.5</v>
      </c>
    </row>
  </sheetData>
  <sheetProtection algorithmName="SHA-512" hashValue="/i2StBtDPE+DisErw/L7dVLPm+qRMn00KxleVCmRdE67izeXwD7Dlg7+wbWeaZKD6Z1UJkopxHo4RsYi/D9oTQ==" saltValue="wwfjdT/1oeC4slrRuN9iiA==" spinCount="100000" sheet="1" formatCells="0" formatColumns="0" formatRows="0" insertRows="0" autoFilter="0" pivotTables="0"/>
  <mergeCells count="8">
    <mergeCell ref="A11:E11"/>
    <mergeCell ref="A12:E12"/>
    <mergeCell ref="A13:E13"/>
    <mergeCell ref="F1:K1"/>
    <mergeCell ref="F2:K2"/>
    <mergeCell ref="A4:F4"/>
    <mergeCell ref="B5:F5"/>
    <mergeCell ref="B6:F6"/>
  </mergeCells>
  <dataValidations count="6">
    <dataValidation allowBlank="1" showInputMessage="1" showErrorMessage="1" prompt="diligencie la cantidad del personal requerido" sqref="HY9:HY10 RU9:RU10 ABQ9:ABQ10 ALM9:ALM10 AVI9:AVI10 BFE9:BFE10 BPA9:BPA10 BYW9:BYW10 CIS9:CIS10 CSO9:CSO10 DCK9:DCK10 DMG9:DMG10 DWC9:DWC10 EFY9:EFY10 EPU9:EPU10 EZQ9:EZQ10 FJM9:FJM10 FTI9:FTI10 GDE9:GDE10 GNA9:GNA10 GWW9:GWW10 HGS9:HGS10 HQO9:HQO10 IAK9:IAK10 IKG9:IKG10 IUC9:IUC10 JDY9:JDY10 JNU9:JNU10 JXQ9:JXQ10 KHM9:KHM10 KRI9:KRI10 LBE9:LBE10 LLA9:LLA10 LUW9:LUW10 MES9:MES10 MOO9:MOO10 MYK9:MYK10 NIG9:NIG10 NSC9:NSC10 OBY9:OBY10 OLU9:OLU10 OVQ9:OVQ10 PFM9:PFM10 PPI9:PPI10 PZE9:PZE10 QJA9:QJA10 QSW9:QSW10 RCS9:RCS10 RMO9:RMO10 RWK9:RWK10 SGG9:SGG10 SQC9:SQC10 SZY9:SZY10 TJU9:TJU10 TTQ9:TTQ10 UDM9:UDM10 UNI9:UNI10 UXE9:UXE10 VHA9:VHA10 VQW9:VQW10 WAS9:WAS10 WKO9:WKO10 WUK9:WUK10" xr:uid="{00000000-0002-0000-0400-000000000000}">
      <formula1>0</formula1>
      <formula2>0</formula2>
    </dataValidation>
    <dataValidation allowBlank="1" showInputMessage="1" showErrorMessage="1" prompt="definir la unidad de medida con la cual se asigna el valor unitario." sqref="B9:B10 IA9:IA10 RW9:RW10 ABS9:ABS10 ALO9:ALO10 AVK9:AVK10 BFG9:BFG10 BPC9:BPC10 BYY9:BYY10 CIU9:CIU10 CSQ9:CSQ10 DCM9:DCM10 DMI9:DMI10 DWE9:DWE10 EGA9:EGA10 EPW9:EPW10 EZS9:EZS10 FJO9:FJO10 FTK9:FTK10 GDG9:GDG10 GNC9:GNC10 GWY9:GWY10 HGU9:HGU10 HQQ9:HQQ10 IAM9:IAM10 IKI9:IKI10 IUE9:IUE10 JEA9:JEA10 JNW9:JNW10 JXS9:JXS10 KHO9:KHO10 KRK9:KRK10 LBG9:LBG10 LLC9:LLC10 LUY9:LUY10 MEU9:MEU10 MOQ9:MOQ10 MYM9:MYM10 NII9:NII10 NSE9:NSE10 OCA9:OCA10 OLW9:OLW10 OVS9:OVS10 PFO9:PFO10 PPK9:PPK10 PZG9:PZG10 QJC9:QJC10 QSY9:QSY10 RCU9:RCU10 RMQ9:RMQ10 RWM9:RWM10 SGI9:SGI10 SQE9:SQE10 TAA9:TAA10 TJW9:TJW10 TTS9:TTS10 UDO9:UDO10 UNK9:UNK10 UXG9:UXG10 VHC9:VHC10 VQY9:VQY10 WAU9:WAU10 WKQ9:WKQ10 WUM9:WUM10" xr:uid="{00000000-0002-0000-0400-000001000000}">
      <formula1>0</formula1>
      <formula2>0</formula2>
    </dataValidation>
    <dataValidation allowBlank="1" showInputMessage="1" showErrorMessage="1" prompt="diligencie la cantidad de unidad de medida del valor unitario" sqref="C9:C10 IB9:IB10 RX9:RX10 ABT9:ABT10 ALP9:ALP10 AVL9:AVL10 BFH9:BFH10 BPD9:BPD10 BYZ9:BYZ10 CIV9:CIV10 CSR9:CSR10 DCN9:DCN10 DMJ9:DMJ10 DWF9:DWF10 EGB9:EGB10 EPX9:EPX10 EZT9:EZT10 FJP9:FJP10 FTL9:FTL10 GDH9:GDH10 GND9:GND10 GWZ9:GWZ10 HGV9:HGV10 HQR9:HQR10 IAN9:IAN10 IKJ9:IKJ10 IUF9:IUF10 JEB9:JEB10 JNX9:JNX10 JXT9:JXT10 KHP9:KHP10 KRL9:KRL10 LBH9:LBH10 LLD9:LLD10 LUZ9:LUZ10 MEV9:MEV10 MOR9:MOR10 MYN9:MYN10 NIJ9:NIJ10 NSF9:NSF10 OCB9:OCB10 OLX9:OLX10 OVT9:OVT10 PFP9:PFP10 PPL9:PPL10 PZH9:PZH10 QJD9:QJD10 QSZ9:QSZ10 RCV9:RCV10 RMR9:RMR10 RWN9:RWN10 SGJ9:SGJ10 SQF9:SQF10 TAB9:TAB10 TJX9:TJX10 TTT9:TTT10 UDP9:UDP10 UNL9:UNL10 UXH9:UXH10 VHD9:VHD10 VQZ9:VQZ10 WAV9:WAV10 WKR9:WKR10 WUN9:WUN10" xr:uid="{00000000-0002-0000-0400-000002000000}">
      <formula1>0</formula1>
      <formula2>0</formula2>
    </dataValidation>
    <dataValidation allowBlank="1" showInputMessage="1" showErrorMessage="1" prompt="traer el valor definido en la hoja &quot;honorarios Corporativos&quot;" sqref="IC9:IC10 RY9:RY10 ABU9:ABU10 ALQ9:ALQ10 AVM9:AVM10 BFI9:BFI10 BPE9:BPE10 BZA9:BZA10 CIW9:CIW10 CSS9:CSS10 DCO9:DCO10 DMK9:DMK10 DWG9:DWG10 EGC9:EGC10 EPY9:EPY10 EZU9:EZU10 FJQ9:FJQ10 FTM9:FTM10 GDI9:GDI10 GNE9:GNE10 GXA9:GXA10 HGW9:HGW10 HQS9:HQS10 IAO9:IAO10 IKK9:IKK10 IUG9:IUG10 JEC9:JEC10 JNY9:JNY10 JXU9:JXU10 KHQ9:KHQ10 KRM9:KRM10 LBI9:LBI10 LLE9:LLE10 LVA9:LVA10 MEW9:MEW10 MOS9:MOS10 MYO9:MYO10 NIK9:NIK10 NSG9:NSG10 OCC9:OCC10 OLY9:OLY10 OVU9:OVU10 PFQ9:PFQ10 PPM9:PPM10 PZI9:PZI10 QJE9:QJE10 QTA9:QTA10 RCW9:RCW10 RMS9:RMS10 RWO9:RWO10 SGK9:SGK10 SQG9:SQG10 TAC9:TAC10 TJY9:TJY10 TTU9:TTU10 UDQ9:UDQ10 UNM9:UNM10 UXI9:UXI10 VHE9:VHE10 VRA9:VRA10 WAW9:WAW10 WKS9:WKS10 WUO9:WUO10" xr:uid="{00000000-0002-0000-0400-000003000000}">
      <formula1>0</formula1>
      <formula2>0</formula2>
    </dataValidation>
    <dataValidation allowBlank="1" showInputMessage="1" showErrorMessage="1" prompt="ingrese el valor del Factor Prestacional asignado para el personal." sqref="D9:E10 ID9:ID10 RZ9:RZ10 ABV9:ABV10 ALR9:ALR10 AVN9:AVN10 BFJ9:BFJ10 BPF9:BPF10 BZB9:BZB10 CIX9:CIX10 CST9:CST10 DCP9:DCP10 DML9:DML10 DWH9:DWH10 EGD9:EGD10 EPZ9:EPZ10 EZV9:EZV10 FJR9:FJR10 FTN9:FTN10 GDJ9:GDJ10 GNF9:GNF10 GXB9:GXB10 HGX9:HGX10 HQT9:HQT10 IAP9:IAP10 IKL9:IKL10 IUH9:IUH10 JED9:JED10 JNZ9:JNZ10 JXV9:JXV10 KHR9:KHR10 KRN9:KRN10 LBJ9:LBJ10 LLF9:LLF10 LVB9:LVB10 MEX9:MEX10 MOT9:MOT10 MYP9:MYP10 NIL9:NIL10 NSH9:NSH10 OCD9:OCD10 OLZ9:OLZ10 OVV9:OVV10 PFR9:PFR10 PPN9:PPN10 PZJ9:PZJ10 QJF9:QJF10 QTB9:QTB10 RCX9:RCX10 RMT9:RMT10 RWP9:RWP10 SGL9:SGL10 SQH9:SQH10 TAD9:TAD10 TJZ9:TJZ10 TTV9:TTV10 UDR9:UDR10 UNN9:UNN10 UXJ9:UXJ10 VHF9:VHF10 VRB9:VRB10 WAX9:WAX10 WKT9:WKT10 WUP9:WUP10" xr:uid="{00000000-0002-0000-0400-000004000000}">
      <formula1>0</formula1>
      <formula2>0</formula2>
    </dataValidation>
    <dataValidation allowBlank="1" showInputMessage="1" showErrorMessage="1" prompt="diligencie la dedicación del personal relacionado." sqref="HZ9:HZ10 RV9:RV10 ABR9:ABR10 ALN9:ALN10 AVJ9:AVJ10 BFF9:BFF10 BPB9:BPB10 BYX9:BYX10 CIT9:CIT10 CSP9:CSP10 DCL9:DCL10 DMH9:DMH10 DWD9:DWD10 EFZ9:EFZ10 EPV9:EPV10 EZR9:EZR10 FJN9:FJN10 FTJ9:FTJ10 GDF9:GDF10 GNB9:GNB10 GWX9:GWX10 HGT9:HGT10 HQP9:HQP10 IAL9:IAL10 IKH9:IKH10 IUD9:IUD10 JDZ9:JDZ10 JNV9:JNV10 JXR9:JXR10 KHN9:KHN10 KRJ9:KRJ10 LBF9:LBF10 LLB9:LLB10 LUX9:LUX10 MET9:MET10 MOP9:MOP10 MYL9:MYL10 NIH9:NIH10 NSD9:NSD10 OBZ9:OBZ10 OLV9:OLV10 OVR9:OVR10 PFN9:PFN10 PPJ9:PPJ10 PZF9:PZF10 QJB9:QJB10 QSX9:QSX10 RCT9:RCT10 RMP9:RMP10 RWL9:RWL10 SGH9:SGH10 SQD9:SQD10 SZZ9:SZZ10 TJV9:TJV10 TTR9:TTR10 UDN9:UDN10 UNJ9:UNJ10 UXF9:UXF10 VHB9:VHB10 VQX9:VQX10 WAT9:WAT10 WKP9:WKP10 WUL9:WUL10" xr:uid="{00000000-0002-0000-0400-000005000000}">
      <formula1>0</formula1>
      <formula2>0</formula2>
    </dataValidation>
  </dataValidations>
  <hyperlinks>
    <hyperlink ref="M1" location="ins" display="Instructivo" xr:uid="{00000000-0004-0000-0400-000000000000}"/>
    <hyperlink ref="M2" location="PEPSP1" display="Plan de ejecución física y de inversiones - prestación de servicios personales" xr:uid="{00000000-0004-0000-0400-000001000000}"/>
    <hyperlink ref="G9" location="honorarios!A1" display="Tabla de honorarios" xr:uid="{00000000-0004-0000-0400-000002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6000000}">
          <x14:formula1>
            <xm:f>Honorarios!$A$8:$A$14</xm:f>
          </x14:formula1>
          <x14:formula2>
            <xm:f>0</xm:f>
          </x14:formula2>
          <xm:sqref>A9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195"/>
  <sheetViews>
    <sheetView showGridLines="0" topLeftCell="A100" zoomScale="80" zoomScaleNormal="80" workbookViewId="0">
      <selection activeCell="A150" sqref="A150"/>
    </sheetView>
  </sheetViews>
  <sheetFormatPr baseColWidth="10" defaultColWidth="15.109375" defaultRowHeight="18" customHeight="1" x14ac:dyDescent="0.25"/>
  <cols>
    <col min="1" max="1" width="31" style="135" customWidth="1"/>
    <col min="2" max="2" width="19.33203125" style="135" customWidth="1"/>
    <col min="3" max="3" width="19" style="135" customWidth="1"/>
    <col min="4" max="4" width="17" style="135" customWidth="1"/>
    <col min="5" max="5" width="17.77734375" style="135" customWidth="1"/>
    <col min="6" max="6" width="15.77734375" style="135" customWidth="1"/>
    <col min="7" max="7" width="20.6640625" style="135" customWidth="1"/>
    <col min="8" max="8" width="11.109375" style="135" customWidth="1"/>
    <col min="9" max="9" width="17.33203125" style="135" customWidth="1"/>
    <col min="10" max="10" width="16.33203125" style="135" customWidth="1"/>
    <col min="11" max="11" width="15.109375" style="135"/>
    <col min="12" max="12" width="17.109375" style="135" customWidth="1"/>
    <col min="13" max="13" width="14" style="135" customWidth="1"/>
    <col min="14" max="14" width="16.77734375" style="135" customWidth="1"/>
    <col min="15" max="15" width="16.33203125" style="135" customWidth="1"/>
    <col min="16" max="16" width="20.6640625" style="135" customWidth="1"/>
    <col min="17" max="19" width="15.109375" style="135"/>
    <col min="20" max="20" width="11.77734375" style="135" customWidth="1"/>
    <col min="21" max="254" width="15.109375" style="135"/>
    <col min="255" max="255" width="2.77734375" style="135" customWidth="1"/>
    <col min="256" max="256" width="26.33203125" style="135" customWidth="1"/>
    <col min="257" max="257" width="11.77734375" style="135" customWidth="1"/>
    <col min="258" max="258" width="17.6640625" style="135" customWidth="1"/>
    <col min="259" max="260" width="12.77734375" style="135" customWidth="1"/>
    <col min="261" max="261" width="15.109375" style="135"/>
    <col min="262" max="262" width="17.6640625" style="135" customWidth="1"/>
    <col min="263" max="263" width="15.33203125" style="135" customWidth="1"/>
    <col min="264" max="510" width="15.109375" style="135"/>
    <col min="511" max="511" width="2.77734375" style="135" customWidth="1"/>
    <col min="512" max="512" width="26.33203125" style="135" customWidth="1"/>
    <col min="513" max="513" width="11.77734375" style="135" customWidth="1"/>
    <col min="514" max="514" width="17.6640625" style="135" customWidth="1"/>
    <col min="515" max="516" width="12.77734375" style="135" customWidth="1"/>
    <col min="517" max="517" width="15.109375" style="135"/>
    <col min="518" max="518" width="17.6640625" style="135" customWidth="1"/>
    <col min="519" max="519" width="15.33203125" style="135" customWidth="1"/>
    <col min="520" max="766" width="15.109375" style="135"/>
    <col min="767" max="767" width="2.77734375" style="135" customWidth="1"/>
    <col min="768" max="768" width="26.33203125" style="135" customWidth="1"/>
    <col min="769" max="769" width="11.77734375" style="135" customWidth="1"/>
    <col min="770" max="770" width="17.6640625" style="135" customWidth="1"/>
    <col min="771" max="772" width="12.77734375" style="135" customWidth="1"/>
    <col min="773" max="773" width="15.109375" style="135"/>
    <col min="774" max="774" width="17.6640625" style="135" customWidth="1"/>
    <col min="775" max="775" width="15.33203125" style="135" customWidth="1"/>
    <col min="776" max="1022" width="15.109375" style="135"/>
    <col min="1023" max="1023" width="2.77734375" style="135" customWidth="1"/>
    <col min="1024" max="1024" width="26.33203125" style="135" customWidth="1"/>
    <col min="1025" max="1025" width="11.77734375" style="135" customWidth="1"/>
    <col min="1026" max="1026" width="17.6640625" style="135" customWidth="1"/>
    <col min="1027" max="1028" width="12.77734375" style="135" customWidth="1"/>
    <col min="1029" max="1029" width="15.109375" style="135"/>
    <col min="1030" max="1030" width="17.6640625" style="135" customWidth="1"/>
    <col min="1031" max="1031" width="15.33203125" style="135" customWidth="1"/>
    <col min="1032" max="1278" width="15.109375" style="135"/>
    <col min="1279" max="1279" width="2.77734375" style="135" customWidth="1"/>
    <col min="1280" max="1280" width="26.33203125" style="135" customWidth="1"/>
    <col min="1281" max="1281" width="11.77734375" style="135" customWidth="1"/>
    <col min="1282" max="1282" width="17.6640625" style="135" customWidth="1"/>
    <col min="1283" max="1284" width="12.77734375" style="135" customWidth="1"/>
    <col min="1285" max="1285" width="15.109375" style="135"/>
    <col min="1286" max="1286" width="17.6640625" style="135" customWidth="1"/>
    <col min="1287" max="1287" width="15.33203125" style="135" customWidth="1"/>
    <col min="1288" max="1534" width="15.109375" style="135"/>
    <col min="1535" max="1535" width="2.77734375" style="135" customWidth="1"/>
    <col min="1536" max="1536" width="26.33203125" style="135" customWidth="1"/>
    <col min="1537" max="1537" width="11.77734375" style="135" customWidth="1"/>
    <col min="1538" max="1538" width="17.6640625" style="135" customWidth="1"/>
    <col min="1539" max="1540" width="12.77734375" style="135" customWidth="1"/>
    <col min="1541" max="1541" width="15.109375" style="135"/>
    <col min="1542" max="1542" width="17.6640625" style="135" customWidth="1"/>
    <col min="1543" max="1543" width="15.33203125" style="135" customWidth="1"/>
    <col min="1544" max="1790" width="15.109375" style="135"/>
    <col min="1791" max="1791" width="2.77734375" style="135" customWidth="1"/>
    <col min="1792" max="1792" width="26.33203125" style="135" customWidth="1"/>
    <col min="1793" max="1793" width="11.77734375" style="135" customWidth="1"/>
    <col min="1794" max="1794" width="17.6640625" style="135" customWidth="1"/>
    <col min="1795" max="1796" width="12.77734375" style="135" customWidth="1"/>
    <col min="1797" max="1797" width="15.109375" style="135"/>
    <col min="1798" max="1798" width="17.6640625" style="135" customWidth="1"/>
    <col min="1799" max="1799" width="15.33203125" style="135" customWidth="1"/>
    <col min="1800" max="2046" width="15.109375" style="135"/>
    <col min="2047" max="2047" width="2.77734375" style="135" customWidth="1"/>
    <col min="2048" max="2048" width="26.33203125" style="135" customWidth="1"/>
    <col min="2049" max="2049" width="11.77734375" style="135" customWidth="1"/>
    <col min="2050" max="2050" width="17.6640625" style="135" customWidth="1"/>
    <col min="2051" max="2052" width="12.77734375" style="135" customWidth="1"/>
    <col min="2053" max="2053" width="15.109375" style="135"/>
    <col min="2054" max="2054" width="17.6640625" style="135" customWidth="1"/>
    <col min="2055" max="2055" width="15.33203125" style="135" customWidth="1"/>
    <col min="2056" max="2302" width="15.109375" style="135"/>
    <col min="2303" max="2303" width="2.77734375" style="135" customWidth="1"/>
    <col min="2304" max="2304" width="26.33203125" style="135" customWidth="1"/>
    <col min="2305" max="2305" width="11.77734375" style="135" customWidth="1"/>
    <col min="2306" max="2306" width="17.6640625" style="135" customWidth="1"/>
    <col min="2307" max="2308" width="12.77734375" style="135" customWidth="1"/>
    <col min="2309" max="2309" width="15.109375" style="135"/>
    <col min="2310" max="2310" width="17.6640625" style="135" customWidth="1"/>
    <col min="2311" max="2311" width="15.33203125" style="135" customWidth="1"/>
    <col min="2312" max="2558" width="15.109375" style="135"/>
    <col min="2559" max="2559" width="2.77734375" style="135" customWidth="1"/>
    <col min="2560" max="2560" width="26.33203125" style="135" customWidth="1"/>
    <col min="2561" max="2561" width="11.77734375" style="135" customWidth="1"/>
    <col min="2562" max="2562" width="17.6640625" style="135" customWidth="1"/>
    <col min="2563" max="2564" width="12.77734375" style="135" customWidth="1"/>
    <col min="2565" max="2565" width="15.109375" style="135"/>
    <col min="2566" max="2566" width="17.6640625" style="135" customWidth="1"/>
    <col min="2567" max="2567" width="15.33203125" style="135" customWidth="1"/>
    <col min="2568" max="2814" width="15.109375" style="135"/>
    <col min="2815" max="2815" width="2.77734375" style="135" customWidth="1"/>
    <col min="2816" max="2816" width="26.33203125" style="135" customWidth="1"/>
    <col min="2817" max="2817" width="11.77734375" style="135" customWidth="1"/>
    <col min="2818" max="2818" width="17.6640625" style="135" customWidth="1"/>
    <col min="2819" max="2820" width="12.77734375" style="135" customWidth="1"/>
    <col min="2821" max="2821" width="15.109375" style="135"/>
    <col min="2822" max="2822" width="17.6640625" style="135" customWidth="1"/>
    <col min="2823" max="2823" width="15.33203125" style="135" customWidth="1"/>
    <col min="2824" max="3070" width="15.109375" style="135"/>
    <col min="3071" max="3071" width="2.77734375" style="135" customWidth="1"/>
    <col min="3072" max="3072" width="26.33203125" style="135" customWidth="1"/>
    <col min="3073" max="3073" width="11.77734375" style="135" customWidth="1"/>
    <col min="3074" max="3074" width="17.6640625" style="135" customWidth="1"/>
    <col min="3075" max="3076" width="12.77734375" style="135" customWidth="1"/>
    <col min="3077" max="3077" width="15.109375" style="135"/>
    <col min="3078" max="3078" width="17.6640625" style="135" customWidth="1"/>
    <col min="3079" max="3079" width="15.33203125" style="135" customWidth="1"/>
    <col min="3080" max="3326" width="15.109375" style="135"/>
    <col min="3327" max="3327" width="2.77734375" style="135" customWidth="1"/>
    <col min="3328" max="3328" width="26.33203125" style="135" customWidth="1"/>
    <col min="3329" max="3329" width="11.77734375" style="135" customWidth="1"/>
    <col min="3330" max="3330" width="17.6640625" style="135" customWidth="1"/>
    <col min="3331" max="3332" width="12.77734375" style="135" customWidth="1"/>
    <col min="3333" max="3333" width="15.109375" style="135"/>
    <col min="3334" max="3334" width="17.6640625" style="135" customWidth="1"/>
    <col min="3335" max="3335" width="15.33203125" style="135" customWidth="1"/>
    <col min="3336" max="3582" width="15.109375" style="135"/>
    <col min="3583" max="3583" width="2.77734375" style="135" customWidth="1"/>
    <col min="3584" max="3584" width="26.33203125" style="135" customWidth="1"/>
    <col min="3585" max="3585" width="11.77734375" style="135" customWidth="1"/>
    <col min="3586" max="3586" width="17.6640625" style="135" customWidth="1"/>
    <col min="3587" max="3588" width="12.77734375" style="135" customWidth="1"/>
    <col min="3589" max="3589" width="15.109375" style="135"/>
    <col min="3590" max="3590" width="17.6640625" style="135" customWidth="1"/>
    <col min="3591" max="3591" width="15.33203125" style="135" customWidth="1"/>
    <col min="3592" max="3838" width="15.109375" style="135"/>
    <col min="3839" max="3839" width="2.77734375" style="135" customWidth="1"/>
    <col min="3840" max="3840" width="26.33203125" style="135" customWidth="1"/>
    <col min="3841" max="3841" width="11.77734375" style="135" customWidth="1"/>
    <col min="3842" max="3842" width="17.6640625" style="135" customWidth="1"/>
    <col min="3843" max="3844" width="12.77734375" style="135" customWidth="1"/>
    <col min="3845" max="3845" width="15.109375" style="135"/>
    <col min="3846" max="3846" width="17.6640625" style="135" customWidth="1"/>
    <col min="3847" max="3847" width="15.33203125" style="135" customWidth="1"/>
    <col min="3848" max="4094" width="15.109375" style="135"/>
    <col min="4095" max="4095" width="2.77734375" style="135" customWidth="1"/>
    <col min="4096" max="4096" width="26.33203125" style="135" customWidth="1"/>
    <col min="4097" max="4097" width="11.77734375" style="135" customWidth="1"/>
    <col min="4098" max="4098" width="17.6640625" style="135" customWidth="1"/>
    <col min="4099" max="4100" width="12.77734375" style="135" customWidth="1"/>
    <col min="4101" max="4101" width="15.109375" style="135"/>
    <col min="4102" max="4102" width="17.6640625" style="135" customWidth="1"/>
    <col min="4103" max="4103" width="15.33203125" style="135" customWidth="1"/>
    <col min="4104" max="4350" width="15.109375" style="135"/>
    <col min="4351" max="4351" width="2.77734375" style="135" customWidth="1"/>
    <col min="4352" max="4352" width="26.33203125" style="135" customWidth="1"/>
    <col min="4353" max="4353" width="11.77734375" style="135" customWidth="1"/>
    <col min="4354" max="4354" width="17.6640625" style="135" customWidth="1"/>
    <col min="4355" max="4356" width="12.77734375" style="135" customWidth="1"/>
    <col min="4357" max="4357" width="15.109375" style="135"/>
    <col min="4358" max="4358" width="17.6640625" style="135" customWidth="1"/>
    <col min="4359" max="4359" width="15.33203125" style="135" customWidth="1"/>
    <col min="4360" max="4606" width="15.109375" style="135"/>
    <col min="4607" max="4607" width="2.77734375" style="135" customWidth="1"/>
    <col min="4608" max="4608" width="26.33203125" style="135" customWidth="1"/>
    <col min="4609" max="4609" width="11.77734375" style="135" customWidth="1"/>
    <col min="4610" max="4610" width="17.6640625" style="135" customWidth="1"/>
    <col min="4611" max="4612" width="12.77734375" style="135" customWidth="1"/>
    <col min="4613" max="4613" width="15.109375" style="135"/>
    <col min="4614" max="4614" width="17.6640625" style="135" customWidth="1"/>
    <col min="4615" max="4615" width="15.33203125" style="135" customWidth="1"/>
    <col min="4616" max="4862" width="15.109375" style="135"/>
    <col min="4863" max="4863" width="2.77734375" style="135" customWidth="1"/>
    <col min="4864" max="4864" width="26.33203125" style="135" customWidth="1"/>
    <col min="4865" max="4865" width="11.77734375" style="135" customWidth="1"/>
    <col min="4866" max="4866" width="17.6640625" style="135" customWidth="1"/>
    <col min="4867" max="4868" width="12.77734375" style="135" customWidth="1"/>
    <col min="4869" max="4869" width="15.109375" style="135"/>
    <col min="4870" max="4870" width="17.6640625" style="135" customWidth="1"/>
    <col min="4871" max="4871" width="15.33203125" style="135" customWidth="1"/>
    <col min="4872" max="5118" width="15.109375" style="135"/>
    <col min="5119" max="5119" width="2.77734375" style="135" customWidth="1"/>
    <col min="5120" max="5120" width="26.33203125" style="135" customWidth="1"/>
    <col min="5121" max="5121" width="11.77734375" style="135" customWidth="1"/>
    <col min="5122" max="5122" width="17.6640625" style="135" customWidth="1"/>
    <col min="5123" max="5124" width="12.77734375" style="135" customWidth="1"/>
    <col min="5125" max="5125" width="15.109375" style="135"/>
    <col min="5126" max="5126" width="17.6640625" style="135" customWidth="1"/>
    <col min="5127" max="5127" width="15.33203125" style="135" customWidth="1"/>
    <col min="5128" max="5374" width="15.109375" style="135"/>
    <col min="5375" max="5375" width="2.77734375" style="135" customWidth="1"/>
    <col min="5376" max="5376" width="26.33203125" style="135" customWidth="1"/>
    <col min="5377" max="5377" width="11.77734375" style="135" customWidth="1"/>
    <col min="5378" max="5378" width="17.6640625" style="135" customWidth="1"/>
    <col min="5379" max="5380" width="12.77734375" style="135" customWidth="1"/>
    <col min="5381" max="5381" width="15.109375" style="135"/>
    <col min="5382" max="5382" width="17.6640625" style="135" customWidth="1"/>
    <col min="5383" max="5383" width="15.33203125" style="135" customWidth="1"/>
    <col min="5384" max="5630" width="15.109375" style="135"/>
    <col min="5631" max="5631" width="2.77734375" style="135" customWidth="1"/>
    <col min="5632" max="5632" width="26.33203125" style="135" customWidth="1"/>
    <col min="5633" max="5633" width="11.77734375" style="135" customWidth="1"/>
    <col min="5634" max="5634" width="17.6640625" style="135" customWidth="1"/>
    <col min="5635" max="5636" width="12.77734375" style="135" customWidth="1"/>
    <col min="5637" max="5637" width="15.109375" style="135"/>
    <col min="5638" max="5638" width="17.6640625" style="135" customWidth="1"/>
    <col min="5639" max="5639" width="15.33203125" style="135" customWidth="1"/>
    <col min="5640" max="5886" width="15.109375" style="135"/>
    <col min="5887" max="5887" width="2.77734375" style="135" customWidth="1"/>
    <col min="5888" max="5888" width="26.33203125" style="135" customWidth="1"/>
    <col min="5889" max="5889" width="11.77734375" style="135" customWidth="1"/>
    <col min="5890" max="5890" width="17.6640625" style="135" customWidth="1"/>
    <col min="5891" max="5892" width="12.77734375" style="135" customWidth="1"/>
    <col min="5893" max="5893" width="15.109375" style="135"/>
    <col min="5894" max="5894" width="17.6640625" style="135" customWidth="1"/>
    <col min="5895" max="5895" width="15.33203125" style="135" customWidth="1"/>
    <col min="5896" max="6142" width="15.109375" style="135"/>
    <col min="6143" max="6143" width="2.77734375" style="135" customWidth="1"/>
    <col min="6144" max="6144" width="26.33203125" style="135" customWidth="1"/>
    <col min="6145" max="6145" width="11.77734375" style="135" customWidth="1"/>
    <col min="6146" max="6146" width="17.6640625" style="135" customWidth="1"/>
    <col min="6147" max="6148" width="12.77734375" style="135" customWidth="1"/>
    <col min="6149" max="6149" width="15.109375" style="135"/>
    <col min="6150" max="6150" width="17.6640625" style="135" customWidth="1"/>
    <col min="6151" max="6151" width="15.33203125" style="135" customWidth="1"/>
    <col min="6152" max="6398" width="15.109375" style="135"/>
    <col min="6399" max="6399" width="2.77734375" style="135" customWidth="1"/>
    <col min="6400" max="6400" width="26.33203125" style="135" customWidth="1"/>
    <col min="6401" max="6401" width="11.77734375" style="135" customWidth="1"/>
    <col min="6402" max="6402" width="17.6640625" style="135" customWidth="1"/>
    <col min="6403" max="6404" width="12.77734375" style="135" customWidth="1"/>
    <col min="6405" max="6405" width="15.109375" style="135"/>
    <col min="6406" max="6406" width="17.6640625" style="135" customWidth="1"/>
    <col min="6407" max="6407" width="15.33203125" style="135" customWidth="1"/>
    <col min="6408" max="6654" width="15.109375" style="135"/>
    <col min="6655" max="6655" width="2.77734375" style="135" customWidth="1"/>
    <col min="6656" max="6656" width="26.33203125" style="135" customWidth="1"/>
    <col min="6657" max="6657" width="11.77734375" style="135" customWidth="1"/>
    <col min="6658" max="6658" width="17.6640625" style="135" customWidth="1"/>
    <col min="6659" max="6660" width="12.77734375" style="135" customWidth="1"/>
    <col min="6661" max="6661" width="15.109375" style="135"/>
    <col min="6662" max="6662" width="17.6640625" style="135" customWidth="1"/>
    <col min="6663" max="6663" width="15.33203125" style="135" customWidth="1"/>
    <col min="6664" max="6910" width="15.109375" style="135"/>
    <col min="6911" max="6911" width="2.77734375" style="135" customWidth="1"/>
    <col min="6912" max="6912" width="26.33203125" style="135" customWidth="1"/>
    <col min="6913" max="6913" width="11.77734375" style="135" customWidth="1"/>
    <col min="6914" max="6914" width="17.6640625" style="135" customWidth="1"/>
    <col min="6915" max="6916" width="12.77734375" style="135" customWidth="1"/>
    <col min="6917" max="6917" width="15.109375" style="135"/>
    <col min="6918" max="6918" width="17.6640625" style="135" customWidth="1"/>
    <col min="6919" max="6919" width="15.33203125" style="135" customWidth="1"/>
    <col min="6920" max="7166" width="15.109375" style="135"/>
    <col min="7167" max="7167" width="2.77734375" style="135" customWidth="1"/>
    <col min="7168" max="7168" width="26.33203125" style="135" customWidth="1"/>
    <col min="7169" max="7169" width="11.77734375" style="135" customWidth="1"/>
    <col min="7170" max="7170" width="17.6640625" style="135" customWidth="1"/>
    <col min="7171" max="7172" width="12.77734375" style="135" customWidth="1"/>
    <col min="7173" max="7173" width="15.109375" style="135"/>
    <col min="7174" max="7174" width="17.6640625" style="135" customWidth="1"/>
    <col min="7175" max="7175" width="15.33203125" style="135" customWidth="1"/>
    <col min="7176" max="7422" width="15.109375" style="135"/>
    <col min="7423" max="7423" width="2.77734375" style="135" customWidth="1"/>
    <col min="7424" max="7424" width="26.33203125" style="135" customWidth="1"/>
    <col min="7425" max="7425" width="11.77734375" style="135" customWidth="1"/>
    <col min="7426" max="7426" width="17.6640625" style="135" customWidth="1"/>
    <col min="7427" max="7428" width="12.77734375" style="135" customWidth="1"/>
    <col min="7429" max="7429" width="15.109375" style="135"/>
    <col min="7430" max="7430" width="17.6640625" style="135" customWidth="1"/>
    <col min="7431" max="7431" width="15.33203125" style="135" customWidth="1"/>
    <col min="7432" max="7678" width="15.109375" style="135"/>
    <col min="7679" max="7679" width="2.77734375" style="135" customWidth="1"/>
    <col min="7680" max="7680" width="26.33203125" style="135" customWidth="1"/>
    <col min="7681" max="7681" width="11.77734375" style="135" customWidth="1"/>
    <col min="7682" max="7682" width="17.6640625" style="135" customWidth="1"/>
    <col min="7683" max="7684" width="12.77734375" style="135" customWidth="1"/>
    <col min="7685" max="7685" width="15.109375" style="135"/>
    <col min="7686" max="7686" width="17.6640625" style="135" customWidth="1"/>
    <col min="7687" max="7687" width="15.33203125" style="135" customWidth="1"/>
    <col min="7688" max="7934" width="15.109375" style="135"/>
    <col min="7935" max="7935" width="2.77734375" style="135" customWidth="1"/>
    <col min="7936" max="7936" width="26.33203125" style="135" customWidth="1"/>
    <col min="7937" max="7937" width="11.77734375" style="135" customWidth="1"/>
    <col min="7938" max="7938" width="17.6640625" style="135" customWidth="1"/>
    <col min="7939" max="7940" width="12.77734375" style="135" customWidth="1"/>
    <col min="7941" max="7941" width="15.109375" style="135"/>
    <col min="7942" max="7942" width="17.6640625" style="135" customWidth="1"/>
    <col min="7943" max="7943" width="15.33203125" style="135" customWidth="1"/>
    <col min="7944" max="8190" width="15.109375" style="135"/>
    <col min="8191" max="8191" width="2.77734375" style="135" customWidth="1"/>
    <col min="8192" max="8192" width="26.33203125" style="135" customWidth="1"/>
    <col min="8193" max="8193" width="11.77734375" style="135" customWidth="1"/>
    <col min="8194" max="8194" width="17.6640625" style="135" customWidth="1"/>
    <col min="8195" max="8196" width="12.77734375" style="135" customWidth="1"/>
    <col min="8197" max="8197" width="15.109375" style="135"/>
    <col min="8198" max="8198" width="17.6640625" style="135" customWidth="1"/>
    <col min="8199" max="8199" width="15.33203125" style="135" customWidth="1"/>
    <col min="8200" max="8446" width="15.109375" style="135"/>
    <col min="8447" max="8447" width="2.77734375" style="135" customWidth="1"/>
    <col min="8448" max="8448" width="26.33203125" style="135" customWidth="1"/>
    <col min="8449" max="8449" width="11.77734375" style="135" customWidth="1"/>
    <col min="8450" max="8450" width="17.6640625" style="135" customWidth="1"/>
    <col min="8451" max="8452" width="12.77734375" style="135" customWidth="1"/>
    <col min="8453" max="8453" width="15.109375" style="135"/>
    <col min="8454" max="8454" width="17.6640625" style="135" customWidth="1"/>
    <col min="8455" max="8455" width="15.33203125" style="135" customWidth="1"/>
    <col min="8456" max="8702" width="15.109375" style="135"/>
    <col min="8703" max="8703" width="2.77734375" style="135" customWidth="1"/>
    <col min="8704" max="8704" width="26.33203125" style="135" customWidth="1"/>
    <col min="8705" max="8705" width="11.77734375" style="135" customWidth="1"/>
    <col min="8706" max="8706" width="17.6640625" style="135" customWidth="1"/>
    <col min="8707" max="8708" width="12.77734375" style="135" customWidth="1"/>
    <col min="8709" max="8709" width="15.109375" style="135"/>
    <col min="8710" max="8710" width="17.6640625" style="135" customWidth="1"/>
    <col min="8711" max="8711" width="15.33203125" style="135" customWidth="1"/>
    <col min="8712" max="8958" width="15.109375" style="135"/>
    <col min="8959" max="8959" width="2.77734375" style="135" customWidth="1"/>
    <col min="8960" max="8960" width="26.33203125" style="135" customWidth="1"/>
    <col min="8961" max="8961" width="11.77734375" style="135" customWidth="1"/>
    <col min="8962" max="8962" width="17.6640625" style="135" customWidth="1"/>
    <col min="8963" max="8964" width="12.77734375" style="135" customWidth="1"/>
    <col min="8965" max="8965" width="15.109375" style="135"/>
    <col min="8966" max="8966" width="17.6640625" style="135" customWidth="1"/>
    <col min="8967" max="8967" width="15.33203125" style="135" customWidth="1"/>
    <col min="8968" max="9214" width="15.109375" style="135"/>
    <col min="9215" max="9215" width="2.77734375" style="135" customWidth="1"/>
    <col min="9216" max="9216" width="26.33203125" style="135" customWidth="1"/>
    <col min="9217" max="9217" width="11.77734375" style="135" customWidth="1"/>
    <col min="9218" max="9218" width="17.6640625" style="135" customWidth="1"/>
    <col min="9219" max="9220" width="12.77734375" style="135" customWidth="1"/>
    <col min="9221" max="9221" width="15.109375" style="135"/>
    <col min="9222" max="9222" width="17.6640625" style="135" customWidth="1"/>
    <col min="9223" max="9223" width="15.33203125" style="135" customWidth="1"/>
    <col min="9224" max="9470" width="15.109375" style="135"/>
    <col min="9471" max="9471" width="2.77734375" style="135" customWidth="1"/>
    <col min="9472" max="9472" width="26.33203125" style="135" customWidth="1"/>
    <col min="9473" max="9473" width="11.77734375" style="135" customWidth="1"/>
    <col min="9474" max="9474" width="17.6640625" style="135" customWidth="1"/>
    <col min="9475" max="9476" width="12.77734375" style="135" customWidth="1"/>
    <col min="9477" max="9477" width="15.109375" style="135"/>
    <col min="9478" max="9478" width="17.6640625" style="135" customWidth="1"/>
    <col min="9479" max="9479" width="15.33203125" style="135" customWidth="1"/>
    <col min="9480" max="9726" width="15.109375" style="135"/>
    <col min="9727" max="9727" width="2.77734375" style="135" customWidth="1"/>
    <col min="9728" max="9728" width="26.33203125" style="135" customWidth="1"/>
    <col min="9729" max="9729" width="11.77734375" style="135" customWidth="1"/>
    <col min="9730" max="9730" width="17.6640625" style="135" customWidth="1"/>
    <col min="9731" max="9732" width="12.77734375" style="135" customWidth="1"/>
    <col min="9733" max="9733" width="15.109375" style="135"/>
    <col min="9734" max="9734" width="17.6640625" style="135" customWidth="1"/>
    <col min="9735" max="9735" width="15.33203125" style="135" customWidth="1"/>
    <col min="9736" max="9982" width="15.109375" style="135"/>
    <col min="9983" max="9983" width="2.77734375" style="135" customWidth="1"/>
    <col min="9984" max="9984" width="26.33203125" style="135" customWidth="1"/>
    <col min="9985" max="9985" width="11.77734375" style="135" customWidth="1"/>
    <col min="9986" max="9986" width="17.6640625" style="135" customWidth="1"/>
    <col min="9987" max="9988" width="12.77734375" style="135" customWidth="1"/>
    <col min="9989" max="9989" width="15.109375" style="135"/>
    <col min="9990" max="9990" width="17.6640625" style="135" customWidth="1"/>
    <col min="9991" max="9991" width="15.33203125" style="135" customWidth="1"/>
    <col min="9992" max="10238" width="15.109375" style="135"/>
    <col min="10239" max="10239" width="2.77734375" style="135" customWidth="1"/>
    <col min="10240" max="10240" width="26.33203125" style="135" customWidth="1"/>
    <col min="10241" max="10241" width="11.77734375" style="135" customWidth="1"/>
    <col min="10242" max="10242" width="17.6640625" style="135" customWidth="1"/>
    <col min="10243" max="10244" width="12.77734375" style="135" customWidth="1"/>
    <col min="10245" max="10245" width="15.109375" style="135"/>
    <col min="10246" max="10246" width="17.6640625" style="135" customWidth="1"/>
    <col min="10247" max="10247" width="15.33203125" style="135" customWidth="1"/>
    <col min="10248" max="10494" width="15.109375" style="135"/>
    <col min="10495" max="10495" width="2.77734375" style="135" customWidth="1"/>
    <col min="10496" max="10496" width="26.33203125" style="135" customWidth="1"/>
    <col min="10497" max="10497" width="11.77734375" style="135" customWidth="1"/>
    <col min="10498" max="10498" width="17.6640625" style="135" customWidth="1"/>
    <col min="10499" max="10500" width="12.77734375" style="135" customWidth="1"/>
    <col min="10501" max="10501" width="15.109375" style="135"/>
    <col min="10502" max="10502" width="17.6640625" style="135" customWidth="1"/>
    <col min="10503" max="10503" width="15.33203125" style="135" customWidth="1"/>
    <col min="10504" max="10750" width="15.109375" style="135"/>
    <col min="10751" max="10751" width="2.77734375" style="135" customWidth="1"/>
    <col min="10752" max="10752" width="26.33203125" style="135" customWidth="1"/>
    <col min="10753" max="10753" width="11.77734375" style="135" customWidth="1"/>
    <col min="10754" max="10754" width="17.6640625" style="135" customWidth="1"/>
    <col min="10755" max="10756" width="12.77734375" style="135" customWidth="1"/>
    <col min="10757" max="10757" width="15.109375" style="135"/>
    <col min="10758" max="10758" width="17.6640625" style="135" customWidth="1"/>
    <col min="10759" max="10759" width="15.33203125" style="135" customWidth="1"/>
    <col min="10760" max="11006" width="15.109375" style="135"/>
    <col min="11007" max="11007" width="2.77734375" style="135" customWidth="1"/>
    <col min="11008" max="11008" width="26.33203125" style="135" customWidth="1"/>
    <col min="11009" max="11009" width="11.77734375" style="135" customWidth="1"/>
    <col min="11010" max="11010" width="17.6640625" style="135" customWidth="1"/>
    <col min="11011" max="11012" width="12.77734375" style="135" customWidth="1"/>
    <col min="11013" max="11013" width="15.109375" style="135"/>
    <col min="11014" max="11014" width="17.6640625" style="135" customWidth="1"/>
    <col min="11015" max="11015" width="15.33203125" style="135" customWidth="1"/>
    <col min="11016" max="11262" width="15.109375" style="135"/>
    <col min="11263" max="11263" width="2.77734375" style="135" customWidth="1"/>
    <col min="11264" max="11264" width="26.33203125" style="135" customWidth="1"/>
    <col min="11265" max="11265" width="11.77734375" style="135" customWidth="1"/>
    <col min="11266" max="11266" width="17.6640625" style="135" customWidth="1"/>
    <col min="11267" max="11268" width="12.77734375" style="135" customWidth="1"/>
    <col min="11269" max="11269" width="15.109375" style="135"/>
    <col min="11270" max="11270" width="17.6640625" style="135" customWidth="1"/>
    <col min="11271" max="11271" width="15.33203125" style="135" customWidth="1"/>
    <col min="11272" max="11518" width="15.109375" style="135"/>
    <col min="11519" max="11519" width="2.77734375" style="135" customWidth="1"/>
    <col min="11520" max="11520" width="26.33203125" style="135" customWidth="1"/>
    <col min="11521" max="11521" width="11.77734375" style="135" customWidth="1"/>
    <col min="11522" max="11522" width="17.6640625" style="135" customWidth="1"/>
    <col min="11523" max="11524" width="12.77734375" style="135" customWidth="1"/>
    <col min="11525" max="11525" width="15.109375" style="135"/>
    <col min="11526" max="11526" width="17.6640625" style="135" customWidth="1"/>
    <col min="11527" max="11527" width="15.33203125" style="135" customWidth="1"/>
    <col min="11528" max="11774" width="15.109375" style="135"/>
    <col min="11775" max="11775" width="2.77734375" style="135" customWidth="1"/>
    <col min="11776" max="11776" width="26.33203125" style="135" customWidth="1"/>
    <col min="11777" max="11777" width="11.77734375" style="135" customWidth="1"/>
    <col min="11778" max="11778" width="17.6640625" style="135" customWidth="1"/>
    <col min="11779" max="11780" width="12.77734375" style="135" customWidth="1"/>
    <col min="11781" max="11781" width="15.109375" style="135"/>
    <col min="11782" max="11782" width="17.6640625" style="135" customWidth="1"/>
    <col min="11783" max="11783" width="15.33203125" style="135" customWidth="1"/>
    <col min="11784" max="12030" width="15.109375" style="135"/>
    <col min="12031" max="12031" width="2.77734375" style="135" customWidth="1"/>
    <col min="12032" max="12032" width="26.33203125" style="135" customWidth="1"/>
    <col min="12033" max="12033" width="11.77734375" style="135" customWidth="1"/>
    <col min="12034" max="12034" width="17.6640625" style="135" customWidth="1"/>
    <col min="12035" max="12036" width="12.77734375" style="135" customWidth="1"/>
    <col min="12037" max="12037" width="15.109375" style="135"/>
    <col min="12038" max="12038" width="17.6640625" style="135" customWidth="1"/>
    <col min="12039" max="12039" width="15.33203125" style="135" customWidth="1"/>
    <col min="12040" max="12286" width="15.109375" style="135"/>
    <col min="12287" max="12287" width="2.77734375" style="135" customWidth="1"/>
    <col min="12288" max="12288" width="26.33203125" style="135" customWidth="1"/>
    <col min="12289" max="12289" width="11.77734375" style="135" customWidth="1"/>
    <col min="12290" max="12290" width="17.6640625" style="135" customWidth="1"/>
    <col min="12291" max="12292" width="12.77734375" style="135" customWidth="1"/>
    <col min="12293" max="12293" width="15.109375" style="135"/>
    <col min="12294" max="12294" width="17.6640625" style="135" customWidth="1"/>
    <col min="12295" max="12295" width="15.33203125" style="135" customWidth="1"/>
    <col min="12296" max="12542" width="15.109375" style="135"/>
    <col min="12543" max="12543" width="2.77734375" style="135" customWidth="1"/>
    <col min="12544" max="12544" width="26.33203125" style="135" customWidth="1"/>
    <col min="12545" max="12545" width="11.77734375" style="135" customWidth="1"/>
    <col min="12546" max="12546" width="17.6640625" style="135" customWidth="1"/>
    <col min="12547" max="12548" width="12.77734375" style="135" customWidth="1"/>
    <col min="12549" max="12549" width="15.109375" style="135"/>
    <col min="12550" max="12550" width="17.6640625" style="135" customWidth="1"/>
    <col min="12551" max="12551" width="15.33203125" style="135" customWidth="1"/>
    <col min="12552" max="12798" width="15.109375" style="135"/>
    <col min="12799" max="12799" width="2.77734375" style="135" customWidth="1"/>
    <col min="12800" max="12800" width="26.33203125" style="135" customWidth="1"/>
    <col min="12801" max="12801" width="11.77734375" style="135" customWidth="1"/>
    <col min="12802" max="12802" width="17.6640625" style="135" customWidth="1"/>
    <col min="12803" max="12804" width="12.77734375" style="135" customWidth="1"/>
    <col min="12805" max="12805" width="15.109375" style="135"/>
    <col min="12806" max="12806" width="17.6640625" style="135" customWidth="1"/>
    <col min="12807" max="12807" width="15.33203125" style="135" customWidth="1"/>
    <col min="12808" max="13054" width="15.109375" style="135"/>
    <col min="13055" max="13055" width="2.77734375" style="135" customWidth="1"/>
    <col min="13056" max="13056" width="26.33203125" style="135" customWidth="1"/>
    <col min="13057" max="13057" width="11.77734375" style="135" customWidth="1"/>
    <col min="13058" max="13058" width="17.6640625" style="135" customWidth="1"/>
    <col min="13059" max="13060" width="12.77734375" style="135" customWidth="1"/>
    <col min="13061" max="13061" width="15.109375" style="135"/>
    <col min="13062" max="13062" width="17.6640625" style="135" customWidth="1"/>
    <col min="13063" max="13063" width="15.33203125" style="135" customWidth="1"/>
    <col min="13064" max="13310" width="15.109375" style="135"/>
    <col min="13311" max="13311" width="2.77734375" style="135" customWidth="1"/>
    <col min="13312" max="13312" width="26.33203125" style="135" customWidth="1"/>
    <col min="13313" max="13313" width="11.77734375" style="135" customWidth="1"/>
    <col min="13314" max="13314" width="17.6640625" style="135" customWidth="1"/>
    <col min="13315" max="13316" width="12.77734375" style="135" customWidth="1"/>
    <col min="13317" max="13317" width="15.109375" style="135"/>
    <col min="13318" max="13318" width="17.6640625" style="135" customWidth="1"/>
    <col min="13319" max="13319" width="15.33203125" style="135" customWidth="1"/>
    <col min="13320" max="13566" width="15.109375" style="135"/>
    <col min="13567" max="13567" width="2.77734375" style="135" customWidth="1"/>
    <col min="13568" max="13568" width="26.33203125" style="135" customWidth="1"/>
    <col min="13569" max="13569" width="11.77734375" style="135" customWidth="1"/>
    <col min="13570" max="13570" width="17.6640625" style="135" customWidth="1"/>
    <col min="13571" max="13572" width="12.77734375" style="135" customWidth="1"/>
    <col min="13573" max="13573" width="15.109375" style="135"/>
    <col min="13574" max="13574" width="17.6640625" style="135" customWidth="1"/>
    <col min="13575" max="13575" width="15.33203125" style="135" customWidth="1"/>
    <col min="13576" max="13822" width="15.109375" style="135"/>
    <col min="13823" max="13823" width="2.77734375" style="135" customWidth="1"/>
    <col min="13824" max="13824" width="26.33203125" style="135" customWidth="1"/>
    <col min="13825" max="13825" width="11.77734375" style="135" customWidth="1"/>
    <col min="13826" max="13826" width="17.6640625" style="135" customWidth="1"/>
    <col min="13827" max="13828" width="12.77734375" style="135" customWidth="1"/>
    <col min="13829" max="13829" width="15.109375" style="135"/>
    <col min="13830" max="13830" width="17.6640625" style="135" customWidth="1"/>
    <col min="13831" max="13831" width="15.33203125" style="135" customWidth="1"/>
    <col min="13832" max="14078" width="15.109375" style="135"/>
    <col min="14079" max="14079" width="2.77734375" style="135" customWidth="1"/>
    <col min="14080" max="14080" width="26.33203125" style="135" customWidth="1"/>
    <col min="14081" max="14081" width="11.77734375" style="135" customWidth="1"/>
    <col min="14082" max="14082" width="17.6640625" style="135" customWidth="1"/>
    <col min="14083" max="14084" width="12.77734375" style="135" customWidth="1"/>
    <col min="14085" max="14085" width="15.109375" style="135"/>
    <col min="14086" max="14086" width="17.6640625" style="135" customWidth="1"/>
    <col min="14087" max="14087" width="15.33203125" style="135" customWidth="1"/>
    <col min="14088" max="14334" width="15.109375" style="135"/>
    <col min="14335" max="14335" width="2.77734375" style="135" customWidth="1"/>
    <col min="14336" max="14336" width="26.33203125" style="135" customWidth="1"/>
    <col min="14337" max="14337" width="11.77734375" style="135" customWidth="1"/>
    <col min="14338" max="14338" width="17.6640625" style="135" customWidth="1"/>
    <col min="14339" max="14340" width="12.77734375" style="135" customWidth="1"/>
    <col min="14341" max="14341" width="15.109375" style="135"/>
    <col min="14342" max="14342" width="17.6640625" style="135" customWidth="1"/>
    <col min="14343" max="14343" width="15.33203125" style="135" customWidth="1"/>
    <col min="14344" max="14590" width="15.109375" style="135"/>
    <col min="14591" max="14591" width="2.77734375" style="135" customWidth="1"/>
    <col min="14592" max="14592" width="26.33203125" style="135" customWidth="1"/>
    <col min="14593" max="14593" width="11.77734375" style="135" customWidth="1"/>
    <col min="14594" max="14594" width="17.6640625" style="135" customWidth="1"/>
    <col min="14595" max="14596" width="12.77734375" style="135" customWidth="1"/>
    <col min="14597" max="14597" width="15.109375" style="135"/>
    <col min="14598" max="14598" width="17.6640625" style="135" customWidth="1"/>
    <col min="14599" max="14599" width="15.33203125" style="135" customWidth="1"/>
    <col min="14600" max="14846" width="15.109375" style="135"/>
    <col min="14847" max="14847" width="2.77734375" style="135" customWidth="1"/>
    <col min="14848" max="14848" width="26.33203125" style="135" customWidth="1"/>
    <col min="14849" max="14849" width="11.77734375" style="135" customWidth="1"/>
    <col min="14850" max="14850" width="17.6640625" style="135" customWidth="1"/>
    <col min="14851" max="14852" width="12.77734375" style="135" customWidth="1"/>
    <col min="14853" max="14853" width="15.109375" style="135"/>
    <col min="14854" max="14854" width="17.6640625" style="135" customWidth="1"/>
    <col min="14855" max="14855" width="15.33203125" style="135" customWidth="1"/>
    <col min="14856" max="15102" width="15.109375" style="135"/>
    <col min="15103" max="15103" width="2.77734375" style="135" customWidth="1"/>
    <col min="15104" max="15104" width="26.33203125" style="135" customWidth="1"/>
    <col min="15105" max="15105" width="11.77734375" style="135" customWidth="1"/>
    <col min="15106" max="15106" width="17.6640625" style="135" customWidth="1"/>
    <col min="15107" max="15108" width="12.77734375" style="135" customWidth="1"/>
    <col min="15109" max="15109" width="15.109375" style="135"/>
    <col min="15110" max="15110" width="17.6640625" style="135" customWidth="1"/>
    <col min="15111" max="15111" width="15.33203125" style="135" customWidth="1"/>
    <col min="15112" max="15358" width="15.109375" style="135"/>
    <col min="15359" max="15359" width="2.77734375" style="135" customWidth="1"/>
    <col min="15360" max="15360" width="26.33203125" style="135" customWidth="1"/>
    <col min="15361" max="15361" width="11.77734375" style="135" customWidth="1"/>
    <col min="15362" max="15362" width="17.6640625" style="135" customWidth="1"/>
    <col min="15363" max="15364" width="12.77734375" style="135" customWidth="1"/>
    <col min="15365" max="15365" width="15.109375" style="135"/>
    <col min="15366" max="15366" width="17.6640625" style="135" customWidth="1"/>
    <col min="15367" max="15367" width="15.33203125" style="135" customWidth="1"/>
    <col min="15368" max="15614" width="15.109375" style="135"/>
    <col min="15615" max="15615" width="2.77734375" style="135" customWidth="1"/>
    <col min="15616" max="15616" width="26.33203125" style="135" customWidth="1"/>
    <col min="15617" max="15617" width="11.77734375" style="135" customWidth="1"/>
    <col min="15618" max="15618" width="17.6640625" style="135" customWidth="1"/>
    <col min="15619" max="15620" width="12.77734375" style="135" customWidth="1"/>
    <col min="15621" max="15621" width="15.109375" style="135"/>
    <col min="15622" max="15622" width="17.6640625" style="135" customWidth="1"/>
    <col min="15623" max="15623" width="15.33203125" style="135" customWidth="1"/>
    <col min="15624" max="15870" width="15.109375" style="135"/>
    <col min="15871" max="15871" width="2.77734375" style="135" customWidth="1"/>
    <col min="15872" max="15872" width="26.33203125" style="135" customWidth="1"/>
    <col min="15873" max="15873" width="11.77734375" style="135" customWidth="1"/>
    <col min="15874" max="15874" width="17.6640625" style="135" customWidth="1"/>
    <col min="15875" max="15876" width="12.77734375" style="135" customWidth="1"/>
    <col min="15877" max="15877" width="15.109375" style="135"/>
    <col min="15878" max="15878" width="17.6640625" style="135" customWidth="1"/>
    <col min="15879" max="15879" width="15.33203125" style="135" customWidth="1"/>
    <col min="15880" max="16126" width="15.109375" style="135"/>
    <col min="16127" max="16127" width="2.77734375" style="135" customWidth="1"/>
    <col min="16128" max="16128" width="26.33203125" style="135" customWidth="1"/>
    <col min="16129" max="16129" width="11.77734375" style="135" customWidth="1"/>
    <col min="16130" max="16130" width="17.6640625" style="135" customWidth="1"/>
    <col min="16131" max="16132" width="12.77734375" style="135" customWidth="1"/>
    <col min="16133" max="16133" width="15.109375" style="135"/>
    <col min="16134" max="16134" width="17.6640625" style="135" customWidth="1"/>
    <col min="16135" max="16135" width="15.33203125" style="135" customWidth="1"/>
    <col min="16136" max="16384" width="15.109375" style="135"/>
  </cols>
  <sheetData>
    <row r="1" spans="1:21" s="15" customFormat="1" ht="39" customHeight="1" x14ac:dyDescent="0.25">
      <c r="F1" s="14" t="str">
        <f>Instructivo!F1</f>
        <v>Sistema de Gestión Integral (SGI)
Instructivo - Componente Financiero EP
Código: F-PGC-21. Versión: 05</v>
      </c>
      <c r="G1" s="14"/>
      <c r="H1" s="14"/>
      <c r="I1" s="14"/>
      <c r="J1" s="14"/>
      <c r="K1" s="14"/>
      <c r="M1" s="132" t="s">
        <v>102</v>
      </c>
    </row>
    <row r="2" spans="1:21" s="15" customFormat="1" ht="18" customHeight="1" x14ac:dyDescent="0.25">
      <c r="F2" s="13" t="s">
        <v>421</v>
      </c>
      <c r="G2" s="13"/>
      <c r="H2" s="13"/>
      <c r="I2" s="13"/>
      <c r="J2" s="13"/>
      <c r="K2" s="13"/>
    </row>
    <row r="3" spans="1:21" ht="6" customHeight="1" x14ac:dyDescent="0.25"/>
    <row r="4" spans="1:21" ht="6" customHeight="1" x14ac:dyDescent="0.25"/>
    <row r="5" spans="1:21" ht="18" customHeight="1" x14ac:dyDescent="0.25">
      <c r="A5" s="1031" t="s">
        <v>104</v>
      </c>
      <c r="B5" s="1031"/>
      <c r="C5" s="1011">
        <f>'Plan Ejecución'!AE4</f>
        <v>0</v>
      </c>
      <c r="D5" s="1011"/>
      <c r="E5" s="1011"/>
      <c r="F5" s="1011"/>
      <c r="G5" s="1011"/>
      <c r="H5" s="1011"/>
      <c r="I5" s="1011"/>
      <c r="J5" s="1011"/>
      <c r="K5" s="1011"/>
      <c r="L5" s="1011"/>
      <c r="M5" s="1011"/>
      <c r="N5" s="1011"/>
      <c r="O5" s="1011"/>
      <c r="P5" s="1011"/>
      <c r="Q5" s="1011"/>
      <c r="R5" s="1011"/>
      <c r="S5" s="1011"/>
    </row>
    <row r="6" spans="1:21" ht="18" customHeight="1" x14ac:dyDescent="0.25">
      <c r="A6" s="1031" t="s">
        <v>105</v>
      </c>
      <c r="B6" s="1031"/>
      <c r="C6" s="1011">
        <f>'Plan Ejecución'!AE5</f>
        <v>0</v>
      </c>
      <c r="D6" s="1011"/>
      <c r="E6" s="1011"/>
      <c r="F6" s="1011"/>
      <c r="G6" s="1011"/>
      <c r="H6" s="1011"/>
      <c r="I6" s="1011"/>
      <c r="J6" s="1011"/>
      <c r="K6" s="1011"/>
      <c r="L6" s="1011"/>
      <c r="M6" s="1011"/>
      <c r="N6" s="1011"/>
      <c r="O6" s="1011"/>
      <c r="P6" s="1011"/>
      <c r="Q6" s="1011"/>
      <c r="R6" s="1011"/>
      <c r="S6" s="1011"/>
    </row>
    <row r="7" spans="1:21" ht="18" customHeight="1" x14ac:dyDescent="0.25">
      <c r="A7" s="306"/>
      <c r="B7" s="306"/>
      <c r="C7" s="306"/>
      <c r="D7" s="306"/>
      <c r="E7" s="306"/>
      <c r="F7" s="306"/>
      <c r="G7" s="306"/>
      <c r="H7" s="306"/>
      <c r="I7" s="306"/>
      <c r="J7" s="306"/>
      <c r="K7" s="306"/>
      <c r="L7" s="306"/>
    </row>
    <row r="8" spans="1:21" ht="18" customHeight="1" x14ac:dyDescent="0.25">
      <c r="A8" s="1032" t="s">
        <v>378</v>
      </c>
      <c r="B8" s="1032"/>
      <c r="C8" s="1032"/>
      <c r="D8" s="1032"/>
      <c r="E8" s="1032"/>
      <c r="F8" s="1032"/>
      <c r="G8" s="1032"/>
      <c r="H8" s="1032"/>
      <c r="I8" s="1033" t="s">
        <v>422</v>
      </c>
      <c r="J8" s="1033"/>
      <c r="K8" s="1033"/>
      <c r="L8" s="1033"/>
      <c r="N8" s="1034" t="s">
        <v>423</v>
      </c>
      <c r="O8" s="1034"/>
      <c r="P8" s="1034"/>
      <c r="Q8" s="1034"/>
      <c r="R8" s="1034"/>
      <c r="S8" s="1034"/>
    </row>
    <row r="9" spans="1:21" ht="18" customHeight="1" x14ac:dyDescent="0.25">
      <c r="A9" s="1035" t="s">
        <v>380</v>
      </c>
      <c r="B9" s="1036" t="s">
        <v>381</v>
      </c>
      <c r="C9" s="1036" t="s">
        <v>382</v>
      </c>
      <c r="D9" s="1036" t="s">
        <v>113</v>
      </c>
      <c r="E9" s="1036" t="s">
        <v>383</v>
      </c>
      <c r="F9" s="1036" t="s">
        <v>384</v>
      </c>
      <c r="G9" s="1036" t="s">
        <v>385</v>
      </c>
      <c r="H9" s="1037" t="s">
        <v>386</v>
      </c>
      <c r="I9" s="1038" t="s">
        <v>424</v>
      </c>
      <c r="J9" s="1038"/>
      <c r="K9" s="1039" t="s">
        <v>425</v>
      </c>
      <c r="L9" s="1039"/>
      <c r="N9" s="1034"/>
      <c r="O9" s="1034"/>
      <c r="P9" s="1034"/>
      <c r="Q9" s="1034"/>
      <c r="R9" s="1034"/>
      <c r="S9" s="1034"/>
    </row>
    <row r="10" spans="1:21" ht="18" customHeight="1" x14ac:dyDescent="0.25">
      <c r="A10" s="1035"/>
      <c r="B10" s="1036"/>
      <c r="C10" s="1036"/>
      <c r="D10" s="1036"/>
      <c r="E10" s="1036"/>
      <c r="F10" s="1036"/>
      <c r="G10" s="1036"/>
      <c r="H10" s="1037"/>
      <c r="I10" s="309" t="s">
        <v>426</v>
      </c>
      <c r="J10" s="309" t="s">
        <v>427</v>
      </c>
      <c r="K10" s="309" t="s">
        <v>426</v>
      </c>
      <c r="L10" s="310" t="s">
        <v>427</v>
      </c>
      <c r="N10" s="311" t="s">
        <v>141</v>
      </c>
      <c r="O10" s="312" t="s">
        <v>181</v>
      </c>
      <c r="P10" s="312" t="s">
        <v>212</v>
      </c>
      <c r="Q10" s="312" t="s">
        <v>243</v>
      </c>
      <c r="R10" s="312" t="s">
        <v>274</v>
      </c>
      <c r="S10" s="313" t="s">
        <v>305</v>
      </c>
    </row>
    <row r="11" spans="1:21" ht="18" customHeight="1" x14ac:dyDescent="0.25">
      <c r="A11" s="1040" t="s">
        <v>387</v>
      </c>
      <c r="B11" s="1040"/>
      <c r="C11" s="1040"/>
      <c r="D11" s="1040"/>
      <c r="E11" s="1040"/>
      <c r="F11" s="1040"/>
      <c r="G11" s="1040"/>
      <c r="H11" s="1040"/>
      <c r="I11" s="1040"/>
      <c r="J11" s="1040"/>
      <c r="K11" s="1040"/>
      <c r="L11" s="1040"/>
      <c r="N11" s="222"/>
      <c r="O11" s="209"/>
      <c r="P11" s="209"/>
      <c r="Q11" s="209"/>
      <c r="R11" s="209"/>
      <c r="S11" s="210"/>
    </row>
    <row r="12" spans="1:21" ht="18" customHeight="1" x14ac:dyDescent="0.25">
      <c r="A12" s="314"/>
      <c r="B12" s="212"/>
      <c r="C12" s="213"/>
      <c r="D12" s="214"/>
      <c r="E12" s="315"/>
      <c r="F12" s="216" t="str">
        <f>IFERROR(VLOOKUP(A12,Honorarios!$A$8:$C$14,2,FALSE()),"")</f>
        <v/>
      </c>
      <c r="G12" s="223">
        <f>IFERROR(B12*C12*E12*F12*#REF!,0)</f>
        <v>0</v>
      </c>
      <c r="H12" s="316">
        <f t="shared" ref="H12:H43" si="0">IFERROR(G12/$G$100,0)</f>
        <v>0</v>
      </c>
      <c r="I12" s="317"/>
      <c r="J12" s="318"/>
      <c r="K12" s="318"/>
      <c r="L12" s="319"/>
      <c r="M12" s="227">
        <f t="shared" ref="M12:M43" si="1">IFERROR(G12-SUM(I12:L12),"")</f>
        <v>0</v>
      </c>
      <c r="N12" s="320"/>
      <c r="O12" s="318"/>
      <c r="P12" s="318"/>
      <c r="Q12" s="318"/>
      <c r="R12" s="318"/>
      <c r="S12" s="319"/>
      <c r="T12" s="227">
        <f t="shared" ref="T12:T43" si="2">I12-SUM(N12:S12)</f>
        <v>0</v>
      </c>
      <c r="U12" s="227"/>
    </row>
    <row r="13" spans="1:21" ht="18" customHeight="1" x14ac:dyDescent="0.25">
      <c r="A13" s="314"/>
      <c r="B13" s="212"/>
      <c r="C13" s="213"/>
      <c r="D13" s="214"/>
      <c r="E13" s="315"/>
      <c r="F13" s="216" t="str">
        <f>IFERROR(VLOOKUP(A13,Honorarios!$A$8:$C$14,2,FALSE()),"")</f>
        <v/>
      </c>
      <c r="G13" s="223">
        <f>IFERROR(B13*C13*E13*F13*#REF!,0)</f>
        <v>0</v>
      </c>
      <c r="H13" s="316">
        <f t="shared" si="0"/>
        <v>0</v>
      </c>
      <c r="I13" s="317"/>
      <c r="J13" s="318"/>
      <c r="K13" s="318"/>
      <c r="L13" s="319"/>
      <c r="M13" s="227">
        <f t="shared" si="1"/>
        <v>0</v>
      </c>
      <c r="N13" s="320"/>
      <c r="O13" s="318"/>
      <c r="P13" s="318"/>
      <c r="Q13" s="318"/>
      <c r="R13" s="318"/>
      <c r="S13" s="319"/>
      <c r="T13" s="227">
        <f t="shared" si="2"/>
        <v>0</v>
      </c>
      <c r="U13" s="227"/>
    </row>
    <row r="14" spans="1:21" ht="18" customHeight="1" x14ac:dyDescent="0.25">
      <c r="A14" s="314"/>
      <c r="B14" s="212"/>
      <c r="C14" s="213"/>
      <c r="D14" s="214"/>
      <c r="E14" s="315"/>
      <c r="F14" s="216" t="str">
        <f>IFERROR(VLOOKUP(A14,Honorarios!$A$8:$C$14,2,FALSE()),"")</f>
        <v/>
      </c>
      <c r="G14" s="223">
        <f>IFERROR(B14*C14*E14*F14*#REF!,0)</f>
        <v>0</v>
      </c>
      <c r="H14" s="316">
        <f t="shared" si="0"/>
        <v>0</v>
      </c>
      <c r="I14" s="317"/>
      <c r="J14" s="318"/>
      <c r="K14" s="318"/>
      <c r="L14" s="319"/>
      <c r="M14" s="227">
        <f t="shared" si="1"/>
        <v>0</v>
      </c>
      <c r="N14" s="320"/>
      <c r="O14" s="318"/>
      <c r="P14" s="318"/>
      <c r="Q14" s="318"/>
      <c r="R14" s="318"/>
      <c r="S14" s="319"/>
      <c r="T14" s="227">
        <f t="shared" si="2"/>
        <v>0</v>
      </c>
      <c r="U14" s="227"/>
    </row>
    <row r="15" spans="1:21" ht="18" customHeight="1" x14ac:dyDescent="0.25">
      <c r="A15" s="314"/>
      <c r="B15" s="212"/>
      <c r="C15" s="213"/>
      <c r="D15" s="214"/>
      <c r="E15" s="315"/>
      <c r="F15" s="216" t="str">
        <f>IFERROR(VLOOKUP(A15,Honorarios!$A$8:$C$14,2,FALSE()),"")</f>
        <v/>
      </c>
      <c r="G15" s="223">
        <f>IFERROR(B15*C15*E15*F15*#REF!,0)</f>
        <v>0</v>
      </c>
      <c r="H15" s="316">
        <f t="shared" si="0"/>
        <v>0</v>
      </c>
      <c r="I15" s="317"/>
      <c r="J15" s="318"/>
      <c r="K15" s="318"/>
      <c r="L15" s="319"/>
      <c r="M15" s="227">
        <f t="shared" si="1"/>
        <v>0</v>
      </c>
      <c r="N15" s="320"/>
      <c r="O15" s="318"/>
      <c r="P15" s="318"/>
      <c r="Q15" s="318"/>
      <c r="R15" s="318"/>
      <c r="S15" s="319"/>
      <c r="T15" s="227">
        <f t="shared" si="2"/>
        <v>0</v>
      </c>
      <c r="U15" s="227"/>
    </row>
    <row r="16" spans="1:21" ht="18" customHeight="1" x14ac:dyDescent="0.25">
      <c r="A16" s="314"/>
      <c r="B16" s="212"/>
      <c r="C16" s="213"/>
      <c r="D16" s="214"/>
      <c r="E16" s="315"/>
      <c r="F16" s="216" t="str">
        <f>IFERROR(VLOOKUP(A16,Honorarios!$A$8:$C$14,2,FALSE()),"")</f>
        <v/>
      </c>
      <c r="G16" s="223">
        <f>IFERROR(B16*C16*E16*F16*#REF!,0)</f>
        <v>0</v>
      </c>
      <c r="H16" s="316">
        <f t="shared" si="0"/>
        <v>0</v>
      </c>
      <c r="I16" s="317"/>
      <c r="J16" s="318"/>
      <c r="K16" s="318"/>
      <c r="L16" s="319"/>
      <c r="M16" s="227">
        <f t="shared" si="1"/>
        <v>0</v>
      </c>
      <c r="N16" s="320"/>
      <c r="O16" s="318"/>
      <c r="P16" s="318"/>
      <c r="Q16" s="318"/>
      <c r="R16" s="318"/>
      <c r="S16" s="319"/>
      <c r="T16" s="227">
        <f t="shared" si="2"/>
        <v>0</v>
      </c>
      <c r="U16" s="227"/>
    </row>
    <row r="17" spans="1:21" ht="18" hidden="1" customHeight="1" x14ac:dyDescent="0.25">
      <c r="A17" s="314"/>
      <c r="B17" s="212"/>
      <c r="C17" s="213"/>
      <c r="D17" s="214"/>
      <c r="E17" s="315"/>
      <c r="F17" s="216" t="str">
        <f>IFERROR(VLOOKUP(A17,Honorarios!$A$8:$C$14,2,FALSE()),"")</f>
        <v/>
      </c>
      <c r="G17" s="223">
        <f>IFERROR(B17*C17*E17*F17*#REF!,0)</f>
        <v>0</v>
      </c>
      <c r="H17" s="316">
        <f t="shared" si="0"/>
        <v>0</v>
      </c>
      <c r="I17" s="317"/>
      <c r="J17" s="318"/>
      <c r="K17" s="318"/>
      <c r="L17" s="319"/>
      <c r="M17" s="227">
        <f t="shared" si="1"/>
        <v>0</v>
      </c>
      <c r="N17" s="320"/>
      <c r="O17" s="318"/>
      <c r="P17" s="318"/>
      <c r="Q17" s="318"/>
      <c r="R17" s="318"/>
      <c r="S17" s="319"/>
      <c r="T17" s="227">
        <f t="shared" si="2"/>
        <v>0</v>
      </c>
      <c r="U17" s="227"/>
    </row>
    <row r="18" spans="1:21" ht="18" hidden="1" customHeight="1" x14ac:dyDescent="0.25">
      <c r="A18" s="314"/>
      <c r="B18" s="212"/>
      <c r="C18" s="213"/>
      <c r="D18" s="214"/>
      <c r="E18" s="315"/>
      <c r="F18" s="216" t="str">
        <f>IFERROR(VLOOKUP(A18,Honorarios!$A$8:$C$14,2,FALSE()),"")</f>
        <v/>
      </c>
      <c r="G18" s="223">
        <f>IFERROR(B18*C18*E18*F18*#REF!,0)</f>
        <v>0</v>
      </c>
      <c r="H18" s="316">
        <f t="shared" si="0"/>
        <v>0</v>
      </c>
      <c r="I18" s="317"/>
      <c r="J18" s="318"/>
      <c r="K18" s="318"/>
      <c r="L18" s="319"/>
      <c r="M18" s="227">
        <f t="shared" si="1"/>
        <v>0</v>
      </c>
      <c r="N18" s="320"/>
      <c r="O18" s="318"/>
      <c r="P18" s="318"/>
      <c r="Q18" s="318"/>
      <c r="R18" s="318"/>
      <c r="S18" s="319"/>
      <c r="T18" s="227">
        <f t="shared" si="2"/>
        <v>0</v>
      </c>
      <c r="U18" s="227"/>
    </row>
    <row r="19" spans="1:21" ht="18" hidden="1" customHeight="1" x14ac:dyDescent="0.25">
      <c r="A19" s="314"/>
      <c r="B19" s="212"/>
      <c r="C19" s="213"/>
      <c r="D19" s="214"/>
      <c r="E19" s="315"/>
      <c r="F19" s="216" t="str">
        <f>IFERROR(VLOOKUP(A19,Honorarios!$A$8:$C$14,2,FALSE()),"")</f>
        <v/>
      </c>
      <c r="G19" s="223">
        <f>IFERROR(B19*C19*E19*F19*#REF!,0)</f>
        <v>0</v>
      </c>
      <c r="H19" s="316">
        <f t="shared" si="0"/>
        <v>0</v>
      </c>
      <c r="I19" s="317"/>
      <c r="J19" s="318"/>
      <c r="K19" s="318"/>
      <c r="L19" s="319"/>
      <c r="M19" s="227">
        <f t="shared" si="1"/>
        <v>0</v>
      </c>
      <c r="N19" s="320"/>
      <c r="O19" s="318"/>
      <c r="P19" s="318"/>
      <c r="Q19" s="318"/>
      <c r="R19" s="318"/>
      <c r="S19" s="319"/>
      <c r="T19" s="227">
        <f t="shared" si="2"/>
        <v>0</v>
      </c>
      <c r="U19" s="227"/>
    </row>
    <row r="20" spans="1:21" ht="18" hidden="1" customHeight="1" x14ac:dyDescent="0.25">
      <c r="A20" s="314"/>
      <c r="B20" s="212"/>
      <c r="C20" s="213"/>
      <c r="D20" s="214"/>
      <c r="E20" s="315"/>
      <c r="F20" s="216" t="str">
        <f>IFERROR(VLOOKUP(A20,Honorarios!$A$8:$C$14,2,FALSE()),"")</f>
        <v/>
      </c>
      <c r="G20" s="223">
        <f>IFERROR(B20*C20*E20*F20*#REF!,0)</f>
        <v>0</v>
      </c>
      <c r="H20" s="316">
        <f t="shared" si="0"/>
        <v>0</v>
      </c>
      <c r="I20" s="317"/>
      <c r="J20" s="318"/>
      <c r="K20" s="318"/>
      <c r="L20" s="319"/>
      <c r="M20" s="227">
        <f t="shared" si="1"/>
        <v>0</v>
      </c>
      <c r="N20" s="320"/>
      <c r="O20" s="318"/>
      <c r="P20" s="318"/>
      <c r="Q20" s="318"/>
      <c r="R20" s="318"/>
      <c r="S20" s="319"/>
      <c r="T20" s="227">
        <f t="shared" si="2"/>
        <v>0</v>
      </c>
      <c r="U20" s="227"/>
    </row>
    <row r="21" spans="1:21" ht="18" hidden="1" customHeight="1" x14ac:dyDescent="0.25">
      <c r="A21" s="314"/>
      <c r="B21" s="212"/>
      <c r="C21" s="213"/>
      <c r="D21" s="214"/>
      <c r="E21" s="315"/>
      <c r="F21" s="216" t="str">
        <f>IFERROR(VLOOKUP(A21,Honorarios!$A$8:$C$14,2,FALSE()),"")</f>
        <v/>
      </c>
      <c r="G21" s="223">
        <f>IFERROR(B21*C21*E21*F21*#REF!,0)</f>
        <v>0</v>
      </c>
      <c r="H21" s="316">
        <f t="shared" si="0"/>
        <v>0</v>
      </c>
      <c r="I21" s="317"/>
      <c r="J21" s="318"/>
      <c r="K21" s="318"/>
      <c r="L21" s="319"/>
      <c r="M21" s="227">
        <f t="shared" si="1"/>
        <v>0</v>
      </c>
      <c r="N21" s="320"/>
      <c r="O21" s="318"/>
      <c r="P21" s="318"/>
      <c r="Q21" s="318"/>
      <c r="R21" s="318"/>
      <c r="S21" s="319"/>
      <c r="T21" s="227">
        <f t="shared" si="2"/>
        <v>0</v>
      </c>
      <c r="U21" s="227"/>
    </row>
    <row r="22" spans="1:21" ht="18" hidden="1" customHeight="1" x14ac:dyDescent="0.25">
      <c r="A22" s="314"/>
      <c r="B22" s="212"/>
      <c r="C22" s="213"/>
      <c r="D22" s="214"/>
      <c r="E22" s="315"/>
      <c r="F22" s="216" t="str">
        <f>IFERROR(VLOOKUP(A22,Honorarios!$A$8:$C$14,2,FALSE()),"")</f>
        <v/>
      </c>
      <c r="G22" s="223">
        <f>IFERROR(B22*C22*E22*F22*#REF!,0)</f>
        <v>0</v>
      </c>
      <c r="H22" s="316">
        <f t="shared" si="0"/>
        <v>0</v>
      </c>
      <c r="I22" s="317"/>
      <c r="J22" s="318"/>
      <c r="K22" s="318"/>
      <c r="L22" s="319"/>
      <c r="M22" s="227">
        <f t="shared" si="1"/>
        <v>0</v>
      </c>
      <c r="N22" s="320"/>
      <c r="O22" s="318"/>
      <c r="P22" s="318"/>
      <c r="Q22" s="318"/>
      <c r="R22" s="318"/>
      <c r="S22" s="319"/>
      <c r="T22" s="227">
        <f t="shared" si="2"/>
        <v>0</v>
      </c>
      <c r="U22" s="227"/>
    </row>
    <row r="23" spans="1:21" ht="18" hidden="1" customHeight="1" x14ac:dyDescent="0.25">
      <c r="A23" s="314"/>
      <c r="B23" s="212"/>
      <c r="C23" s="213"/>
      <c r="D23" s="214"/>
      <c r="E23" s="315"/>
      <c r="F23" s="216" t="str">
        <f>IFERROR(VLOOKUP(A23,Honorarios!$A$8:$C$14,2,FALSE()),"")</f>
        <v/>
      </c>
      <c r="G23" s="223">
        <f>IFERROR(B23*C23*E23*F23*#REF!,0)</f>
        <v>0</v>
      </c>
      <c r="H23" s="316">
        <f t="shared" si="0"/>
        <v>0</v>
      </c>
      <c r="I23" s="317"/>
      <c r="J23" s="318"/>
      <c r="K23" s="318"/>
      <c r="L23" s="319"/>
      <c r="M23" s="227">
        <f t="shared" si="1"/>
        <v>0</v>
      </c>
      <c r="N23" s="320"/>
      <c r="O23" s="318"/>
      <c r="P23" s="318"/>
      <c r="Q23" s="318"/>
      <c r="R23" s="318"/>
      <c r="S23" s="319"/>
      <c r="T23" s="227">
        <f t="shared" si="2"/>
        <v>0</v>
      </c>
      <c r="U23" s="227"/>
    </row>
    <row r="24" spans="1:21" ht="18" hidden="1" customHeight="1" x14ac:dyDescent="0.25">
      <c r="A24" s="314"/>
      <c r="B24" s="212"/>
      <c r="C24" s="213"/>
      <c r="D24" s="214"/>
      <c r="E24" s="315"/>
      <c r="F24" s="216" t="str">
        <f>IFERROR(VLOOKUP(A24,Honorarios!$A$8:$C$14,2,FALSE()),"")</f>
        <v/>
      </c>
      <c r="G24" s="223">
        <f>IFERROR(B24*C24*E24*F24*#REF!,0)</f>
        <v>0</v>
      </c>
      <c r="H24" s="316">
        <f t="shared" si="0"/>
        <v>0</v>
      </c>
      <c r="I24" s="317"/>
      <c r="J24" s="318"/>
      <c r="K24" s="318"/>
      <c r="L24" s="319"/>
      <c r="M24" s="227">
        <f t="shared" si="1"/>
        <v>0</v>
      </c>
      <c r="N24" s="320"/>
      <c r="O24" s="318"/>
      <c r="P24" s="318"/>
      <c r="Q24" s="318"/>
      <c r="R24" s="318"/>
      <c r="S24" s="319"/>
      <c r="T24" s="227">
        <f t="shared" si="2"/>
        <v>0</v>
      </c>
      <c r="U24" s="227"/>
    </row>
    <row r="25" spans="1:21" ht="18" hidden="1" customHeight="1" x14ac:dyDescent="0.25">
      <c r="A25" s="314"/>
      <c r="B25" s="212"/>
      <c r="C25" s="213"/>
      <c r="D25" s="214"/>
      <c r="E25" s="315"/>
      <c r="F25" s="216" t="str">
        <f>IFERROR(VLOOKUP(A25,Honorarios!$A$8:$C$14,2,FALSE()),"")</f>
        <v/>
      </c>
      <c r="G25" s="223">
        <f>IFERROR(B25*C25*E25*F25*#REF!,0)</f>
        <v>0</v>
      </c>
      <c r="H25" s="316">
        <f t="shared" si="0"/>
        <v>0</v>
      </c>
      <c r="I25" s="317"/>
      <c r="J25" s="318"/>
      <c r="K25" s="318"/>
      <c r="L25" s="319"/>
      <c r="M25" s="227">
        <f t="shared" si="1"/>
        <v>0</v>
      </c>
      <c r="N25" s="320"/>
      <c r="O25" s="318"/>
      <c r="P25" s="318"/>
      <c r="Q25" s="318"/>
      <c r="R25" s="318"/>
      <c r="S25" s="319"/>
      <c r="T25" s="227">
        <f t="shared" si="2"/>
        <v>0</v>
      </c>
      <c r="U25" s="227"/>
    </row>
    <row r="26" spans="1:21" ht="18" hidden="1" customHeight="1" x14ac:dyDescent="0.25">
      <c r="A26" s="314"/>
      <c r="B26" s="212"/>
      <c r="C26" s="213"/>
      <c r="D26" s="214"/>
      <c r="E26" s="315"/>
      <c r="F26" s="216" t="str">
        <f>IFERROR(VLOOKUP(A26,Honorarios!$A$8:$C$14,2,FALSE()),"")</f>
        <v/>
      </c>
      <c r="G26" s="223">
        <f>IFERROR(B26*C26*E26*F26*#REF!,0)</f>
        <v>0</v>
      </c>
      <c r="H26" s="316">
        <f t="shared" si="0"/>
        <v>0</v>
      </c>
      <c r="I26" s="317"/>
      <c r="J26" s="318"/>
      <c r="K26" s="318"/>
      <c r="L26" s="319"/>
      <c r="M26" s="227">
        <f t="shared" si="1"/>
        <v>0</v>
      </c>
      <c r="N26" s="320"/>
      <c r="O26" s="318"/>
      <c r="P26" s="318"/>
      <c r="Q26" s="318"/>
      <c r="R26" s="318"/>
      <c r="S26" s="319"/>
      <c r="T26" s="227">
        <f t="shared" si="2"/>
        <v>0</v>
      </c>
      <c r="U26" s="227"/>
    </row>
    <row r="27" spans="1:21" ht="18" hidden="1" customHeight="1" x14ac:dyDescent="0.25">
      <c r="A27" s="314"/>
      <c r="B27" s="212"/>
      <c r="C27" s="213"/>
      <c r="D27" s="214"/>
      <c r="E27" s="315"/>
      <c r="F27" s="216" t="str">
        <f>IFERROR(VLOOKUP(A27,Honorarios!$A$8:$C$14,2,FALSE()),"")</f>
        <v/>
      </c>
      <c r="G27" s="223">
        <f>IFERROR(B27*C27*E27*F27*#REF!,0)</f>
        <v>0</v>
      </c>
      <c r="H27" s="316">
        <f t="shared" si="0"/>
        <v>0</v>
      </c>
      <c r="I27" s="317"/>
      <c r="J27" s="318"/>
      <c r="K27" s="318"/>
      <c r="L27" s="319"/>
      <c r="M27" s="227">
        <f t="shared" si="1"/>
        <v>0</v>
      </c>
      <c r="N27" s="320"/>
      <c r="O27" s="318"/>
      <c r="P27" s="318"/>
      <c r="Q27" s="318"/>
      <c r="R27" s="318"/>
      <c r="S27" s="319"/>
      <c r="T27" s="227">
        <f t="shared" si="2"/>
        <v>0</v>
      </c>
      <c r="U27" s="227"/>
    </row>
    <row r="28" spans="1:21" ht="18" hidden="1" customHeight="1" x14ac:dyDescent="0.25">
      <c r="A28" s="314"/>
      <c r="B28" s="212"/>
      <c r="C28" s="213"/>
      <c r="D28" s="214"/>
      <c r="E28" s="315"/>
      <c r="F28" s="216" t="str">
        <f>IFERROR(VLOOKUP(A28,Honorarios!$A$8:$C$14,2,FALSE()),"")</f>
        <v/>
      </c>
      <c r="G28" s="223">
        <f>IFERROR(B28*C28*E28*F28*#REF!,0)</f>
        <v>0</v>
      </c>
      <c r="H28" s="316">
        <f t="shared" si="0"/>
        <v>0</v>
      </c>
      <c r="I28" s="317"/>
      <c r="J28" s="318"/>
      <c r="K28" s="318"/>
      <c r="L28" s="319"/>
      <c r="M28" s="227">
        <f t="shared" si="1"/>
        <v>0</v>
      </c>
      <c r="N28" s="320"/>
      <c r="O28" s="318"/>
      <c r="P28" s="318"/>
      <c r="Q28" s="318"/>
      <c r="R28" s="318"/>
      <c r="S28" s="319"/>
      <c r="T28" s="227">
        <f t="shared" si="2"/>
        <v>0</v>
      </c>
      <c r="U28" s="227"/>
    </row>
    <row r="29" spans="1:21" ht="18" hidden="1" customHeight="1" x14ac:dyDescent="0.25">
      <c r="A29" s="314"/>
      <c r="B29" s="212"/>
      <c r="C29" s="213"/>
      <c r="D29" s="214"/>
      <c r="E29" s="315"/>
      <c r="F29" s="216" t="str">
        <f>IFERROR(VLOOKUP(A29,Honorarios!$A$8:$C$14,2,FALSE()),"")</f>
        <v/>
      </c>
      <c r="G29" s="223">
        <f>IFERROR(B29*C29*E29*F29*#REF!,0)</f>
        <v>0</v>
      </c>
      <c r="H29" s="316">
        <f t="shared" si="0"/>
        <v>0</v>
      </c>
      <c r="I29" s="317"/>
      <c r="J29" s="318"/>
      <c r="K29" s="318"/>
      <c r="L29" s="319"/>
      <c r="M29" s="227">
        <f t="shared" si="1"/>
        <v>0</v>
      </c>
      <c r="N29" s="320"/>
      <c r="O29" s="318"/>
      <c r="P29" s="318"/>
      <c r="Q29" s="318"/>
      <c r="R29" s="318"/>
      <c r="S29" s="319"/>
      <c r="T29" s="227">
        <f t="shared" si="2"/>
        <v>0</v>
      </c>
      <c r="U29" s="227"/>
    </row>
    <row r="30" spans="1:21" ht="18" hidden="1" customHeight="1" x14ac:dyDescent="0.25">
      <c r="A30" s="314"/>
      <c r="B30" s="212"/>
      <c r="C30" s="213"/>
      <c r="D30" s="214"/>
      <c r="E30" s="315"/>
      <c r="F30" s="216" t="str">
        <f>IFERROR(VLOOKUP(A30,Honorarios!$A$8:$C$14,2,FALSE()),"")</f>
        <v/>
      </c>
      <c r="G30" s="223">
        <f>IFERROR(B30*C30*E30*F30*#REF!,0)</f>
        <v>0</v>
      </c>
      <c r="H30" s="316">
        <f t="shared" si="0"/>
        <v>0</v>
      </c>
      <c r="I30" s="317"/>
      <c r="J30" s="318"/>
      <c r="K30" s="318"/>
      <c r="L30" s="319"/>
      <c r="M30" s="227">
        <f t="shared" si="1"/>
        <v>0</v>
      </c>
      <c r="N30" s="320"/>
      <c r="O30" s="318"/>
      <c r="P30" s="318"/>
      <c r="Q30" s="318"/>
      <c r="R30" s="318"/>
      <c r="S30" s="319"/>
      <c r="T30" s="227">
        <f t="shared" si="2"/>
        <v>0</v>
      </c>
      <c r="U30" s="227"/>
    </row>
    <row r="31" spans="1:21" ht="18" hidden="1" customHeight="1" x14ac:dyDescent="0.25">
      <c r="A31" s="314"/>
      <c r="B31" s="212"/>
      <c r="C31" s="213"/>
      <c r="D31" s="214"/>
      <c r="E31" s="315"/>
      <c r="F31" s="216" t="str">
        <f>IFERROR(VLOOKUP(A31,Honorarios!$A$8:$C$14,2,FALSE()),"")</f>
        <v/>
      </c>
      <c r="G31" s="223">
        <f>IFERROR(B31*C31*E31*F31*#REF!,0)</f>
        <v>0</v>
      </c>
      <c r="H31" s="316">
        <f t="shared" si="0"/>
        <v>0</v>
      </c>
      <c r="I31" s="317"/>
      <c r="J31" s="318"/>
      <c r="K31" s="318"/>
      <c r="L31" s="319"/>
      <c r="M31" s="227">
        <f t="shared" si="1"/>
        <v>0</v>
      </c>
      <c r="N31" s="320"/>
      <c r="O31" s="318"/>
      <c r="P31" s="318"/>
      <c r="Q31" s="318"/>
      <c r="R31" s="318"/>
      <c r="S31" s="319"/>
      <c r="T31" s="227">
        <f t="shared" si="2"/>
        <v>0</v>
      </c>
      <c r="U31" s="227"/>
    </row>
    <row r="32" spans="1:21" ht="18" hidden="1" customHeight="1" x14ac:dyDescent="0.25">
      <c r="A32" s="314"/>
      <c r="B32" s="212"/>
      <c r="C32" s="213"/>
      <c r="D32" s="214"/>
      <c r="E32" s="315"/>
      <c r="F32" s="216" t="str">
        <f>IFERROR(VLOOKUP(A32,Honorarios!$A$8:$C$14,2,FALSE()),"")</f>
        <v/>
      </c>
      <c r="G32" s="223">
        <f>IFERROR(B32*C32*E32*F32*#REF!,0)</f>
        <v>0</v>
      </c>
      <c r="H32" s="316">
        <f t="shared" si="0"/>
        <v>0</v>
      </c>
      <c r="I32" s="317"/>
      <c r="J32" s="318"/>
      <c r="K32" s="318"/>
      <c r="L32" s="319"/>
      <c r="M32" s="227">
        <f t="shared" si="1"/>
        <v>0</v>
      </c>
      <c r="N32" s="320"/>
      <c r="O32" s="318"/>
      <c r="P32" s="318"/>
      <c r="Q32" s="318"/>
      <c r="R32" s="318"/>
      <c r="S32" s="319"/>
      <c r="T32" s="227">
        <f t="shared" si="2"/>
        <v>0</v>
      </c>
      <c r="U32" s="227"/>
    </row>
    <row r="33" spans="1:21" ht="18" hidden="1" customHeight="1" x14ac:dyDescent="0.25">
      <c r="A33" s="314"/>
      <c r="B33" s="212"/>
      <c r="C33" s="213"/>
      <c r="D33" s="214"/>
      <c r="E33" s="315"/>
      <c r="F33" s="216" t="str">
        <f>IFERROR(VLOOKUP(A33,Honorarios!$A$8:$C$14,2,FALSE()),"")</f>
        <v/>
      </c>
      <c r="G33" s="223">
        <f>IFERROR(B33*C33*E33*F33*#REF!,0)</f>
        <v>0</v>
      </c>
      <c r="H33" s="316">
        <f t="shared" si="0"/>
        <v>0</v>
      </c>
      <c r="I33" s="317"/>
      <c r="J33" s="318"/>
      <c r="K33" s="318"/>
      <c r="L33" s="319"/>
      <c r="M33" s="227">
        <f t="shared" si="1"/>
        <v>0</v>
      </c>
      <c r="N33" s="320"/>
      <c r="O33" s="318"/>
      <c r="P33" s="318"/>
      <c r="Q33" s="318"/>
      <c r="R33" s="318"/>
      <c r="S33" s="319"/>
      <c r="T33" s="227">
        <f t="shared" si="2"/>
        <v>0</v>
      </c>
      <c r="U33" s="227"/>
    </row>
    <row r="34" spans="1:21" ht="18" hidden="1" customHeight="1" x14ac:dyDescent="0.25">
      <c r="A34" s="314"/>
      <c r="B34" s="212"/>
      <c r="C34" s="213"/>
      <c r="D34" s="214"/>
      <c r="E34" s="315"/>
      <c r="F34" s="216" t="str">
        <f>IFERROR(VLOOKUP(A34,Honorarios!$A$8:$C$14,2,FALSE()),"")</f>
        <v/>
      </c>
      <c r="G34" s="223">
        <f>IFERROR(B34*C34*E34*F34*#REF!,0)</f>
        <v>0</v>
      </c>
      <c r="H34" s="316">
        <f t="shared" si="0"/>
        <v>0</v>
      </c>
      <c r="I34" s="317"/>
      <c r="J34" s="318"/>
      <c r="K34" s="318"/>
      <c r="L34" s="319"/>
      <c r="M34" s="227">
        <f t="shared" si="1"/>
        <v>0</v>
      </c>
      <c r="N34" s="320"/>
      <c r="O34" s="318"/>
      <c r="P34" s="318"/>
      <c r="Q34" s="318"/>
      <c r="R34" s="318"/>
      <c r="S34" s="319"/>
      <c r="T34" s="227">
        <f t="shared" si="2"/>
        <v>0</v>
      </c>
      <c r="U34" s="227"/>
    </row>
    <row r="35" spans="1:21" ht="18" hidden="1" customHeight="1" x14ac:dyDescent="0.25">
      <c r="A35" s="314"/>
      <c r="B35" s="212"/>
      <c r="C35" s="213"/>
      <c r="D35" s="214"/>
      <c r="E35" s="321"/>
      <c r="F35" s="216" t="str">
        <f>IFERROR(VLOOKUP(A35,Honorarios!$A$8:$C$14,2,FALSE()),"")</f>
        <v/>
      </c>
      <c r="G35" s="223">
        <f>IFERROR(B35*C35*E35*F35*#REF!,0)</f>
        <v>0</v>
      </c>
      <c r="H35" s="316">
        <f t="shared" si="0"/>
        <v>0</v>
      </c>
      <c r="I35" s="317"/>
      <c r="J35" s="318"/>
      <c r="K35" s="318"/>
      <c r="L35" s="319"/>
      <c r="M35" s="227">
        <f t="shared" si="1"/>
        <v>0</v>
      </c>
      <c r="N35" s="320"/>
      <c r="O35" s="318"/>
      <c r="P35" s="318"/>
      <c r="Q35" s="318"/>
      <c r="R35" s="318"/>
      <c r="S35" s="319"/>
      <c r="T35" s="227">
        <f t="shared" si="2"/>
        <v>0</v>
      </c>
      <c r="U35" s="227"/>
    </row>
    <row r="36" spans="1:21" ht="18" hidden="1" customHeight="1" x14ac:dyDescent="0.25">
      <c r="A36" s="314"/>
      <c r="B36" s="212"/>
      <c r="C36" s="213"/>
      <c r="D36" s="214"/>
      <c r="E36" s="321"/>
      <c r="F36" s="216" t="str">
        <f>IFERROR(VLOOKUP(A36,Honorarios!$A$8:$C$14,2,FALSE()),"")</f>
        <v/>
      </c>
      <c r="G36" s="223">
        <f>IFERROR(B36*C36*E36*F36*#REF!,0)</f>
        <v>0</v>
      </c>
      <c r="H36" s="316">
        <f t="shared" si="0"/>
        <v>0</v>
      </c>
      <c r="I36" s="317"/>
      <c r="J36" s="318"/>
      <c r="K36" s="318"/>
      <c r="L36" s="319"/>
      <c r="M36" s="227">
        <f t="shared" si="1"/>
        <v>0</v>
      </c>
      <c r="N36" s="320"/>
      <c r="O36" s="318"/>
      <c r="P36" s="318"/>
      <c r="Q36" s="318"/>
      <c r="R36" s="318"/>
      <c r="S36" s="319"/>
      <c r="T36" s="227">
        <f t="shared" si="2"/>
        <v>0</v>
      </c>
      <c r="U36" s="227"/>
    </row>
    <row r="37" spans="1:21" ht="18" hidden="1" customHeight="1" x14ac:dyDescent="0.25">
      <c r="A37" s="314"/>
      <c r="B37" s="212"/>
      <c r="C37" s="213"/>
      <c r="D37" s="214"/>
      <c r="E37" s="321"/>
      <c r="F37" s="216" t="str">
        <f>IFERROR(VLOOKUP(A37,Honorarios!$A$8:$C$14,2,FALSE()),"")</f>
        <v/>
      </c>
      <c r="G37" s="223">
        <f>IFERROR(B37*C37*E37*F37*#REF!,0)</f>
        <v>0</v>
      </c>
      <c r="H37" s="316">
        <f t="shared" si="0"/>
        <v>0</v>
      </c>
      <c r="I37" s="317"/>
      <c r="J37" s="318"/>
      <c r="K37" s="318"/>
      <c r="L37" s="319"/>
      <c r="M37" s="227">
        <f t="shared" si="1"/>
        <v>0</v>
      </c>
      <c r="N37" s="320"/>
      <c r="O37" s="318"/>
      <c r="P37" s="318"/>
      <c r="Q37" s="318"/>
      <c r="R37" s="318"/>
      <c r="S37" s="319"/>
      <c r="T37" s="227">
        <f t="shared" si="2"/>
        <v>0</v>
      </c>
      <c r="U37" s="227"/>
    </row>
    <row r="38" spans="1:21" ht="18" hidden="1" customHeight="1" x14ac:dyDescent="0.25">
      <c r="A38" s="314"/>
      <c r="B38" s="212"/>
      <c r="C38" s="213"/>
      <c r="D38" s="214"/>
      <c r="E38" s="321"/>
      <c r="F38" s="216" t="str">
        <f>IFERROR(VLOOKUP(A38,Honorarios!$A$8:$C$14,2,FALSE()),"")</f>
        <v/>
      </c>
      <c r="G38" s="223">
        <f>IFERROR(B38*C38*E38*F38*#REF!,0)</f>
        <v>0</v>
      </c>
      <c r="H38" s="316">
        <f t="shared" si="0"/>
        <v>0</v>
      </c>
      <c r="I38" s="317"/>
      <c r="J38" s="318"/>
      <c r="K38" s="318"/>
      <c r="L38" s="319"/>
      <c r="M38" s="227">
        <f t="shared" si="1"/>
        <v>0</v>
      </c>
      <c r="N38" s="320"/>
      <c r="O38" s="318"/>
      <c r="P38" s="318"/>
      <c r="Q38" s="318"/>
      <c r="R38" s="318"/>
      <c r="S38" s="319"/>
      <c r="T38" s="227">
        <f t="shared" si="2"/>
        <v>0</v>
      </c>
      <c r="U38" s="227"/>
    </row>
    <row r="39" spans="1:21" ht="18" hidden="1" customHeight="1" x14ac:dyDescent="0.25">
      <c r="A39" s="314"/>
      <c r="B39" s="212"/>
      <c r="C39" s="213"/>
      <c r="D39" s="214"/>
      <c r="E39" s="321"/>
      <c r="F39" s="216" t="str">
        <f>IFERROR(VLOOKUP(A39,Honorarios!$A$8:$C$14,2,FALSE()),"")</f>
        <v/>
      </c>
      <c r="G39" s="223">
        <f>IFERROR(B39*C39*E39*F39*#REF!,0)</f>
        <v>0</v>
      </c>
      <c r="H39" s="316">
        <f t="shared" si="0"/>
        <v>0</v>
      </c>
      <c r="I39" s="317"/>
      <c r="J39" s="318"/>
      <c r="K39" s="318"/>
      <c r="L39" s="319"/>
      <c r="M39" s="227">
        <f t="shared" si="1"/>
        <v>0</v>
      </c>
      <c r="N39" s="320"/>
      <c r="O39" s="318"/>
      <c r="P39" s="318"/>
      <c r="Q39" s="318"/>
      <c r="R39" s="318"/>
      <c r="S39" s="319"/>
      <c r="T39" s="227">
        <f t="shared" si="2"/>
        <v>0</v>
      </c>
      <c r="U39" s="227"/>
    </row>
    <row r="40" spans="1:21" ht="18" hidden="1" customHeight="1" x14ac:dyDescent="0.25">
      <c r="A40" s="314"/>
      <c r="B40" s="212"/>
      <c r="C40" s="213"/>
      <c r="D40" s="214"/>
      <c r="E40" s="321"/>
      <c r="F40" s="216" t="str">
        <f>IFERROR(VLOOKUP(A40,Honorarios!$A$8:$C$14,2,FALSE()),"")</f>
        <v/>
      </c>
      <c r="G40" s="223">
        <f>IFERROR(B40*C40*E40*F40*#REF!,0)</f>
        <v>0</v>
      </c>
      <c r="H40" s="316">
        <f t="shared" si="0"/>
        <v>0</v>
      </c>
      <c r="I40" s="317"/>
      <c r="J40" s="318"/>
      <c r="K40" s="318"/>
      <c r="L40" s="319"/>
      <c r="M40" s="227">
        <f t="shared" si="1"/>
        <v>0</v>
      </c>
      <c r="N40" s="320"/>
      <c r="O40" s="318"/>
      <c r="P40" s="318"/>
      <c r="Q40" s="318"/>
      <c r="R40" s="318"/>
      <c r="S40" s="319"/>
      <c r="T40" s="227">
        <f t="shared" si="2"/>
        <v>0</v>
      </c>
      <c r="U40" s="227"/>
    </row>
    <row r="41" spans="1:21" ht="18" hidden="1" customHeight="1" x14ac:dyDescent="0.25">
      <c r="A41" s="314"/>
      <c r="B41" s="212"/>
      <c r="C41" s="213"/>
      <c r="D41" s="214"/>
      <c r="E41" s="321"/>
      <c r="F41" s="216" t="str">
        <f>IFERROR(VLOOKUP(A41,Honorarios!$A$8:$C$14,2,FALSE()),"")</f>
        <v/>
      </c>
      <c r="G41" s="223">
        <f>IFERROR(B41*C41*E41*F41*#REF!,0)</f>
        <v>0</v>
      </c>
      <c r="H41" s="316">
        <f t="shared" si="0"/>
        <v>0</v>
      </c>
      <c r="I41" s="317"/>
      <c r="J41" s="318"/>
      <c r="K41" s="318"/>
      <c r="L41" s="319"/>
      <c r="M41" s="227">
        <f t="shared" si="1"/>
        <v>0</v>
      </c>
      <c r="N41" s="320"/>
      <c r="O41" s="318"/>
      <c r="P41" s="318"/>
      <c r="Q41" s="318"/>
      <c r="R41" s="318"/>
      <c r="S41" s="319"/>
      <c r="T41" s="227">
        <f t="shared" si="2"/>
        <v>0</v>
      </c>
      <c r="U41" s="227"/>
    </row>
    <row r="42" spans="1:21" ht="18" hidden="1" customHeight="1" x14ac:dyDescent="0.25">
      <c r="A42" s="314"/>
      <c r="B42" s="212"/>
      <c r="C42" s="213"/>
      <c r="D42" s="214"/>
      <c r="E42" s="321"/>
      <c r="F42" s="216" t="str">
        <f>IFERROR(VLOOKUP(A42,Honorarios!$A$8:$C$14,2,FALSE()),"")</f>
        <v/>
      </c>
      <c r="G42" s="223">
        <f>IFERROR(B42*C42*E42*F42*#REF!,0)</f>
        <v>0</v>
      </c>
      <c r="H42" s="316">
        <f t="shared" si="0"/>
        <v>0</v>
      </c>
      <c r="I42" s="317"/>
      <c r="J42" s="318"/>
      <c r="K42" s="318"/>
      <c r="L42" s="319"/>
      <c r="M42" s="227">
        <f t="shared" si="1"/>
        <v>0</v>
      </c>
      <c r="N42" s="320"/>
      <c r="O42" s="318"/>
      <c r="P42" s="318"/>
      <c r="Q42" s="318"/>
      <c r="R42" s="318"/>
      <c r="S42" s="319"/>
      <c r="T42" s="227">
        <f t="shared" si="2"/>
        <v>0</v>
      </c>
      <c r="U42" s="227"/>
    </row>
    <row r="43" spans="1:21" ht="18" hidden="1" customHeight="1" x14ac:dyDescent="0.25">
      <c r="A43" s="314"/>
      <c r="B43" s="212"/>
      <c r="C43" s="213"/>
      <c r="D43" s="214"/>
      <c r="E43" s="321"/>
      <c r="F43" s="216" t="str">
        <f>IFERROR(VLOOKUP(A43,Honorarios!$A$8:$C$14,2,FALSE()),"")</f>
        <v/>
      </c>
      <c r="G43" s="223">
        <f>IFERROR(B43*C43*E43*F43*#REF!,0)</f>
        <v>0</v>
      </c>
      <c r="H43" s="316">
        <f t="shared" si="0"/>
        <v>0</v>
      </c>
      <c r="I43" s="317"/>
      <c r="J43" s="318"/>
      <c r="K43" s="318"/>
      <c r="L43" s="319"/>
      <c r="M43" s="227">
        <f t="shared" si="1"/>
        <v>0</v>
      </c>
      <c r="N43" s="320"/>
      <c r="O43" s="318"/>
      <c r="P43" s="318"/>
      <c r="Q43" s="318"/>
      <c r="R43" s="318"/>
      <c r="S43" s="319"/>
      <c r="T43" s="227">
        <f t="shared" si="2"/>
        <v>0</v>
      </c>
      <c r="U43" s="227"/>
    </row>
    <row r="44" spans="1:21" ht="18" hidden="1" customHeight="1" x14ac:dyDescent="0.25">
      <c r="A44" s="314"/>
      <c r="B44" s="212"/>
      <c r="C44" s="213"/>
      <c r="D44" s="214"/>
      <c r="E44" s="321"/>
      <c r="F44" s="216" t="str">
        <f>IFERROR(VLOOKUP(A44,Honorarios!$A$8:$C$14,2,FALSE()),"")</f>
        <v/>
      </c>
      <c r="G44" s="223">
        <f>IFERROR(B44*C44*E44*F44*#REF!,0)</f>
        <v>0</v>
      </c>
      <c r="H44" s="316">
        <f t="shared" ref="H44:H75" si="3">IFERROR(G44/$G$100,0)</f>
        <v>0</v>
      </c>
      <c r="I44" s="317"/>
      <c r="J44" s="318"/>
      <c r="K44" s="318"/>
      <c r="L44" s="319"/>
      <c r="M44" s="227">
        <f t="shared" ref="M44:M75" si="4">IFERROR(G44-SUM(I44:L44),"")</f>
        <v>0</v>
      </c>
      <c r="N44" s="320"/>
      <c r="O44" s="318"/>
      <c r="P44" s="318"/>
      <c r="Q44" s="318"/>
      <c r="R44" s="318"/>
      <c r="S44" s="319"/>
      <c r="T44" s="227">
        <f t="shared" ref="T44:T75" si="5">I44-SUM(N44:S44)</f>
        <v>0</v>
      </c>
      <c r="U44" s="227"/>
    </row>
    <row r="45" spans="1:21" ht="18" hidden="1" customHeight="1" x14ac:dyDescent="0.25">
      <c r="A45" s="314"/>
      <c r="B45" s="212"/>
      <c r="C45" s="213"/>
      <c r="D45" s="214"/>
      <c r="E45" s="321"/>
      <c r="F45" s="216" t="str">
        <f>IFERROR(VLOOKUP(A45,Honorarios!$A$8:$C$14,2,FALSE()),"")</f>
        <v/>
      </c>
      <c r="G45" s="223">
        <f>IFERROR(B45*C45*E45*F45*#REF!,0)</f>
        <v>0</v>
      </c>
      <c r="H45" s="316">
        <f t="shared" si="3"/>
        <v>0</v>
      </c>
      <c r="I45" s="317"/>
      <c r="J45" s="318"/>
      <c r="K45" s="318"/>
      <c r="L45" s="319"/>
      <c r="M45" s="227">
        <f t="shared" si="4"/>
        <v>0</v>
      </c>
      <c r="N45" s="320"/>
      <c r="O45" s="318"/>
      <c r="P45" s="318"/>
      <c r="Q45" s="318"/>
      <c r="R45" s="318"/>
      <c r="S45" s="319"/>
      <c r="T45" s="227">
        <f t="shared" si="5"/>
        <v>0</v>
      </c>
      <c r="U45" s="227"/>
    </row>
    <row r="46" spans="1:21" ht="18" hidden="1" customHeight="1" x14ac:dyDescent="0.25">
      <c r="A46" s="314"/>
      <c r="B46" s="212"/>
      <c r="C46" s="213"/>
      <c r="D46" s="214"/>
      <c r="E46" s="321"/>
      <c r="F46" s="216" t="str">
        <f>IFERROR(VLOOKUP(A46,Honorarios!$A$8:$C$14,2,FALSE()),"")</f>
        <v/>
      </c>
      <c r="G46" s="223">
        <f>IFERROR(B46*C46*E46*F46*#REF!,0)</f>
        <v>0</v>
      </c>
      <c r="H46" s="316">
        <f t="shared" si="3"/>
        <v>0</v>
      </c>
      <c r="I46" s="317"/>
      <c r="J46" s="318"/>
      <c r="K46" s="318"/>
      <c r="L46" s="319"/>
      <c r="M46" s="227">
        <f t="shared" si="4"/>
        <v>0</v>
      </c>
      <c r="N46" s="320"/>
      <c r="O46" s="318"/>
      <c r="P46" s="318"/>
      <c r="Q46" s="318"/>
      <c r="R46" s="318"/>
      <c r="S46" s="319"/>
      <c r="T46" s="227">
        <f t="shared" si="5"/>
        <v>0</v>
      </c>
      <c r="U46" s="227"/>
    </row>
    <row r="47" spans="1:21" ht="18" hidden="1" customHeight="1" x14ac:dyDescent="0.25">
      <c r="A47" s="314"/>
      <c r="B47" s="212"/>
      <c r="C47" s="213"/>
      <c r="D47" s="214"/>
      <c r="E47" s="321"/>
      <c r="F47" s="216" t="str">
        <f>IFERROR(VLOOKUP(A47,Honorarios!$A$8:$C$14,2,FALSE()),"")</f>
        <v/>
      </c>
      <c r="G47" s="223">
        <f>IFERROR(B47*C47*E47*F47*#REF!,0)</f>
        <v>0</v>
      </c>
      <c r="H47" s="316">
        <f t="shared" si="3"/>
        <v>0</v>
      </c>
      <c r="I47" s="317"/>
      <c r="J47" s="318"/>
      <c r="K47" s="318"/>
      <c r="L47" s="319"/>
      <c r="M47" s="227">
        <f t="shared" si="4"/>
        <v>0</v>
      </c>
      <c r="N47" s="320"/>
      <c r="O47" s="318"/>
      <c r="P47" s="318"/>
      <c r="Q47" s="318"/>
      <c r="R47" s="318"/>
      <c r="S47" s="319"/>
      <c r="T47" s="227">
        <f t="shared" si="5"/>
        <v>0</v>
      </c>
      <c r="U47" s="227"/>
    </row>
    <row r="48" spans="1:21" ht="18" hidden="1" customHeight="1" x14ac:dyDescent="0.25">
      <c r="A48" s="314"/>
      <c r="B48" s="212"/>
      <c r="C48" s="213"/>
      <c r="D48" s="214"/>
      <c r="E48" s="321"/>
      <c r="F48" s="216" t="str">
        <f>IFERROR(VLOOKUP(A48,Honorarios!$A$8:$C$14,2,FALSE()),"")</f>
        <v/>
      </c>
      <c r="G48" s="223">
        <f>IFERROR(B48*C48*E48*F48*#REF!,0)</f>
        <v>0</v>
      </c>
      <c r="H48" s="316">
        <f t="shared" si="3"/>
        <v>0</v>
      </c>
      <c r="I48" s="317"/>
      <c r="J48" s="318"/>
      <c r="K48" s="318"/>
      <c r="L48" s="319"/>
      <c r="M48" s="227">
        <f t="shared" si="4"/>
        <v>0</v>
      </c>
      <c r="N48" s="320"/>
      <c r="O48" s="318"/>
      <c r="P48" s="318"/>
      <c r="Q48" s="318"/>
      <c r="R48" s="318"/>
      <c r="S48" s="319"/>
      <c r="T48" s="227">
        <f t="shared" si="5"/>
        <v>0</v>
      </c>
      <c r="U48" s="227"/>
    </row>
    <row r="49" spans="1:21" ht="18" hidden="1" customHeight="1" x14ac:dyDescent="0.25">
      <c r="A49" s="314"/>
      <c r="B49" s="212"/>
      <c r="C49" s="213"/>
      <c r="D49" s="214"/>
      <c r="E49" s="321"/>
      <c r="F49" s="216" t="str">
        <f>IFERROR(VLOOKUP(A49,Honorarios!$A$8:$C$14,2,FALSE()),"")</f>
        <v/>
      </c>
      <c r="G49" s="223">
        <f>IFERROR(B49*C49*E49*F49*#REF!,0)</f>
        <v>0</v>
      </c>
      <c r="H49" s="316">
        <f t="shared" si="3"/>
        <v>0</v>
      </c>
      <c r="I49" s="317"/>
      <c r="J49" s="318"/>
      <c r="K49" s="318"/>
      <c r="L49" s="319"/>
      <c r="M49" s="227">
        <f t="shared" si="4"/>
        <v>0</v>
      </c>
      <c r="N49" s="320"/>
      <c r="O49" s="318"/>
      <c r="P49" s="318"/>
      <c r="Q49" s="318"/>
      <c r="R49" s="318"/>
      <c r="S49" s="319"/>
      <c r="T49" s="227">
        <f t="shared" si="5"/>
        <v>0</v>
      </c>
      <c r="U49" s="227"/>
    </row>
    <row r="50" spans="1:21" ht="18" hidden="1" customHeight="1" x14ac:dyDescent="0.25">
      <c r="A50" s="314"/>
      <c r="B50" s="212"/>
      <c r="C50" s="213"/>
      <c r="D50" s="214"/>
      <c r="E50" s="321"/>
      <c r="F50" s="216" t="str">
        <f>IFERROR(VLOOKUP(A50,Honorarios!$A$8:$C$14,2,FALSE()),"")</f>
        <v/>
      </c>
      <c r="G50" s="223">
        <f>IFERROR(B50*C50*E50*F50*#REF!,0)</f>
        <v>0</v>
      </c>
      <c r="H50" s="316">
        <f t="shared" si="3"/>
        <v>0</v>
      </c>
      <c r="I50" s="317"/>
      <c r="J50" s="318"/>
      <c r="K50" s="318"/>
      <c r="L50" s="319"/>
      <c r="M50" s="227">
        <f t="shared" si="4"/>
        <v>0</v>
      </c>
      <c r="N50" s="320"/>
      <c r="O50" s="318"/>
      <c r="P50" s="318"/>
      <c r="Q50" s="318"/>
      <c r="R50" s="318"/>
      <c r="S50" s="319"/>
      <c r="T50" s="227">
        <f t="shared" si="5"/>
        <v>0</v>
      </c>
      <c r="U50" s="227"/>
    </row>
    <row r="51" spans="1:21" ht="18" hidden="1" customHeight="1" x14ac:dyDescent="0.25">
      <c r="A51" s="314"/>
      <c r="B51" s="212"/>
      <c r="C51" s="213"/>
      <c r="D51" s="214"/>
      <c r="E51" s="321"/>
      <c r="F51" s="216" t="str">
        <f>IFERROR(VLOOKUP(A51,Honorarios!$A$8:$C$14,2,FALSE()),"")</f>
        <v/>
      </c>
      <c r="G51" s="223">
        <f>IFERROR(B51*C51*E51*F51*#REF!,0)</f>
        <v>0</v>
      </c>
      <c r="H51" s="316">
        <f t="shared" si="3"/>
        <v>0</v>
      </c>
      <c r="I51" s="317"/>
      <c r="J51" s="318"/>
      <c r="K51" s="318"/>
      <c r="L51" s="319"/>
      <c r="M51" s="227">
        <f t="shared" si="4"/>
        <v>0</v>
      </c>
      <c r="N51" s="320"/>
      <c r="O51" s="318"/>
      <c r="P51" s="318"/>
      <c r="Q51" s="318"/>
      <c r="R51" s="318"/>
      <c r="S51" s="319"/>
      <c r="T51" s="227">
        <f t="shared" si="5"/>
        <v>0</v>
      </c>
      <c r="U51" s="227"/>
    </row>
    <row r="52" spans="1:21" ht="18" hidden="1" customHeight="1" x14ac:dyDescent="0.25">
      <c r="A52" s="314"/>
      <c r="B52" s="212"/>
      <c r="C52" s="213"/>
      <c r="D52" s="214"/>
      <c r="E52" s="321"/>
      <c r="F52" s="216" t="str">
        <f>IFERROR(VLOOKUP(A52,Honorarios!$A$8:$C$14,2,FALSE()),"")</f>
        <v/>
      </c>
      <c r="G52" s="223">
        <f>IFERROR(B52*C52*E52*F52*#REF!,0)</f>
        <v>0</v>
      </c>
      <c r="H52" s="316">
        <f t="shared" si="3"/>
        <v>0</v>
      </c>
      <c r="I52" s="317"/>
      <c r="J52" s="318"/>
      <c r="K52" s="318"/>
      <c r="L52" s="319"/>
      <c r="M52" s="227">
        <f t="shared" si="4"/>
        <v>0</v>
      </c>
      <c r="N52" s="320"/>
      <c r="O52" s="318"/>
      <c r="P52" s="318"/>
      <c r="Q52" s="318"/>
      <c r="R52" s="318"/>
      <c r="S52" s="319"/>
      <c r="T52" s="227">
        <f t="shared" si="5"/>
        <v>0</v>
      </c>
      <c r="U52" s="227"/>
    </row>
    <row r="53" spans="1:21" ht="18" hidden="1" customHeight="1" x14ac:dyDescent="0.25">
      <c r="A53" s="314"/>
      <c r="B53" s="212"/>
      <c r="C53" s="213"/>
      <c r="D53" s="214"/>
      <c r="E53" s="321"/>
      <c r="F53" s="216" t="str">
        <f>IFERROR(VLOOKUP(A53,Honorarios!$A$8:$C$14,2,FALSE()),"")</f>
        <v/>
      </c>
      <c r="G53" s="223">
        <f>IFERROR(B53*C53*E53*F53*#REF!,0)</f>
        <v>0</v>
      </c>
      <c r="H53" s="316">
        <f t="shared" si="3"/>
        <v>0</v>
      </c>
      <c r="I53" s="317"/>
      <c r="J53" s="318"/>
      <c r="K53" s="318"/>
      <c r="L53" s="319"/>
      <c r="M53" s="227">
        <f t="shared" si="4"/>
        <v>0</v>
      </c>
      <c r="N53" s="320"/>
      <c r="O53" s="318"/>
      <c r="P53" s="318"/>
      <c r="Q53" s="318"/>
      <c r="R53" s="318"/>
      <c r="S53" s="319"/>
      <c r="T53" s="227">
        <f t="shared" si="5"/>
        <v>0</v>
      </c>
      <c r="U53" s="227"/>
    </row>
    <row r="54" spans="1:21" ht="18" hidden="1" customHeight="1" x14ac:dyDescent="0.25">
      <c r="A54" s="314"/>
      <c r="B54" s="212"/>
      <c r="C54" s="213"/>
      <c r="D54" s="214"/>
      <c r="E54" s="321"/>
      <c r="F54" s="216" t="str">
        <f>IFERROR(VLOOKUP(A54,Honorarios!$A$8:$C$14,2,FALSE()),"")</f>
        <v/>
      </c>
      <c r="G54" s="223">
        <f>IFERROR(B54*C54*E54*F54*#REF!,0)</f>
        <v>0</v>
      </c>
      <c r="H54" s="316">
        <f t="shared" si="3"/>
        <v>0</v>
      </c>
      <c r="I54" s="317"/>
      <c r="J54" s="318"/>
      <c r="K54" s="318"/>
      <c r="L54" s="319"/>
      <c r="M54" s="227">
        <f t="shared" si="4"/>
        <v>0</v>
      </c>
      <c r="N54" s="320"/>
      <c r="O54" s="318"/>
      <c r="P54" s="318"/>
      <c r="Q54" s="318"/>
      <c r="R54" s="318"/>
      <c r="S54" s="319"/>
      <c r="T54" s="227">
        <f t="shared" si="5"/>
        <v>0</v>
      </c>
      <c r="U54" s="227"/>
    </row>
    <row r="55" spans="1:21" ht="18" hidden="1" customHeight="1" x14ac:dyDescent="0.25">
      <c r="A55" s="314"/>
      <c r="B55" s="212"/>
      <c r="C55" s="213"/>
      <c r="D55" s="214"/>
      <c r="E55" s="321"/>
      <c r="F55" s="216" t="str">
        <f>IFERROR(VLOOKUP(A55,Honorarios!$A$8:$C$14,2,FALSE()),"")</f>
        <v/>
      </c>
      <c r="G55" s="223">
        <f>IFERROR(B55*C55*E55*F55*#REF!,0)</f>
        <v>0</v>
      </c>
      <c r="H55" s="316">
        <f t="shared" si="3"/>
        <v>0</v>
      </c>
      <c r="I55" s="317"/>
      <c r="J55" s="318"/>
      <c r="K55" s="318"/>
      <c r="L55" s="319"/>
      <c r="M55" s="227">
        <f t="shared" si="4"/>
        <v>0</v>
      </c>
      <c r="N55" s="320"/>
      <c r="O55" s="318"/>
      <c r="P55" s="318"/>
      <c r="Q55" s="318"/>
      <c r="R55" s="318"/>
      <c r="S55" s="319"/>
      <c r="T55" s="227">
        <f t="shared" si="5"/>
        <v>0</v>
      </c>
      <c r="U55" s="227"/>
    </row>
    <row r="56" spans="1:21" ht="18" hidden="1" customHeight="1" x14ac:dyDescent="0.25">
      <c r="A56" s="314"/>
      <c r="B56" s="212"/>
      <c r="C56" s="213"/>
      <c r="D56" s="214"/>
      <c r="E56" s="321"/>
      <c r="F56" s="216" t="str">
        <f>IFERROR(VLOOKUP(A56,Honorarios!$A$8:$C$14,2,FALSE()),"")</f>
        <v/>
      </c>
      <c r="G56" s="223">
        <f>IFERROR(B56*C56*E56*F56*#REF!,0)</f>
        <v>0</v>
      </c>
      <c r="H56" s="316">
        <f t="shared" si="3"/>
        <v>0</v>
      </c>
      <c r="I56" s="317"/>
      <c r="J56" s="318"/>
      <c r="K56" s="318"/>
      <c r="L56" s="319"/>
      <c r="M56" s="227">
        <f t="shared" si="4"/>
        <v>0</v>
      </c>
      <c r="N56" s="320"/>
      <c r="O56" s="318"/>
      <c r="P56" s="318"/>
      <c r="Q56" s="318"/>
      <c r="R56" s="318"/>
      <c r="S56" s="319"/>
      <c r="T56" s="227">
        <f t="shared" si="5"/>
        <v>0</v>
      </c>
      <c r="U56" s="227"/>
    </row>
    <row r="57" spans="1:21" ht="18" hidden="1" customHeight="1" x14ac:dyDescent="0.25">
      <c r="A57" s="314"/>
      <c r="B57" s="212"/>
      <c r="C57" s="213"/>
      <c r="D57" s="214"/>
      <c r="E57" s="321"/>
      <c r="F57" s="216" t="str">
        <f>IFERROR(VLOOKUP(A57,Honorarios!$A$8:$C$14,2,FALSE()),"")</f>
        <v/>
      </c>
      <c r="G57" s="223">
        <f>IFERROR(B57*C57*E57*F57*#REF!,0)</f>
        <v>0</v>
      </c>
      <c r="H57" s="316">
        <f t="shared" si="3"/>
        <v>0</v>
      </c>
      <c r="I57" s="317"/>
      <c r="J57" s="318"/>
      <c r="K57" s="318"/>
      <c r="L57" s="319"/>
      <c r="M57" s="227">
        <f t="shared" si="4"/>
        <v>0</v>
      </c>
      <c r="N57" s="320"/>
      <c r="O57" s="318"/>
      <c r="P57" s="318"/>
      <c r="Q57" s="318"/>
      <c r="R57" s="318"/>
      <c r="S57" s="319"/>
      <c r="T57" s="227">
        <f t="shared" si="5"/>
        <v>0</v>
      </c>
      <c r="U57" s="227"/>
    </row>
    <row r="58" spans="1:21" ht="18" hidden="1" customHeight="1" x14ac:dyDescent="0.25">
      <c r="A58" s="314"/>
      <c r="B58" s="212"/>
      <c r="C58" s="213"/>
      <c r="D58" s="214"/>
      <c r="E58" s="321"/>
      <c r="F58" s="216" t="str">
        <f>IFERROR(VLOOKUP(A58,Honorarios!$A$8:$C$14,2,FALSE()),"")</f>
        <v/>
      </c>
      <c r="G58" s="223">
        <f>IFERROR(B58*C58*E58*F58*#REF!,0)</f>
        <v>0</v>
      </c>
      <c r="H58" s="316">
        <f t="shared" si="3"/>
        <v>0</v>
      </c>
      <c r="I58" s="317"/>
      <c r="J58" s="318"/>
      <c r="K58" s="318"/>
      <c r="L58" s="319"/>
      <c r="M58" s="227">
        <f t="shared" si="4"/>
        <v>0</v>
      </c>
      <c r="N58" s="320"/>
      <c r="O58" s="318"/>
      <c r="P58" s="318"/>
      <c r="Q58" s="318"/>
      <c r="R58" s="318"/>
      <c r="S58" s="319"/>
      <c r="T58" s="227">
        <f t="shared" si="5"/>
        <v>0</v>
      </c>
      <c r="U58" s="227"/>
    </row>
    <row r="59" spans="1:21" ht="18" hidden="1" customHeight="1" x14ac:dyDescent="0.25">
      <c r="A59" s="314"/>
      <c r="B59" s="212"/>
      <c r="C59" s="213"/>
      <c r="D59" s="214"/>
      <c r="E59" s="321"/>
      <c r="F59" s="216" t="str">
        <f>IFERROR(VLOOKUP(A59,Honorarios!$A$8:$C$14,2,FALSE()),"")</f>
        <v/>
      </c>
      <c r="G59" s="223">
        <f>IFERROR(B59*C59*E59*F59*#REF!,0)</f>
        <v>0</v>
      </c>
      <c r="H59" s="316">
        <f t="shared" si="3"/>
        <v>0</v>
      </c>
      <c r="I59" s="317"/>
      <c r="J59" s="318"/>
      <c r="K59" s="318"/>
      <c r="L59" s="319"/>
      <c r="M59" s="227">
        <f t="shared" si="4"/>
        <v>0</v>
      </c>
      <c r="N59" s="320"/>
      <c r="O59" s="318"/>
      <c r="P59" s="318"/>
      <c r="Q59" s="318"/>
      <c r="R59" s="318"/>
      <c r="S59" s="319"/>
      <c r="T59" s="227">
        <f t="shared" si="5"/>
        <v>0</v>
      </c>
      <c r="U59" s="227"/>
    </row>
    <row r="60" spans="1:21" ht="18" hidden="1" customHeight="1" x14ac:dyDescent="0.25">
      <c r="A60" s="314"/>
      <c r="B60" s="212"/>
      <c r="C60" s="213"/>
      <c r="D60" s="214"/>
      <c r="E60" s="321"/>
      <c r="F60" s="216" t="str">
        <f>IFERROR(VLOOKUP(A60,Honorarios!$A$8:$C$14,2,FALSE()),"")</f>
        <v/>
      </c>
      <c r="G60" s="223">
        <f>IFERROR(B60*C60*E60*F60*#REF!,0)</f>
        <v>0</v>
      </c>
      <c r="H60" s="316">
        <f t="shared" si="3"/>
        <v>0</v>
      </c>
      <c r="I60" s="317"/>
      <c r="J60" s="318"/>
      <c r="K60" s="318"/>
      <c r="L60" s="319"/>
      <c r="M60" s="227">
        <f t="shared" si="4"/>
        <v>0</v>
      </c>
      <c r="N60" s="320"/>
      <c r="O60" s="318"/>
      <c r="P60" s="318"/>
      <c r="Q60" s="318"/>
      <c r="R60" s="318"/>
      <c r="S60" s="319"/>
      <c r="T60" s="227">
        <f t="shared" si="5"/>
        <v>0</v>
      </c>
      <c r="U60" s="227"/>
    </row>
    <row r="61" spans="1:21" ht="18" customHeight="1" x14ac:dyDescent="0.25">
      <c r="A61" s="1041" t="s">
        <v>388</v>
      </c>
      <c r="B61" s="1041"/>
      <c r="C61" s="1041"/>
      <c r="D61" s="1041"/>
      <c r="E61" s="1041"/>
      <c r="F61" s="1041"/>
      <c r="G61" s="322">
        <f t="shared" ref="G61:L61" si="6">SUM(G12:G60)</f>
        <v>0</v>
      </c>
      <c r="H61" s="323">
        <f t="shared" si="6"/>
        <v>0</v>
      </c>
      <c r="I61" s="324">
        <f t="shared" si="6"/>
        <v>0</v>
      </c>
      <c r="J61" s="324">
        <f t="shared" si="6"/>
        <v>0</v>
      </c>
      <c r="K61" s="324">
        <f t="shared" si="6"/>
        <v>0</v>
      </c>
      <c r="L61" s="325">
        <f t="shared" si="6"/>
        <v>0</v>
      </c>
      <c r="M61" s="227">
        <f>G61-SUM(I61:L61)</f>
        <v>0</v>
      </c>
      <c r="N61" s="320"/>
      <c r="O61" s="318"/>
      <c r="P61" s="318"/>
      <c r="Q61" s="318"/>
      <c r="R61" s="318"/>
      <c r="S61" s="319"/>
      <c r="T61" s="227"/>
      <c r="U61" s="227"/>
    </row>
    <row r="62" spans="1:21" ht="18" customHeight="1" x14ac:dyDescent="0.25">
      <c r="A62" s="1040" t="s">
        <v>389</v>
      </c>
      <c r="B62" s="1040"/>
      <c r="C62" s="1040"/>
      <c r="D62" s="1040"/>
      <c r="E62" s="1040"/>
      <c r="F62" s="1040"/>
      <c r="G62" s="1040"/>
      <c r="H62" s="1040"/>
      <c r="I62" s="1040"/>
      <c r="J62" s="1040"/>
      <c r="K62" s="1040"/>
      <c r="L62" s="1040"/>
      <c r="M62" s="227"/>
      <c r="N62" s="320"/>
      <c r="O62" s="318"/>
      <c r="P62" s="318"/>
      <c r="Q62" s="318"/>
      <c r="R62" s="318"/>
      <c r="S62" s="319"/>
      <c r="T62" s="227"/>
      <c r="U62" s="227"/>
    </row>
    <row r="63" spans="1:21" ht="18" customHeight="1" x14ac:dyDescent="0.25">
      <c r="A63" s="211"/>
      <c r="B63" s="228"/>
      <c r="C63" s="229"/>
      <c r="D63" s="214"/>
      <c r="E63" s="230"/>
      <c r="F63" s="216"/>
      <c r="G63" s="223">
        <f>IFERROR(B63*C63*E63*F63*#REF!,0)</f>
        <v>0</v>
      </c>
      <c r="H63" s="316">
        <f t="shared" ref="H63:H98" si="7">IFERROR(G63/$G$100,0)</f>
        <v>0</v>
      </c>
      <c r="I63" s="318"/>
      <c r="J63" s="318"/>
      <c r="K63" s="318"/>
      <c r="L63" s="319"/>
      <c r="M63" s="227">
        <f t="shared" ref="M63:M100" si="8">G63-SUM(I63:L63)</f>
        <v>0</v>
      </c>
      <c r="N63" s="320"/>
      <c r="O63" s="318"/>
      <c r="P63" s="318"/>
      <c r="Q63" s="318"/>
      <c r="R63" s="318"/>
      <c r="S63" s="319"/>
      <c r="T63" s="227">
        <f t="shared" ref="T63:T98" si="9">I63-SUM(N63:S63)</f>
        <v>0</v>
      </c>
      <c r="U63" s="227"/>
    </row>
    <row r="64" spans="1:21" ht="18" customHeight="1" x14ac:dyDescent="0.25">
      <c r="A64" s="211"/>
      <c r="B64" s="228"/>
      <c r="C64" s="229"/>
      <c r="D64" s="214"/>
      <c r="E64" s="230"/>
      <c r="F64" s="231"/>
      <c r="G64" s="223">
        <f>IFERROR(B64*C64*E64*F64*#REF!,0)</f>
        <v>0</v>
      </c>
      <c r="H64" s="316">
        <f t="shared" si="7"/>
        <v>0</v>
      </c>
      <c r="I64" s="318"/>
      <c r="J64" s="318"/>
      <c r="K64" s="318"/>
      <c r="L64" s="319"/>
      <c r="M64" s="227">
        <f t="shared" si="8"/>
        <v>0</v>
      </c>
      <c r="N64" s="320"/>
      <c r="O64" s="318"/>
      <c r="P64" s="318"/>
      <c r="Q64" s="318"/>
      <c r="R64" s="318"/>
      <c r="S64" s="319"/>
      <c r="T64" s="227">
        <f t="shared" si="9"/>
        <v>0</v>
      </c>
      <c r="U64" s="227"/>
    </row>
    <row r="65" spans="1:21" ht="18" customHeight="1" x14ac:dyDescent="0.25">
      <c r="A65" s="211"/>
      <c r="B65" s="228"/>
      <c r="C65" s="229"/>
      <c r="D65" s="214"/>
      <c r="E65" s="230"/>
      <c r="F65" s="231"/>
      <c r="G65" s="223">
        <f>IFERROR(B65*C65*E65*F65*#REF!,0)</f>
        <v>0</v>
      </c>
      <c r="H65" s="316">
        <f t="shared" si="7"/>
        <v>0</v>
      </c>
      <c r="I65" s="318"/>
      <c r="J65" s="318"/>
      <c r="K65" s="318"/>
      <c r="L65" s="319"/>
      <c r="M65" s="227">
        <f t="shared" si="8"/>
        <v>0</v>
      </c>
      <c r="N65" s="320"/>
      <c r="O65" s="318"/>
      <c r="P65" s="318"/>
      <c r="Q65" s="318"/>
      <c r="R65" s="318"/>
      <c r="S65" s="319"/>
      <c r="T65" s="227">
        <f t="shared" si="9"/>
        <v>0</v>
      </c>
      <c r="U65" s="227"/>
    </row>
    <row r="66" spans="1:21" ht="18" customHeight="1" x14ac:dyDescent="0.25">
      <c r="A66" s="211"/>
      <c r="B66" s="228"/>
      <c r="C66" s="229"/>
      <c r="D66" s="214"/>
      <c r="E66" s="230"/>
      <c r="F66" s="231"/>
      <c r="G66" s="223">
        <f>IFERROR(B66*C66*E66*F66*#REF!,0)</f>
        <v>0</v>
      </c>
      <c r="H66" s="316">
        <f t="shared" si="7"/>
        <v>0</v>
      </c>
      <c r="I66" s="318"/>
      <c r="J66" s="318"/>
      <c r="K66" s="318"/>
      <c r="L66" s="319"/>
      <c r="M66" s="227">
        <f t="shared" si="8"/>
        <v>0</v>
      </c>
      <c r="N66" s="320"/>
      <c r="O66" s="318"/>
      <c r="P66" s="318"/>
      <c r="Q66" s="318"/>
      <c r="R66" s="318"/>
      <c r="S66" s="319"/>
      <c r="T66" s="227">
        <f t="shared" si="9"/>
        <v>0</v>
      </c>
      <c r="U66" s="227"/>
    </row>
    <row r="67" spans="1:21" ht="18" customHeight="1" x14ac:dyDescent="0.25">
      <c r="A67" s="211"/>
      <c r="B67" s="228"/>
      <c r="C67" s="229"/>
      <c r="D67" s="214"/>
      <c r="E67" s="230"/>
      <c r="F67" s="231"/>
      <c r="G67" s="223">
        <f>IFERROR(B67*C67*E67*F67*#REF!,0)</f>
        <v>0</v>
      </c>
      <c r="H67" s="316">
        <f t="shared" si="7"/>
        <v>0</v>
      </c>
      <c r="I67" s="318"/>
      <c r="J67" s="318"/>
      <c r="K67" s="318"/>
      <c r="L67" s="319"/>
      <c r="M67" s="227">
        <f t="shared" si="8"/>
        <v>0</v>
      </c>
      <c r="N67" s="320"/>
      <c r="O67" s="318"/>
      <c r="P67" s="318"/>
      <c r="Q67" s="318"/>
      <c r="R67" s="318"/>
      <c r="S67" s="319"/>
      <c r="T67" s="227">
        <f t="shared" si="9"/>
        <v>0</v>
      </c>
      <c r="U67" s="227"/>
    </row>
    <row r="68" spans="1:21" ht="18" hidden="1" customHeight="1" x14ac:dyDescent="0.25">
      <c r="A68" s="211"/>
      <c r="B68" s="228"/>
      <c r="C68" s="229"/>
      <c r="D68" s="214"/>
      <c r="E68" s="230"/>
      <c r="F68" s="231"/>
      <c r="G68" s="223">
        <f>IFERROR(B68*C68*E68*F68*#REF!,0)</f>
        <v>0</v>
      </c>
      <c r="H68" s="316">
        <f t="shared" si="7"/>
        <v>0</v>
      </c>
      <c r="I68" s="318"/>
      <c r="J68" s="318"/>
      <c r="K68" s="318"/>
      <c r="L68" s="319"/>
      <c r="M68" s="227">
        <f t="shared" si="8"/>
        <v>0</v>
      </c>
      <c r="N68" s="320"/>
      <c r="O68" s="318"/>
      <c r="P68" s="318"/>
      <c r="Q68" s="318"/>
      <c r="R68" s="318"/>
      <c r="S68" s="319"/>
      <c r="T68" s="227">
        <f t="shared" si="9"/>
        <v>0</v>
      </c>
      <c r="U68" s="227"/>
    </row>
    <row r="69" spans="1:21" ht="18" hidden="1" customHeight="1" x14ac:dyDescent="0.25">
      <c r="A69" s="211"/>
      <c r="B69" s="228"/>
      <c r="C69" s="229"/>
      <c r="D69" s="214"/>
      <c r="E69" s="230"/>
      <c r="F69" s="231"/>
      <c r="G69" s="223">
        <f>IFERROR(B69*C69*E69*F69*#REF!,0)</f>
        <v>0</v>
      </c>
      <c r="H69" s="316">
        <f t="shared" si="7"/>
        <v>0</v>
      </c>
      <c r="I69" s="318"/>
      <c r="J69" s="318"/>
      <c r="K69" s="318"/>
      <c r="L69" s="319"/>
      <c r="M69" s="227">
        <f t="shared" si="8"/>
        <v>0</v>
      </c>
      <c r="N69" s="320"/>
      <c r="O69" s="318"/>
      <c r="P69" s="318"/>
      <c r="Q69" s="318"/>
      <c r="R69" s="318"/>
      <c r="S69" s="319"/>
      <c r="T69" s="227">
        <f t="shared" si="9"/>
        <v>0</v>
      </c>
      <c r="U69" s="227"/>
    </row>
    <row r="70" spans="1:21" ht="18" hidden="1" customHeight="1" x14ac:dyDescent="0.25">
      <c r="A70" s="211"/>
      <c r="B70" s="228"/>
      <c r="C70" s="229"/>
      <c r="D70" s="214"/>
      <c r="E70" s="230"/>
      <c r="F70" s="231"/>
      <c r="G70" s="223">
        <f>IFERROR(B70*C70*E70*F70*#REF!,0)</f>
        <v>0</v>
      </c>
      <c r="H70" s="316">
        <f t="shared" si="7"/>
        <v>0</v>
      </c>
      <c r="I70" s="318"/>
      <c r="J70" s="318"/>
      <c r="K70" s="318"/>
      <c r="L70" s="319"/>
      <c r="M70" s="227">
        <f t="shared" si="8"/>
        <v>0</v>
      </c>
      <c r="N70" s="320"/>
      <c r="O70" s="318"/>
      <c r="P70" s="318"/>
      <c r="Q70" s="318"/>
      <c r="R70" s="318"/>
      <c r="S70" s="319"/>
      <c r="T70" s="227">
        <f t="shared" si="9"/>
        <v>0</v>
      </c>
      <c r="U70" s="227"/>
    </row>
    <row r="71" spans="1:21" ht="18" hidden="1" customHeight="1" x14ac:dyDescent="0.25">
      <c r="A71" s="211"/>
      <c r="B71" s="228"/>
      <c r="C71" s="229"/>
      <c r="D71" s="214"/>
      <c r="E71" s="230"/>
      <c r="F71" s="231"/>
      <c r="G71" s="223">
        <f>IFERROR(B71*C71*E71*F71*#REF!,0)</f>
        <v>0</v>
      </c>
      <c r="H71" s="316">
        <f t="shared" si="7"/>
        <v>0</v>
      </c>
      <c r="I71" s="318"/>
      <c r="J71" s="318"/>
      <c r="K71" s="318"/>
      <c r="L71" s="319"/>
      <c r="M71" s="227">
        <f t="shared" si="8"/>
        <v>0</v>
      </c>
      <c r="N71" s="320"/>
      <c r="O71" s="318"/>
      <c r="P71" s="318"/>
      <c r="Q71" s="318"/>
      <c r="R71" s="318"/>
      <c r="S71" s="319"/>
      <c r="T71" s="227">
        <f t="shared" si="9"/>
        <v>0</v>
      </c>
      <c r="U71" s="227"/>
    </row>
    <row r="72" spans="1:21" ht="18" hidden="1" customHeight="1" x14ac:dyDescent="0.25">
      <c r="A72" s="211"/>
      <c r="B72" s="228"/>
      <c r="C72" s="229"/>
      <c r="D72" s="214"/>
      <c r="E72" s="230"/>
      <c r="F72" s="231"/>
      <c r="G72" s="223">
        <f>IFERROR(B72*C72*E72*F72*#REF!,0)</f>
        <v>0</v>
      </c>
      <c r="H72" s="316">
        <f t="shared" si="7"/>
        <v>0</v>
      </c>
      <c r="I72" s="318"/>
      <c r="J72" s="318"/>
      <c r="K72" s="318"/>
      <c r="L72" s="319"/>
      <c r="M72" s="227">
        <f t="shared" si="8"/>
        <v>0</v>
      </c>
      <c r="N72" s="320"/>
      <c r="O72" s="318"/>
      <c r="P72" s="318"/>
      <c r="Q72" s="318"/>
      <c r="R72" s="318"/>
      <c r="S72" s="319"/>
      <c r="T72" s="227">
        <f t="shared" si="9"/>
        <v>0</v>
      </c>
      <c r="U72" s="227"/>
    </row>
    <row r="73" spans="1:21" ht="18" hidden="1" customHeight="1" x14ac:dyDescent="0.25">
      <c r="A73" s="211"/>
      <c r="B73" s="228"/>
      <c r="C73" s="229"/>
      <c r="D73" s="214"/>
      <c r="E73" s="230"/>
      <c r="F73" s="231"/>
      <c r="G73" s="223">
        <f>IFERROR(B73*C73*E73*F73*#REF!,0)</f>
        <v>0</v>
      </c>
      <c r="H73" s="316">
        <f t="shared" si="7"/>
        <v>0</v>
      </c>
      <c r="I73" s="318"/>
      <c r="J73" s="318"/>
      <c r="K73" s="318"/>
      <c r="L73" s="319"/>
      <c r="M73" s="227">
        <f t="shared" si="8"/>
        <v>0</v>
      </c>
      <c r="N73" s="320"/>
      <c r="O73" s="318"/>
      <c r="P73" s="318"/>
      <c r="Q73" s="318"/>
      <c r="R73" s="318"/>
      <c r="S73" s="319"/>
      <c r="T73" s="227">
        <f t="shared" si="9"/>
        <v>0</v>
      </c>
      <c r="U73" s="227"/>
    </row>
    <row r="74" spans="1:21" ht="18" hidden="1" customHeight="1" x14ac:dyDescent="0.25">
      <c r="A74" s="211"/>
      <c r="B74" s="228"/>
      <c r="C74" s="229"/>
      <c r="D74" s="214"/>
      <c r="E74" s="230"/>
      <c r="F74" s="231"/>
      <c r="G74" s="223">
        <f>IFERROR(B74*C74*E74*F74*#REF!,0)</f>
        <v>0</v>
      </c>
      <c r="H74" s="316">
        <f t="shared" si="7"/>
        <v>0</v>
      </c>
      <c r="I74" s="318"/>
      <c r="J74" s="318"/>
      <c r="K74" s="318"/>
      <c r="L74" s="319"/>
      <c r="M74" s="227">
        <f t="shared" si="8"/>
        <v>0</v>
      </c>
      <c r="N74" s="320"/>
      <c r="O74" s="318"/>
      <c r="P74" s="318"/>
      <c r="Q74" s="318"/>
      <c r="R74" s="318"/>
      <c r="S74" s="319"/>
      <c r="T74" s="227">
        <f t="shared" si="9"/>
        <v>0</v>
      </c>
      <c r="U74" s="227"/>
    </row>
    <row r="75" spans="1:21" ht="18" hidden="1" customHeight="1" x14ac:dyDescent="0.25">
      <c r="A75" s="211"/>
      <c r="B75" s="228"/>
      <c r="C75" s="229"/>
      <c r="D75" s="214"/>
      <c r="E75" s="230"/>
      <c r="F75" s="231"/>
      <c r="G75" s="223">
        <f>IFERROR(B75*C75*E75*F75*#REF!,0)</f>
        <v>0</v>
      </c>
      <c r="H75" s="316">
        <f t="shared" si="7"/>
        <v>0</v>
      </c>
      <c r="I75" s="318"/>
      <c r="J75" s="318"/>
      <c r="K75" s="318"/>
      <c r="L75" s="319"/>
      <c r="M75" s="227">
        <f t="shared" si="8"/>
        <v>0</v>
      </c>
      <c r="N75" s="320"/>
      <c r="O75" s="318"/>
      <c r="P75" s="318"/>
      <c r="Q75" s="318"/>
      <c r="R75" s="318"/>
      <c r="S75" s="319"/>
      <c r="T75" s="227">
        <f t="shared" si="9"/>
        <v>0</v>
      </c>
      <c r="U75" s="227"/>
    </row>
    <row r="76" spans="1:21" ht="18" hidden="1" customHeight="1" x14ac:dyDescent="0.25">
      <c r="A76" s="211"/>
      <c r="B76" s="228"/>
      <c r="C76" s="229"/>
      <c r="D76" s="214"/>
      <c r="E76" s="230"/>
      <c r="F76" s="231"/>
      <c r="G76" s="223">
        <f>IFERROR(B76*C76*E76*F76*#REF!,0)</f>
        <v>0</v>
      </c>
      <c r="H76" s="316">
        <f t="shared" si="7"/>
        <v>0</v>
      </c>
      <c r="I76" s="318"/>
      <c r="J76" s="318"/>
      <c r="K76" s="318"/>
      <c r="L76" s="319"/>
      <c r="M76" s="227">
        <f t="shared" si="8"/>
        <v>0</v>
      </c>
      <c r="N76" s="320"/>
      <c r="O76" s="318"/>
      <c r="P76" s="318"/>
      <c r="Q76" s="318"/>
      <c r="R76" s="318"/>
      <c r="S76" s="319"/>
      <c r="T76" s="227">
        <f t="shared" si="9"/>
        <v>0</v>
      </c>
      <c r="U76" s="227"/>
    </row>
    <row r="77" spans="1:21" ht="18" hidden="1" customHeight="1" x14ac:dyDescent="0.25">
      <c r="A77" s="211"/>
      <c r="B77" s="228"/>
      <c r="C77" s="229"/>
      <c r="D77" s="214"/>
      <c r="E77" s="230"/>
      <c r="F77" s="231"/>
      <c r="G77" s="223">
        <f>IFERROR(B77*C77*E77*F77*#REF!,0)</f>
        <v>0</v>
      </c>
      <c r="H77" s="316">
        <f t="shared" si="7"/>
        <v>0</v>
      </c>
      <c r="I77" s="318"/>
      <c r="J77" s="318"/>
      <c r="K77" s="318"/>
      <c r="L77" s="319"/>
      <c r="M77" s="227">
        <f t="shared" si="8"/>
        <v>0</v>
      </c>
      <c r="N77" s="320"/>
      <c r="O77" s="318"/>
      <c r="P77" s="318"/>
      <c r="Q77" s="318"/>
      <c r="R77" s="318"/>
      <c r="S77" s="319"/>
      <c r="T77" s="227">
        <f t="shared" si="9"/>
        <v>0</v>
      </c>
      <c r="U77" s="227"/>
    </row>
    <row r="78" spans="1:21" ht="18" hidden="1" customHeight="1" x14ac:dyDescent="0.25">
      <c r="A78" s="211"/>
      <c r="B78" s="228"/>
      <c r="C78" s="229"/>
      <c r="D78" s="214"/>
      <c r="E78" s="230"/>
      <c r="F78" s="231"/>
      <c r="G78" s="223">
        <f>IFERROR(B78*C78*E78*F78*#REF!,0)</f>
        <v>0</v>
      </c>
      <c r="H78" s="316">
        <f t="shared" si="7"/>
        <v>0</v>
      </c>
      <c r="I78" s="318"/>
      <c r="J78" s="318"/>
      <c r="K78" s="318"/>
      <c r="L78" s="319"/>
      <c r="M78" s="227">
        <f t="shared" si="8"/>
        <v>0</v>
      </c>
      <c r="N78" s="320"/>
      <c r="O78" s="318"/>
      <c r="P78" s="318"/>
      <c r="Q78" s="318"/>
      <c r="R78" s="318"/>
      <c r="S78" s="319"/>
      <c r="T78" s="227">
        <f t="shared" si="9"/>
        <v>0</v>
      </c>
      <c r="U78" s="227"/>
    </row>
    <row r="79" spans="1:21" ht="18" hidden="1" customHeight="1" x14ac:dyDescent="0.25">
      <c r="A79" s="211"/>
      <c r="B79" s="228"/>
      <c r="C79" s="229"/>
      <c r="D79" s="214"/>
      <c r="E79" s="230"/>
      <c r="F79" s="231"/>
      <c r="G79" s="223">
        <f>IFERROR(B79*C79*E79*F79*#REF!,0)</f>
        <v>0</v>
      </c>
      <c r="H79" s="316">
        <f t="shared" si="7"/>
        <v>0</v>
      </c>
      <c r="I79" s="318"/>
      <c r="J79" s="318"/>
      <c r="K79" s="318"/>
      <c r="L79" s="319"/>
      <c r="M79" s="227">
        <f t="shared" si="8"/>
        <v>0</v>
      </c>
      <c r="N79" s="320"/>
      <c r="O79" s="318"/>
      <c r="P79" s="318"/>
      <c r="Q79" s="318"/>
      <c r="R79" s="318"/>
      <c r="S79" s="319"/>
      <c r="T79" s="227">
        <f t="shared" si="9"/>
        <v>0</v>
      </c>
      <c r="U79" s="227"/>
    </row>
    <row r="80" spans="1:21" ht="18" hidden="1" customHeight="1" x14ac:dyDescent="0.25">
      <c r="A80" s="211"/>
      <c r="B80" s="228"/>
      <c r="C80" s="229"/>
      <c r="D80" s="214"/>
      <c r="E80" s="230"/>
      <c r="F80" s="231"/>
      <c r="G80" s="223">
        <f>IFERROR(B80*C80*E80*F80*#REF!,0)</f>
        <v>0</v>
      </c>
      <c r="H80" s="316">
        <f t="shared" si="7"/>
        <v>0</v>
      </c>
      <c r="I80" s="318"/>
      <c r="J80" s="318"/>
      <c r="K80" s="318"/>
      <c r="L80" s="319"/>
      <c r="M80" s="227">
        <f t="shared" si="8"/>
        <v>0</v>
      </c>
      <c r="N80" s="320"/>
      <c r="O80" s="318"/>
      <c r="P80" s="318"/>
      <c r="Q80" s="318"/>
      <c r="R80" s="318"/>
      <c r="S80" s="319"/>
      <c r="T80" s="227">
        <f t="shared" si="9"/>
        <v>0</v>
      </c>
      <c r="U80" s="227"/>
    </row>
    <row r="81" spans="1:21" ht="18" hidden="1" customHeight="1" x14ac:dyDescent="0.25">
      <c r="A81" s="211"/>
      <c r="B81" s="228"/>
      <c r="C81" s="229"/>
      <c r="D81" s="214"/>
      <c r="E81" s="230"/>
      <c r="F81" s="231"/>
      <c r="G81" s="223">
        <f>IFERROR(B81*C81*E81*F81*#REF!,0)</f>
        <v>0</v>
      </c>
      <c r="H81" s="316">
        <f t="shared" si="7"/>
        <v>0</v>
      </c>
      <c r="I81" s="318"/>
      <c r="J81" s="318"/>
      <c r="K81" s="318"/>
      <c r="L81" s="319"/>
      <c r="M81" s="227">
        <f t="shared" si="8"/>
        <v>0</v>
      </c>
      <c r="N81" s="320"/>
      <c r="O81" s="318"/>
      <c r="P81" s="318"/>
      <c r="Q81" s="318"/>
      <c r="R81" s="318"/>
      <c r="S81" s="319"/>
      <c r="T81" s="227">
        <f t="shared" si="9"/>
        <v>0</v>
      </c>
      <c r="U81" s="227"/>
    </row>
    <row r="82" spans="1:21" ht="18" hidden="1" customHeight="1" x14ac:dyDescent="0.25">
      <c r="A82" s="211"/>
      <c r="B82" s="228"/>
      <c r="C82" s="229"/>
      <c r="D82" s="214"/>
      <c r="E82" s="230"/>
      <c r="F82" s="231"/>
      <c r="G82" s="223">
        <f>IFERROR(B82*C82*E82*F82*#REF!,0)</f>
        <v>0</v>
      </c>
      <c r="H82" s="316">
        <f t="shared" si="7"/>
        <v>0</v>
      </c>
      <c r="I82" s="318"/>
      <c r="J82" s="318"/>
      <c r="K82" s="318"/>
      <c r="L82" s="319"/>
      <c r="M82" s="227">
        <f t="shared" si="8"/>
        <v>0</v>
      </c>
      <c r="N82" s="320"/>
      <c r="O82" s="318"/>
      <c r="P82" s="318"/>
      <c r="Q82" s="318"/>
      <c r="R82" s="318"/>
      <c r="S82" s="319"/>
      <c r="T82" s="227">
        <f t="shared" si="9"/>
        <v>0</v>
      </c>
      <c r="U82" s="227"/>
    </row>
    <row r="83" spans="1:21" ht="18" hidden="1" customHeight="1" x14ac:dyDescent="0.25">
      <c r="A83" s="211"/>
      <c r="B83" s="228"/>
      <c r="C83" s="229"/>
      <c r="D83" s="214"/>
      <c r="E83" s="230"/>
      <c r="F83" s="231"/>
      <c r="G83" s="223">
        <f>IFERROR(B83*C83*E83*F83*#REF!,0)</f>
        <v>0</v>
      </c>
      <c r="H83" s="316">
        <f t="shared" si="7"/>
        <v>0</v>
      </c>
      <c r="I83" s="318"/>
      <c r="J83" s="318"/>
      <c r="K83" s="318"/>
      <c r="L83" s="319"/>
      <c r="M83" s="227">
        <f t="shared" si="8"/>
        <v>0</v>
      </c>
      <c r="N83" s="320"/>
      <c r="O83" s="318"/>
      <c r="P83" s="318"/>
      <c r="Q83" s="318"/>
      <c r="R83" s="318"/>
      <c r="S83" s="319"/>
      <c r="T83" s="227">
        <f t="shared" si="9"/>
        <v>0</v>
      </c>
      <c r="U83" s="227"/>
    </row>
    <row r="84" spans="1:21" ht="18" hidden="1" customHeight="1" x14ac:dyDescent="0.25">
      <c r="A84" s="211"/>
      <c r="B84" s="228"/>
      <c r="C84" s="229"/>
      <c r="D84" s="214"/>
      <c r="E84" s="230"/>
      <c r="F84" s="231"/>
      <c r="G84" s="223">
        <f>IFERROR(B84*C84*E84*F84*#REF!,0)</f>
        <v>0</v>
      </c>
      <c r="H84" s="316">
        <f t="shared" si="7"/>
        <v>0</v>
      </c>
      <c r="I84" s="318"/>
      <c r="J84" s="318"/>
      <c r="K84" s="318"/>
      <c r="L84" s="319"/>
      <c r="M84" s="227">
        <f t="shared" si="8"/>
        <v>0</v>
      </c>
      <c r="N84" s="320"/>
      <c r="O84" s="318"/>
      <c r="P84" s="318"/>
      <c r="Q84" s="318"/>
      <c r="R84" s="318"/>
      <c r="S84" s="319"/>
      <c r="T84" s="227">
        <f t="shared" si="9"/>
        <v>0</v>
      </c>
      <c r="U84" s="227"/>
    </row>
    <row r="85" spans="1:21" ht="18" hidden="1" customHeight="1" x14ac:dyDescent="0.25">
      <c r="A85" s="211"/>
      <c r="B85" s="228"/>
      <c r="C85" s="229"/>
      <c r="D85" s="214"/>
      <c r="E85" s="230"/>
      <c r="F85" s="231"/>
      <c r="G85" s="223">
        <f>IFERROR(B85*C85*E85*F85*#REF!,0)</f>
        <v>0</v>
      </c>
      <c r="H85" s="316">
        <f t="shared" si="7"/>
        <v>0</v>
      </c>
      <c r="I85" s="318"/>
      <c r="J85" s="318"/>
      <c r="K85" s="318"/>
      <c r="L85" s="319"/>
      <c r="M85" s="227">
        <f t="shared" si="8"/>
        <v>0</v>
      </c>
      <c r="N85" s="320"/>
      <c r="O85" s="318"/>
      <c r="P85" s="318"/>
      <c r="Q85" s="318"/>
      <c r="R85" s="318"/>
      <c r="S85" s="319"/>
      <c r="T85" s="227">
        <f t="shared" si="9"/>
        <v>0</v>
      </c>
      <c r="U85" s="227"/>
    </row>
    <row r="86" spans="1:21" ht="18" hidden="1" customHeight="1" x14ac:dyDescent="0.25">
      <c r="A86" s="211"/>
      <c r="B86" s="228"/>
      <c r="C86" s="229"/>
      <c r="D86" s="214"/>
      <c r="E86" s="230"/>
      <c r="F86" s="231"/>
      <c r="G86" s="223">
        <f>IFERROR(B86*C86*E86*F86*#REF!,0)</f>
        <v>0</v>
      </c>
      <c r="H86" s="316">
        <f t="shared" si="7"/>
        <v>0</v>
      </c>
      <c r="I86" s="318"/>
      <c r="J86" s="318"/>
      <c r="K86" s="318"/>
      <c r="L86" s="319"/>
      <c r="M86" s="227">
        <f t="shared" si="8"/>
        <v>0</v>
      </c>
      <c r="N86" s="320"/>
      <c r="O86" s="318"/>
      <c r="P86" s="318"/>
      <c r="Q86" s="318"/>
      <c r="R86" s="318"/>
      <c r="S86" s="319"/>
      <c r="T86" s="227">
        <f t="shared" si="9"/>
        <v>0</v>
      </c>
      <c r="U86" s="227"/>
    </row>
    <row r="87" spans="1:21" ht="18" hidden="1" customHeight="1" x14ac:dyDescent="0.25">
      <c r="A87" s="211"/>
      <c r="B87" s="228"/>
      <c r="C87" s="229"/>
      <c r="D87" s="214"/>
      <c r="E87" s="230"/>
      <c r="F87" s="231"/>
      <c r="G87" s="223">
        <f>IFERROR(B87*C87*E87*F87*#REF!,0)</f>
        <v>0</v>
      </c>
      <c r="H87" s="316">
        <f t="shared" si="7"/>
        <v>0</v>
      </c>
      <c r="I87" s="318"/>
      <c r="J87" s="318"/>
      <c r="K87" s="318"/>
      <c r="L87" s="319"/>
      <c r="M87" s="227">
        <f t="shared" si="8"/>
        <v>0</v>
      </c>
      <c r="N87" s="320"/>
      <c r="O87" s="318"/>
      <c r="P87" s="318"/>
      <c r="Q87" s="318"/>
      <c r="R87" s="318"/>
      <c r="S87" s="319"/>
      <c r="T87" s="227">
        <f t="shared" si="9"/>
        <v>0</v>
      </c>
      <c r="U87" s="227"/>
    </row>
    <row r="88" spans="1:21" ht="18" hidden="1" customHeight="1" x14ac:dyDescent="0.25">
      <c r="A88" s="211"/>
      <c r="B88" s="228"/>
      <c r="C88" s="229"/>
      <c r="D88" s="214"/>
      <c r="E88" s="230"/>
      <c r="F88" s="231"/>
      <c r="G88" s="223">
        <f>IFERROR(B88*C88*E88*F88*#REF!,0)</f>
        <v>0</v>
      </c>
      <c r="H88" s="316">
        <f t="shared" si="7"/>
        <v>0</v>
      </c>
      <c r="I88" s="318"/>
      <c r="J88" s="318"/>
      <c r="K88" s="318"/>
      <c r="L88" s="319"/>
      <c r="M88" s="227">
        <f t="shared" si="8"/>
        <v>0</v>
      </c>
      <c r="N88" s="320"/>
      <c r="O88" s="318"/>
      <c r="P88" s="318"/>
      <c r="Q88" s="318"/>
      <c r="R88" s="318"/>
      <c r="S88" s="319"/>
      <c r="T88" s="227">
        <f t="shared" si="9"/>
        <v>0</v>
      </c>
      <c r="U88" s="227"/>
    </row>
    <row r="89" spans="1:21" ht="18" hidden="1" customHeight="1" x14ac:dyDescent="0.25">
      <c r="A89" s="211"/>
      <c r="B89" s="228"/>
      <c r="C89" s="229"/>
      <c r="D89" s="214"/>
      <c r="E89" s="230"/>
      <c r="F89" s="231"/>
      <c r="G89" s="223">
        <f>IFERROR(B89*C89*E89*F89*#REF!,0)</f>
        <v>0</v>
      </c>
      <c r="H89" s="316">
        <f t="shared" si="7"/>
        <v>0</v>
      </c>
      <c r="I89" s="318"/>
      <c r="J89" s="318"/>
      <c r="K89" s="318"/>
      <c r="L89" s="319"/>
      <c r="M89" s="227">
        <f t="shared" si="8"/>
        <v>0</v>
      </c>
      <c r="N89" s="320"/>
      <c r="O89" s="318"/>
      <c r="P89" s="318"/>
      <c r="Q89" s="318"/>
      <c r="R89" s="318"/>
      <c r="S89" s="319"/>
      <c r="T89" s="227">
        <f t="shared" si="9"/>
        <v>0</v>
      </c>
      <c r="U89" s="227"/>
    </row>
    <row r="90" spans="1:21" ht="18" hidden="1" customHeight="1" x14ac:dyDescent="0.25">
      <c r="A90" s="211"/>
      <c r="B90" s="228"/>
      <c r="C90" s="229"/>
      <c r="D90" s="214"/>
      <c r="E90" s="230"/>
      <c r="F90" s="231"/>
      <c r="G90" s="223">
        <f>IFERROR(B90*C90*E90*F90*#REF!,0)</f>
        <v>0</v>
      </c>
      <c r="H90" s="316">
        <f t="shared" si="7"/>
        <v>0</v>
      </c>
      <c r="I90" s="318"/>
      <c r="J90" s="318"/>
      <c r="K90" s="318"/>
      <c r="L90" s="319"/>
      <c r="M90" s="227">
        <f t="shared" si="8"/>
        <v>0</v>
      </c>
      <c r="N90" s="320"/>
      <c r="O90" s="318"/>
      <c r="P90" s="318"/>
      <c r="Q90" s="318"/>
      <c r="R90" s="318"/>
      <c r="S90" s="319"/>
      <c r="T90" s="227">
        <f t="shared" si="9"/>
        <v>0</v>
      </c>
      <c r="U90" s="227"/>
    </row>
    <row r="91" spans="1:21" ht="18" hidden="1" customHeight="1" x14ac:dyDescent="0.25">
      <c r="A91" s="211"/>
      <c r="B91" s="228"/>
      <c r="C91" s="229"/>
      <c r="D91" s="214"/>
      <c r="E91" s="230"/>
      <c r="F91" s="231"/>
      <c r="G91" s="223">
        <f>IFERROR(B91*C91*E91*F91*#REF!,0)</f>
        <v>0</v>
      </c>
      <c r="H91" s="316">
        <f t="shared" si="7"/>
        <v>0</v>
      </c>
      <c r="I91" s="318"/>
      <c r="J91" s="318"/>
      <c r="K91" s="318"/>
      <c r="L91" s="319"/>
      <c r="M91" s="227">
        <f t="shared" si="8"/>
        <v>0</v>
      </c>
      <c r="N91" s="320"/>
      <c r="O91" s="318"/>
      <c r="P91" s="318"/>
      <c r="Q91" s="318"/>
      <c r="R91" s="318"/>
      <c r="S91" s="319"/>
      <c r="T91" s="227">
        <f t="shared" si="9"/>
        <v>0</v>
      </c>
      <c r="U91" s="227"/>
    </row>
    <row r="92" spans="1:21" ht="18" hidden="1" customHeight="1" x14ac:dyDescent="0.25">
      <c r="A92" s="211"/>
      <c r="B92" s="228"/>
      <c r="C92" s="229"/>
      <c r="D92" s="214"/>
      <c r="E92" s="230"/>
      <c r="F92" s="231"/>
      <c r="G92" s="223">
        <f>IFERROR(B92*C92*E92*F92*#REF!,0)</f>
        <v>0</v>
      </c>
      <c r="H92" s="316">
        <f t="shared" si="7"/>
        <v>0</v>
      </c>
      <c r="I92" s="318"/>
      <c r="J92" s="318"/>
      <c r="K92" s="318"/>
      <c r="L92" s="319"/>
      <c r="M92" s="227">
        <f t="shared" si="8"/>
        <v>0</v>
      </c>
      <c r="N92" s="320"/>
      <c r="O92" s="318"/>
      <c r="P92" s="318"/>
      <c r="Q92" s="318"/>
      <c r="R92" s="318"/>
      <c r="S92" s="319"/>
      <c r="T92" s="227">
        <f t="shared" si="9"/>
        <v>0</v>
      </c>
      <c r="U92" s="227"/>
    </row>
    <row r="93" spans="1:21" ht="18" hidden="1" customHeight="1" x14ac:dyDescent="0.25">
      <c r="A93" s="211"/>
      <c r="B93" s="228"/>
      <c r="C93" s="229"/>
      <c r="D93" s="214"/>
      <c r="E93" s="230"/>
      <c r="F93" s="231"/>
      <c r="G93" s="223">
        <f>IFERROR(B93*C93*E93*F93*#REF!,0)</f>
        <v>0</v>
      </c>
      <c r="H93" s="316">
        <f t="shared" si="7"/>
        <v>0</v>
      </c>
      <c r="I93" s="318"/>
      <c r="J93" s="318"/>
      <c r="K93" s="318"/>
      <c r="L93" s="319"/>
      <c r="M93" s="227">
        <f t="shared" si="8"/>
        <v>0</v>
      </c>
      <c r="N93" s="320"/>
      <c r="O93" s="318"/>
      <c r="P93" s="318"/>
      <c r="Q93" s="318"/>
      <c r="R93" s="318"/>
      <c r="S93" s="319"/>
      <c r="T93" s="227">
        <f t="shared" si="9"/>
        <v>0</v>
      </c>
      <c r="U93" s="227"/>
    </row>
    <row r="94" spans="1:21" ht="18" hidden="1" customHeight="1" x14ac:dyDescent="0.25">
      <c r="A94" s="211"/>
      <c r="B94" s="228"/>
      <c r="C94" s="229"/>
      <c r="D94" s="214"/>
      <c r="E94" s="230"/>
      <c r="F94" s="231"/>
      <c r="G94" s="223">
        <f>IFERROR(B94*C94*E94*F94*#REF!,0)</f>
        <v>0</v>
      </c>
      <c r="H94" s="316">
        <f t="shared" si="7"/>
        <v>0</v>
      </c>
      <c r="I94" s="318"/>
      <c r="J94" s="318"/>
      <c r="K94" s="318"/>
      <c r="L94" s="319"/>
      <c r="M94" s="227">
        <f t="shared" si="8"/>
        <v>0</v>
      </c>
      <c r="N94" s="320"/>
      <c r="O94" s="318"/>
      <c r="P94" s="318"/>
      <c r="Q94" s="318"/>
      <c r="R94" s="318"/>
      <c r="S94" s="319"/>
      <c r="T94" s="227">
        <f t="shared" si="9"/>
        <v>0</v>
      </c>
      <c r="U94" s="227"/>
    </row>
    <row r="95" spans="1:21" ht="18" hidden="1" customHeight="1" x14ac:dyDescent="0.25">
      <c r="A95" s="211"/>
      <c r="B95" s="228"/>
      <c r="C95" s="229"/>
      <c r="D95" s="214"/>
      <c r="E95" s="230"/>
      <c r="F95" s="231"/>
      <c r="G95" s="223">
        <f>IFERROR(B95*C95*E95*F95*#REF!,0)</f>
        <v>0</v>
      </c>
      <c r="H95" s="316">
        <f t="shared" si="7"/>
        <v>0</v>
      </c>
      <c r="I95" s="318"/>
      <c r="J95" s="318"/>
      <c r="K95" s="318"/>
      <c r="L95" s="319"/>
      <c r="M95" s="227">
        <f t="shared" si="8"/>
        <v>0</v>
      </c>
      <c r="N95" s="320"/>
      <c r="O95" s="318"/>
      <c r="P95" s="318"/>
      <c r="Q95" s="318"/>
      <c r="R95" s="318"/>
      <c r="S95" s="319"/>
      <c r="T95" s="227">
        <f t="shared" si="9"/>
        <v>0</v>
      </c>
      <c r="U95" s="227"/>
    </row>
    <row r="96" spans="1:21" ht="18" hidden="1" customHeight="1" x14ac:dyDescent="0.25">
      <c r="A96" s="211"/>
      <c r="B96" s="228"/>
      <c r="C96" s="229"/>
      <c r="D96" s="214"/>
      <c r="E96" s="230"/>
      <c r="F96" s="231"/>
      <c r="G96" s="223">
        <f>IFERROR(B96*C96*E96*F96*#REF!,0)</f>
        <v>0</v>
      </c>
      <c r="H96" s="316">
        <f t="shared" si="7"/>
        <v>0</v>
      </c>
      <c r="I96" s="318"/>
      <c r="J96" s="318"/>
      <c r="K96" s="318"/>
      <c r="L96" s="319"/>
      <c r="M96" s="227">
        <f t="shared" si="8"/>
        <v>0</v>
      </c>
      <c r="N96" s="320"/>
      <c r="O96" s="318"/>
      <c r="P96" s="318"/>
      <c r="Q96" s="318"/>
      <c r="R96" s="318"/>
      <c r="S96" s="319"/>
      <c r="T96" s="227">
        <f t="shared" si="9"/>
        <v>0</v>
      </c>
      <c r="U96" s="227"/>
    </row>
    <row r="97" spans="1:21" ht="18" hidden="1" customHeight="1" x14ac:dyDescent="0.25">
      <c r="A97" s="211"/>
      <c r="B97" s="228"/>
      <c r="C97" s="229"/>
      <c r="D97" s="214"/>
      <c r="E97" s="230"/>
      <c r="F97" s="214"/>
      <c r="G97" s="223">
        <f>IFERROR(B97*C97*E97*F97*#REF!,0)</f>
        <v>0</v>
      </c>
      <c r="H97" s="316">
        <f t="shared" si="7"/>
        <v>0</v>
      </c>
      <c r="I97" s="318"/>
      <c r="J97" s="318"/>
      <c r="K97" s="318"/>
      <c r="L97" s="319"/>
      <c r="M97" s="227">
        <f t="shared" si="8"/>
        <v>0</v>
      </c>
      <c r="N97" s="320"/>
      <c r="O97" s="318"/>
      <c r="P97" s="318"/>
      <c r="Q97" s="318"/>
      <c r="R97" s="318"/>
      <c r="S97" s="319"/>
      <c r="T97" s="227">
        <f t="shared" si="9"/>
        <v>0</v>
      </c>
      <c r="U97" s="227"/>
    </row>
    <row r="98" spans="1:21" ht="18" hidden="1" customHeight="1" x14ac:dyDescent="0.25">
      <c r="A98" s="211"/>
      <c r="B98" s="228"/>
      <c r="C98" s="229"/>
      <c r="D98" s="214"/>
      <c r="E98" s="230"/>
      <c r="F98" s="214"/>
      <c r="G98" s="223">
        <f>IFERROR(B98*C98*E98*F98*#REF!,0)</f>
        <v>0</v>
      </c>
      <c r="H98" s="316">
        <f t="shared" si="7"/>
        <v>0</v>
      </c>
      <c r="I98" s="318"/>
      <c r="J98" s="318"/>
      <c r="K98" s="318"/>
      <c r="L98" s="319"/>
      <c r="M98" s="227">
        <f t="shared" si="8"/>
        <v>0</v>
      </c>
      <c r="N98" s="320"/>
      <c r="O98" s="318"/>
      <c r="P98" s="318"/>
      <c r="Q98" s="318"/>
      <c r="R98" s="318"/>
      <c r="S98" s="319"/>
      <c r="T98" s="227">
        <f t="shared" si="9"/>
        <v>0</v>
      </c>
      <c r="U98" s="227"/>
    </row>
    <row r="99" spans="1:21" ht="18" customHeight="1" x14ac:dyDescent="0.25">
      <c r="A99" s="1041" t="s">
        <v>390</v>
      </c>
      <c r="B99" s="1041"/>
      <c r="C99" s="1041"/>
      <c r="D99" s="1041"/>
      <c r="E99" s="1041"/>
      <c r="F99" s="1041"/>
      <c r="G99" s="322">
        <f t="shared" ref="G99:L99" si="10">SUM(G63:G98)</f>
        <v>0</v>
      </c>
      <c r="H99" s="323">
        <f t="shared" si="10"/>
        <v>0</v>
      </c>
      <c r="I99" s="324">
        <f t="shared" si="10"/>
        <v>0</v>
      </c>
      <c r="J99" s="324">
        <f t="shared" si="10"/>
        <v>0</v>
      </c>
      <c r="K99" s="324">
        <f t="shared" si="10"/>
        <v>0</v>
      </c>
      <c r="L99" s="325">
        <f t="shared" si="10"/>
        <v>0</v>
      </c>
      <c r="M99" s="227">
        <f t="shared" si="8"/>
        <v>0</v>
      </c>
      <c r="N99" s="320"/>
      <c r="O99" s="318"/>
      <c r="P99" s="318"/>
      <c r="Q99" s="318"/>
      <c r="R99" s="318"/>
      <c r="S99" s="319"/>
      <c r="T99" s="227"/>
      <c r="U99" s="227"/>
    </row>
    <row r="100" spans="1:21" ht="18" customHeight="1" x14ac:dyDescent="0.25">
      <c r="A100" s="1030" t="s">
        <v>391</v>
      </c>
      <c r="B100" s="1030"/>
      <c r="C100" s="1030"/>
      <c r="D100" s="1030"/>
      <c r="E100" s="1030"/>
      <c r="F100" s="1030"/>
      <c r="G100" s="326">
        <f t="shared" ref="G100:L100" si="11">G61+G99</f>
        <v>0</v>
      </c>
      <c r="H100" s="327">
        <f t="shared" si="11"/>
        <v>0</v>
      </c>
      <c r="I100" s="328">
        <f t="shared" si="11"/>
        <v>0</v>
      </c>
      <c r="J100" s="328">
        <f t="shared" si="11"/>
        <v>0</v>
      </c>
      <c r="K100" s="328">
        <f t="shared" si="11"/>
        <v>0</v>
      </c>
      <c r="L100" s="329">
        <f t="shared" si="11"/>
        <v>0</v>
      </c>
      <c r="M100" s="227">
        <f t="shared" si="8"/>
        <v>0</v>
      </c>
      <c r="N100" s="320"/>
      <c r="O100" s="318"/>
      <c r="P100" s="318"/>
      <c r="Q100" s="318"/>
      <c r="R100" s="318"/>
      <c r="S100" s="319"/>
      <c r="T100" s="227"/>
      <c r="U100" s="227"/>
    </row>
    <row r="101" spans="1:21" ht="18" customHeight="1" x14ac:dyDescent="0.25">
      <c r="A101" s="252"/>
      <c r="B101" s="252"/>
      <c r="C101" s="252"/>
      <c r="D101" s="256"/>
      <c r="E101" s="256"/>
      <c r="F101" s="256"/>
      <c r="G101" s="330"/>
      <c r="I101" s="331"/>
      <c r="J101" s="331"/>
      <c r="K101" s="331"/>
      <c r="L101" s="331"/>
      <c r="M101" s="227"/>
      <c r="N101" s="320"/>
      <c r="O101" s="318"/>
      <c r="P101" s="318"/>
      <c r="Q101" s="318"/>
      <c r="R101" s="318"/>
      <c r="S101" s="319"/>
      <c r="T101" s="227"/>
      <c r="U101" s="227"/>
    </row>
    <row r="102" spans="1:21" ht="18" customHeight="1" x14ac:dyDescent="0.25">
      <c r="A102" s="1042" t="s">
        <v>392</v>
      </c>
      <c r="B102" s="1042"/>
      <c r="C102" s="1042"/>
      <c r="D102" s="1042"/>
      <c r="E102" s="1042"/>
      <c r="F102" s="1042"/>
      <c r="G102" s="1042"/>
      <c r="H102" s="1042"/>
      <c r="I102" s="1043" t="s">
        <v>422</v>
      </c>
      <c r="J102" s="1043"/>
      <c r="K102" s="1043"/>
      <c r="L102" s="1043"/>
      <c r="M102" s="227"/>
      <c r="N102" s="320"/>
      <c r="O102" s="318"/>
      <c r="P102" s="318"/>
      <c r="Q102" s="318"/>
      <c r="R102" s="318"/>
      <c r="S102" s="319"/>
      <c r="T102" s="227"/>
      <c r="U102" s="227"/>
    </row>
    <row r="103" spans="1:21" ht="18" customHeight="1" x14ac:dyDescent="0.25">
      <c r="A103" s="1044" t="s">
        <v>380</v>
      </c>
      <c r="B103" s="1044"/>
      <c r="C103" s="1044"/>
      <c r="D103" s="1045" t="s">
        <v>113</v>
      </c>
      <c r="E103" s="1045" t="s">
        <v>383</v>
      </c>
      <c r="F103" s="1046" t="s">
        <v>393</v>
      </c>
      <c r="G103" s="1045" t="s">
        <v>385</v>
      </c>
      <c r="H103" s="1047" t="s">
        <v>386</v>
      </c>
      <c r="I103" s="1048" t="s">
        <v>424</v>
      </c>
      <c r="J103" s="1048"/>
      <c r="K103" s="1049" t="s">
        <v>428</v>
      </c>
      <c r="L103" s="1049"/>
      <c r="M103" s="227"/>
      <c r="N103" s="320"/>
      <c r="O103" s="318"/>
      <c r="P103" s="318"/>
      <c r="Q103" s="318"/>
      <c r="R103" s="318"/>
      <c r="S103" s="319"/>
      <c r="T103" s="227"/>
      <c r="U103" s="227"/>
    </row>
    <row r="104" spans="1:21" ht="18" customHeight="1" x14ac:dyDescent="0.25">
      <c r="A104" s="1044"/>
      <c r="B104" s="1044"/>
      <c r="C104" s="1044"/>
      <c r="D104" s="1045"/>
      <c r="E104" s="1045"/>
      <c r="F104" s="1046"/>
      <c r="G104" s="1045"/>
      <c r="H104" s="1047"/>
      <c r="I104" s="334" t="s">
        <v>426</v>
      </c>
      <c r="J104" s="334" t="s">
        <v>427</v>
      </c>
      <c r="K104" s="334" t="s">
        <v>426</v>
      </c>
      <c r="L104" s="335" t="s">
        <v>427</v>
      </c>
      <c r="M104" s="227"/>
      <c r="N104" s="320"/>
      <c r="O104" s="318"/>
      <c r="P104" s="318"/>
      <c r="Q104" s="318"/>
      <c r="R104" s="318"/>
      <c r="S104" s="319"/>
      <c r="T104" s="227"/>
      <c r="U104" s="227"/>
    </row>
    <row r="105" spans="1:21" ht="18" customHeight="1" x14ac:dyDescent="0.25">
      <c r="A105" s="1018"/>
      <c r="B105" s="1018"/>
      <c r="C105" s="1018"/>
      <c r="D105" s="241"/>
      <c r="E105" s="242"/>
      <c r="F105" s="243"/>
      <c r="G105" s="216">
        <f t="shared" ref="G105:G149" si="12">+F105*E105</f>
        <v>0</v>
      </c>
      <c r="H105" s="336">
        <f t="shared" ref="H105:H149" si="13">IFERROR(G105/$G$150,0)</f>
        <v>0</v>
      </c>
      <c r="I105" s="318"/>
      <c r="J105" s="318"/>
      <c r="K105" s="318"/>
      <c r="L105" s="319"/>
      <c r="M105" s="227">
        <f t="shared" ref="M105:M150" si="14">G105-SUM(I105:L105)</f>
        <v>0</v>
      </c>
      <c r="N105" s="320"/>
      <c r="O105" s="318"/>
      <c r="P105" s="318"/>
      <c r="Q105" s="318"/>
      <c r="R105" s="318"/>
      <c r="S105" s="319"/>
      <c r="T105" s="227">
        <f t="shared" ref="T105:T149" si="15">I105-SUM(N105:S105)</f>
        <v>0</v>
      </c>
      <c r="U105" s="227"/>
    </row>
    <row r="106" spans="1:21" ht="18" customHeight="1" x14ac:dyDescent="0.25">
      <c r="A106" s="1018"/>
      <c r="B106" s="1018"/>
      <c r="C106" s="1018"/>
      <c r="D106" s="241"/>
      <c r="E106" s="246"/>
      <c r="F106" s="243"/>
      <c r="G106" s="216">
        <f t="shared" si="12"/>
        <v>0</v>
      </c>
      <c r="H106" s="336">
        <f t="shared" si="13"/>
        <v>0</v>
      </c>
      <c r="I106" s="318"/>
      <c r="J106" s="318"/>
      <c r="K106" s="318"/>
      <c r="L106" s="319"/>
      <c r="M106" s="227">
        <f t="shared" si="14"/>
        <v>0</v>
      </c>
      <c r="N106" s="320"/>
      <c r="O106" s="318"/>
      <c r="P106" s="318"/>
      <c r="Q106" s="318"/>
      <c r="R106" s="318"/>
      <c r="S106" s="319"/>
      <c r="T106" s="227">
        <f t="shared" si="15"/>
        <v>0</v>
      </c>
      <c r="U106" s="227"/>
    </row>
    <row r="107" spans="1:21" ht="18" customHeight="1" x14ac:dyDescent="0.25">
      <c r="A107" s="1018"/>
      <c r="B107" s="1018"/>
      <c r="C107" s="1018"/>
      <c r="D107" s="241"/>
      <c r="E107" s="246"/>
      <c r="F107" s="243"/>
      <c r="G107" s="216">
        <f t="shared" si="12"/>
        <v>0</v>
      </c>
      <c r="H107" s="336">
        <f t="shared" si="13"/>
        <v>0</v>
      </c>
      <c r="I107" s="318"/>
      <c r="J107" s="318"/>
      <c r="K107" s="318"/>
      <c r="L107" s="319"/>
      <c r="M107" s="227">
        <f t="shared" si="14"/>
        <v>0</v>
      </c>
      <c r="N107" s="320"/>
      <c r="O107" s="318"/>
      <c r="P107" s="318"/>
      <c r="Q107" s="318"/>
      <c r="R107" s="318"/>
      <c r="S107" s="319"/>
      <c r="T107" s="227">
        <f t="shared" si="15"/>
        <v>0</v>
      </c>
      <c r="U107" s="227"/>
    </row>
    <row r="108" spans="1:21" ht="18" customHeight="1" x14ac:dyDescent="0.25">
      <c r="A108" s="1018"/>
      <c r="B108" s="1018"/>
      <c r="C108" s="1018"/>
      <c r="D108" s="241"/>
      <c r="E108" s="214"/>
      <c r="F108" s="243"/>
      <c r="G108" s="216">
        <f t="shared" si="12"/>
        <v>0</v>
      </c>
      <c r="H108" s="336">
        <f t="shared" si="13"/>
        <v>0</v>
      </c>
      <c r="I108" s="318"/>
      <c r="J108" s="318"/>
      <c r="K108" s="318"/>
      <c r="L108" s="319"/>
      <c r="M108" s="227">
        <f t="shared" si="14"/>
        <v>0</v>
      </c>
      <c r="N108" s="320"/>
      <c r="O108" s="318"/>
      <c r="P108" s="318"/>
      <c r="Q108" s="318"/>
      <c r="R108" s="318"/>
      <c r="S108" s="319"/>
      <c r="T108" s="227">
        <f t="shared" si="15"/>
        <v>0</v>
      </c>
      <c r="U108" s="227"/>
    </row>
    <row r="109" spans="1:21" ht="18" customHeight="1" x14ac:dyDescent="0.25">
      <c r="A109" s="1018"/>
      <c r="B109" s="1018"/>
      <c r="C109" s="1018"/>
      <c r="D109" s="241"/>
      <c r="E109" s="214"/>
      <c r="F109" s="243"/>
      <c r="G109" s="216">
        <f t="shared" si="12"/>
        <v>0</v>
      </c>
      <c r="H109" s="336">
        <f t="shared" si="13"/>
        <v>0</v>
      </c>
      <c r="I109" s="318"/>
      <c r="J109" s="318"/>
      <c r="K109" s="318"/>
      <c r="L109" s="319"/>
      <c r="M109" s="227">
        <f t="shared" si="14"/>
        <v>0</v>
      </c>
      <c r="N109" s="320"/>
      <c r="O109" s="318"/>
      <c r="P109" s="318"/>
      <c r="Q109" s="318"/>
      <c r="R109" s="318"/>
      <c r="S109" s="319"/>
      <c r="T109" s="227">
        <f t="shared" si="15"/>
        <v>0</v>
      </c>
      <c r="U109" s="227"/>
    </row>
    <row r="110" spans="1:21" ht="18" customHeight="1" x14ac:dyDescent="0.25">
      <c r="A110" s="1018"/>
      <c r="B110" s="1018"/>
      <c r="C110" s="1018"/>
      <c r="D110" s="241"/>
      <c r="E110" s="214"/>
      <c r="F110" s="243"/>
      <c r="G110" s="216">
        <f t="shared" si="12"/>
        <v>0</v>
      </c>
      <c r="H110" s="336">
        <f t="shared" si="13"/>
        <v>0</v>
      </c>
      <c r="I110" s="318"/>
      <c r="J110" s="318"/>
      <c r="K110" s="318"/>
      <c r="L110" s="319"/>
      <c r="M110" s="227">
        <f t="shared" si="14"/>
        <v>0</v>
      </c>
      <c r="N110" s="320"/>
      <c r="O110" s="318"/>
      <c r="P110" s="318"/>
      <c r="Q110" s="318"/>
      <c r="R110" s="318"/>
      <c r="S110" s="319"/>
      <c r="T110" s="227">
        <f t="shared" si="15"/>
        <v>0</v>
      </c>
      <c r="U110" s="227"/>
    </row>
    <row r="111" spans="1:21" ht="18" hidden="1" customHeight="1" x14ac:dyDescent="0.25">
      <c r="A111" s="1018"/>
      <c r="B111" s="1018"/>
      <c r="C111" s="1018"/>
      <c r="D111" s="241"/>
      <c r="E111" s="214"/>
      <c r="F111" s="243"/>
      <c r="G111" s="216">
        <f t="shared" si="12"/>
        <v>0</v>
      </c>
      <c r="H111" s="336">
        <f t="shared" si="13"/>
        <v>0</v>
      </c>
      <c r="I111" s="318"/>
      <c r="J111" s="318"/>
      <c r="K111" s="318"/>
      <c r="L111" s="319"/>
      <c r="M111" s="227">
        <f t="shared" si="14"/>
        <v>0</v>
      </c>
      <c r="N111" s="320"/>
      <c r="O111" s="318"/>
      <c r="P111" s="318"/>
      <c r="Q111" s="318"/>
      <c r="R111" s="318"/>
      <c r="S111" s="319"/>
      <c r="T111" s="227">
        <f t="shared" si="15"/>
        <v>0</v>
      </c>
      <c r="U111" s="227"/>
    </row>
    <row r="112" spans="1:21" ht="18" hidden="1" customHeight="1" x14ac:dyDescent="0.25">
      <c r="A112" s="1018"/>
      <c r="B112" s="1018"/>
      <c r="C112" s="1018"/>
      <c r="D112" s="241"/>
      <c r="E112" s="214"/>
      <c r="F112" s="243"/>
      <c r="G112" s="216">
        <f t="shared" si="12"/>
        <v>0</v>
      </c>
      <c r="H112" s="336">
        <f t="shared" si="13"/>
        <v>0</v>
      </c>
      <c r="I112" s="318"/>
      <c r="J112" s="318"/>
      <c r="K112" s="318"/>
      <c r="L112" s="319"/>
      <c r="M112" s="227">
        <f t="shared" si="14"/>
        <v>0</v>
      </c>
      <c r="N112" s="320"/>
      <c r="O112" s="318"/>
      <c r="P112" s="318"/>
      <c r="Q112" s="318"/>
      <c r="R112" s="318"/>
      <c r="S112" s="319"/>
      <c r="T112" s="227">
        <f t="shared" si="15"/>
        <v>0</v>
      </c>
      <c r="U112" s="227"/>
    </row>
    <row r="113" spans="1:21" ht="18" hidden="1" customHeight="1" x14ac:dyDescent="0.25">
      <c r="A113" s="1018"/>
      <c r="B113" s="1018"/>
      <c r="C113" s="1018"/>
      <c r="D113" s="241"/>
      <c r="E113" s="214"/>
      <c r="F113" s="243"/>
      <c r="G113" s="216">
        <f t="shared" si="12"/>
        <v>0</v>
      </c>
      <c r="H113" s="336">
        <f t="shared" si="13"/>
        <v>0</v>
      </c>
      <c r="I113" s="318"/>
      <c r="J113" s="318"/>
      <c r="K113" s="318"/>
      <c r="L113" s="319"/>
      <c r="M113" s="227">
        <f t="shared" si="14"/>
        <v>0</v>
      </c>
      <c r="N113" s="320"/>
      <c r="O113" s="318"/>
      <c r="P113" s="318"/>
      <c r="Q113" s="318"/>
      <c r="R113" s="318"/>
      <c r="S113" s="319"/>
      <c r="T113" s="227">
        <f t="shared" si="15"/>
        <v>0</v>
      </c>
      <c r="U113" s="227"/>
    </row>
    <row r="114" spans="1:21" ht="18" hidden="1" customHeight="1" x14ac:dyDescent="0.25">
      <c r="A114" s="1018"/>
      <c r="B114" s="1018"/>
      <c r="C114" s="1018"/>
      <c r="D114" s="241"/>
      <c r="E114" s="214"/>
      <c r="F114" s="243"/>
      <c r="G114" s="216">
        <f t="shared" si="12"/>
        <v>0</v>
      </c>
      <c r="H114" s="336">
        <f t="shared" si="13"/>
        <v>0</v>
      </c>
      <c r="I114" s="318"/>
      <c r="J114" s="318"/>
      <c r="K114" s="318"/>
      <c r="L114" s="319"/>
      <c r="M114" s="227">
        <f t="shared" si="14"/>
        <v>0</v>
      </c>
      <c r="N114" s="320"/>
      <c r="O114" s="318"/>
      <c r="P114" s="318"/>
      <c r="Q114" s="318"/>
      <c r="R114" s="318"/>
      <c r="S114" s="319"/>
      <c r="T114" s="227">
        <f t="shared" si="15"/>
        <v>0</v>
      </c>
      <c r="U114" s="227"/>
    </row>
    <row r="115" spans="1:21" ht="18" hidden="1" customHeight="1" x14ac:dyDescent="0.25">
      <c r="A115" s="1018"/>
      <c r="B115" s="1018"/>
      <c r="C115" s="1018"/>
      <c r="D115" s="241"/>
      <c r="E115" s="214"/>
      <c r="F115" s="243"/>
      <c r="G115" s="216">
        <f t="shared" si="12"/>
        <v>0</v>
      </c>
      <c r="H115" s="336">
        <f t="shared" si="13"/>
        <v>0</v>
      </c>
      <c r="I115" s="318"/>
      <c r="J115" s="318"/>
      <c r="K115" s="318"/>
      <c r="L115" s="319"/>
      <c r="M115" s="227">
        <f t="shared" si="14"/>
        <v>0</v>
      </c>
      <c r="N115" s="320"/>
      <c r="O115" s="318"/>
      <c r="P115" s="318"/>
      <c r="Q115" s="318"/>
      <c r="R115" s="318"/>
      <c r="S115" s="319"/>
      <c r="T115" s="227">
        <f t="shared" si="15"/>
        <v>0</v>
      </c>
      <c r="U115" s="227"/>
    </row>
    <row r="116" spans="1:21" ht="18" hidden="1" customHeight="1" x14ac:dyDescent="0.25">
      <c r="A116" s="1018"/>
      <c r="B116" s="1018"/>
      <c r="C116" s="1018"/>
      <c r="D116" s="241"/>
      <c r="E116" s="214"/>
      <c r="F116" s="243"/>
      <c r="G116" s="216">
        <f t="shared" si="12"/>
        <v>0</v>
      </c>
      <c r="H116" s="336">
        <f t="shared" si="13"/>
        <v>0</v>
      </c>
      <c r="I116" s="318"/>
      <c r="J116" s="318"/>
      <c r="K116" s="318"/>
      <c r="L116" s="319"/>
      <c r="M116" s="227">
        <f t="shared" si="14"/>
        <v>0</v>
      </c>
      <c r="N116" s="320"/>
      <c r="O116" s="318"/>
      <c r="P116" s="318"/>
      <c r="Q116" s="318"/>
      <c r="R116" s="318"/>
      <c r="S116" s="319"/>
      <c r="T116" s="227">
        <f t="shared" si="15"/>
        <v>0</v>
      </c>
      <c r="U116" s="227"/>
    </row>
    <row r="117" spans="1:21" ht="18" hidden="1" customHeight="1" x14ac:dyDescent="0.25">
      <c r="A117" s="1018"/>
      <c r="B117" s="1018"/>
      <c r="C117" s="1018"/>
      <c r="D117" s="241"/>
      <c r="E117" s="214"/>
      <c r="F117" s="243"/>
      <c r="G117" s="216">
        <f t="shared" si="12"/>
        <v>0</v>
      </c>
      <c r="H117" s="336">
        <f t="shared" si="13"/>
        <v>0</v>
      </c>
      <c r="I117" s="318"/>
      <c r="J117" s="318"/>
      <c r="K117" s="318"/>
      <c r="L117" s="319"/>
      <c r="M117" s="227">
        <f t="shared" si="14"/>
        <v>0</v>
      </c>
      <c r="N117" s="320"/>
      <c r="O117" s="318"/>
      <c r="P117" s="318"/>
      <c r="Q117" s="318"/>
      <c r="R117" s="318"/>
      <c r="S117" s="319"/>
      <c r="T117" s="227">
        <f t="shared" si="15"/>
        <v>0</v>
      </c>
      <c r="U117" s="227"/>
    </row>
    <row r="118" spans="1:21" ht="18" hidden="1" customHeight="1" x14ac:dyDescent="0.25">
      <c r="A118" s="1018"/>
      <c r="B118" s="1018"/>
      <c r="C118" s="1018"/>
      <c r="D118" s="241"/>
      <c r="E118" s="214"/>
      <c r="F118" s="243"/>
      <c r="G118" s="216">
        <f t="shared" si="12"/>
        <v>0</v>
      </c>
      <c r="H118" s="336">
        <f t="shared" si="13"/>
        <v>0</v>
      </c>
      <c r="I118" s="318"/>
      <c r="J118" s="318"/>
      <c r="K118" s="318"/>
      <c r="L118" s="319"/>
      <c r="M118" s="227">
        <f t="shared" si="14"/>
        <v>0</v>
      </c>
      <c r="N118" s="320"/>
      <c r="O118" s="318"/>
      <c r="P118" s="318"/>
      <c r="Q118" s="318"/>
      <c r="R118" s="318"/>
      <c r="S118" s="319"/>
      <c r="T118" s="227">
        <f t="shared" si="15"/>
        <v>0</v>
      </c>
      <c r="U118" s="227"/>
    </row>
    <row r="119" spans="1:21" ht="18" hidden="1" customHeight="1" x14ac:dyDescent="0.25">
      <c r="A119" s="1018"/>
      <c r="B119" s="1018"/>
      <c r="C119" s="1018"/>
      <c r="D119" s="241"/>
      <c r="E119" s="214"/>
      <c r="F119" s="243"/>
      <c r="G119" s="216">
        <f t="shared" si="12"/>
        <v>0</v>
      </c>
      <c r="H119" s="336">
        <f t="shared" si="13"/>
        <v>0</v>
      </c>
      <c r="I119" s="318"/>
      <c r="J119" s="318"/>
      <c r="K119" s="318"/>
      <c r="L119" s="319"/>
      <c r="M119" s="227">
        <f t="shared" si="14"/>
        <v>0</v>
      </c>
      <c r="N119" s="320"/>
      <c r="O119" s="318"/>
      <c r="P119" s="318"/>
      <c r="Q119" s="318"/>
      <c r="R119" s="318"/>
      <c r="S119" s="319"/>
      <c r="T119" s="227">
        <f t="shared" si="15"/>
        <v>0</v>
      </c>
      <c r="U119" s="227"/>
    </row>
    <row r="120" spans="1:21" ht="18" hidden="1" customHeight="1" x14ac:dyDescent="0.25">
      <c r="A120" s="1018"/>
      <c r="B120" s="1018"/>
      <c r="C120" s="1018"/>
      <c r="D120" s="241"/>
      <c r="E120" s="214"/>
      <c r="F120" s="243"/>
      <c r="G120" s="216">
        <f t="shared" si="12"/>
        <v>0</v>
      </c>
      <c r="H120" s="336">
        <f t="shared" si="13"/>
        <v>0</v>
      </c>
      <c r="I120" s="318"/>
      <c r="J120" s="318"/>
      <c r="K120" s="318"/>
      <c r="L120" s="319"/>
      <c r="M120" s="227">
        <f t="shared" si="14"/>
        <v>0</v>
      </c>
      <c r="N120" s="320"/>
      <c r="O120" s="318"/>
      <c r="P120" s="318"/>
      <c r="Q120" s="318"/>
      <c r="R120" s="318"/>
      <c r="S120" s="319"/>
      <c r="T120" s="227">
        <f t="shared" si="15"/>
        <v>0</v>
      </c>
      <c r="U120" s="227"/>
    </row>
    <row r="121" spans="1:21" ht="18" hidden="1" customHeight="1" x14ac:dyDescent="0.25">
      <c r="A121" s="1018"/>
      <c r="B121" s="1018"/>
      <c r="C121" s="1018"/>
      <c r="D121" s="241"/>
      <c r="E121" s="214"/>
      <c r="F121" s="243"/>
      <c r="G121" s="216">
        <f t="shared" si="12"/>
        <v>0</v>
      </c>
      <c r="H121" s="336">
        <f t="shared" si="13"/>
        <v>0</v>
      </c>
      <c r="I121" s="318"/>
      <c r="J121" s="318"/>
      <c r="K121" s="318"/>
      <c r="L121" s="319"/>
      <c r="M121" s="227">
        <f t="shared" si="14"/>
        <v>0</v>
      </c>
      <c r="N121" s="320"/>
      <c r="O121" s="318"/>
      <c r="P121" s="318"/>
      <c r="Q121" s="318"/>
      <c r="R121" s="318"/>
      <c r="S121" s="319"/>
      <c r="T121" s="227">
        <f t="shared" si="15"/>
        <v>0</v>
      </c>
      <c r="U121" s="227"/>
    </row>
    <row r="122" spans="1:21" ht="18" hidden="1" customHeight="1" x14ac:dyDescent="0.25">
      <c r="A122" s="1018"/>
      <c r="B122" s="1018"/>
      <c r="C122" s="1018"/>
      <c r="D122" s="241"/>
      <c r="E122" s="214"/>
      <c r="F122" s="243"/>
      <c r="G122" s="216">
        <f t="shared" si="12"/>
        <v>0</v>
      </c>
      <c r="H122" s="336">
        <f t="shared" si="13"/>
        <v>0</v>
      </c>
      <c r="I122" s="318"/>
      <c r="J122" s="318"/>
      <c r="K122" s="318"/>
      <c r="L122" s="319"/>
      <c r="M122" s="227">
        <f t="shared" si="14"/>
        <v>0</v>
      </c>
      <c r="N122" s="320"/>
      <c r="O122" s="318"/>
      <c r="P122" s="318"/>
      <c r="Q122" s="318"/>
      <c r="R122" s="318"/>
      <c r="S122" s="319"/>
      <c r="T122" s="227">
        <f t="shared" si="15"/>
        <v>0</v>
      </c>
      <c r="U122" s="227"/>
    </row>
    <row r="123" spans="1:21" ht="18" hidden="1" customHeight="1" x14ac:dyDescent="0.25">
      <c r="A123" s="1018"/>
      <c r="B123" s="1018"/>
      <c r="C123" s="1018"/>
      <c r="D123" s="241"/>
      <c r="E123" s="214"/>
      <c r="F123" s="243"/>
      <c r="G123" s="216">
        <f t="shared" si="12"/>
        <v>0</v>
      </c>
      <c r="H123" s="336">
        <f t="shared" si="13"/>
        <v>0</v>
      </c>
      <c r="I123" s="318"/>
      <c r="J123" s="318"/>
      <c r="K123" s="318"/>
      <c r="L123" s="319"/>
      <c r="M123" s="227">
        <f t="shared" si="14"/>
        <v>0</v>
      </c>
      <c r="N123" s="320"/>
      <c r="O123" s="318"/>
      <c r="P123" s="318"/>
      <c r="Q123" s="318"/>
      <c r="R123" s="318"/>
      <c r="S123" s="319"/>
      <c r="T123" s="227">
        <f t="shared" si="15"/>
        <v>0</v>
      </c>
      <c r="U123" s="227"/>
    </row>
    <row r="124" spans="1:21" ht="18" hidden="1" customHeight="1" x14ac:dyDescent="0.25">
      <c r="A124" s="1018"/>
      <c r="B124" s="1018"/>
      <c r="C124" s="1018"/>
      <c r="D124" s="241"/>
      <c r="E124" s="214"/>
      <c r="F124" s="243"/>
      <c r="G124" s="216">
        <f t="shared" si="12"/>
        <v>0</v>
      </c>
      <c r="H124" s="336">
        <f t="shared" si="13"/>
        <v>0</v>
      </c>
      <c r="I124" s="318"/>
      <c r="J124" s="318"/>
      <c r="K124" s="318"/>
      <c r="L124" s="319"/>
      <c r="M124" s="227">
        <f t="shared" si="14"/>
        <v>0</v>
      </c>
      <c r="N124" s="320"/>
      <c r="O124" s="318"/>
      <c r="P124" s="318"/>
      <c r="Q124" s="318"/>
      <c r="R124" s="318"/>
      <c r="S124" s="319"/>
      <c r="T124" s="227">
        <f t="shared" si="15"/>
        <v>0</v>
      </c>
      <c r="U124" s="227"/>
    </row>
    <row r="125" spans="1:21" ht="18" hidden="1" customHeight="1" x14ac:dyDescent="0.25">
      <c r="A125" s="1018"/>
      <c r="B125" s="1018"/>
      <c r="C125" s="1018"/>
      <c r="D125" s="241"/>
      <c r="E125" s="214"/>
      <c r="F125" s="243"/>
      <c r="G125" s="216">
        <f t="shared" si="12"/>
        <v>0</v>
      </c>
      <c r="H125" s="336">
        <f t="shared" si="13"/>
        <v>0</v>
      </c>
      <c r="I125" s="318"/>
      <c r="J125" s="318"/>
      <c r="K125" s="318"/>
      <c r="L125" s="319"/>
      <c r="M125" s="227">
        <f t="shared" si="14"/>
        <v>0</v>
      </c>
      <c r="N125" s="320"/>
      <c r="O125" s="318"/>
      <c r="P125" s="318"/>
      <c r="Q125" s="318"/>
      <c r="R125" s="318"/>
      <c r="S125" s="319"/>
      <c r="T125" s="227">
        <f t="shared" si="15"/>
        <v>0</v>
      </c>
      <c r="U125" s="227"/>
    </row>
    <row r="126" spans="1:21" ht="18" hidden="1" customHeight="1" x14ac:dyDescent="0.25">
      <c r="A126" s="1018"/>
      <c r="B126" s="1018"/>
      <c r="C126" s="1018"/>
      <c r="D126" s="241"/>
      <c r="E126" s="214"/>
      <c r="F126" s="243"/>
      <c r="G126" s="216">
        <f t="shared" si="12"/>
        <v>0</v>
      </c>
      <c r="H126" s="336">
        <f t="shared" si="13"/>
        <v>0</v>
      </c>
      <c r="I126" s="318"/>
      <c r="J126" s="318"/>
      <c r="K126" s="318"/>
      <c r="L126" s="319"/>
      <c r="M126" s="227">
        <f t="shared" si="14"/>
        <v>0</v>
      </c>
      <c r="N126" s="320"/>
      <c r="O126" s="318"/>
      <c r="P126" s="318"/>
      <c r="Q126" s="318"/>
      <c r="R126" s="318"/>
      <c r="S126" s="319"/>
      <c r="T126" s="227">
        <f t="shared" si="15"/>
        <v>0</v>
      </c>
      <c r="U126" s="227"/>
    </row>
    <row r="127" spans="1:21" ht="18" hidden="1" customHeight="1" x14ac:dyDescent="0.25">
      <c r="A127" s="1018"/>
      <c r="B127" s="1018"/>
      <c r="C127" s="1018"/>
      <c r="D127" s="241"/>
      <c r="E127" s="214"/>
      <c r="F127" s="243"/>
      <c r="G127" s="216">
        <f t="shared" si="12"/>
        <v>0</v>
      </c>
      <c r="H127" s="336">
        <f t="shared" si="13"/>
        <v>0</v>
      </c>
      <c r="I127" s="318"/>
      <c r="J127" s="318"/>
      <c r="K127" s="318"/>
      <c r="L127" s="319"/>
      <c r="M127" s="227">
        <f t="shared" si="14"/>
        <v>0</v>
      </c>
      <c r="N127" s="320"/>
      <c r="O127" s="318"/>
      <c r="P127" s="318"/>
      <c r="Q127" s="318"/>
      <c r="R127" s="318"/>
      <c r="S127" s="319"/>
      <c r="T127" s="227">
        <f t="shared" si="15"/>
        <v>0</v>
      </c>
      <c r="U127" s="227"/>
    </row>
    <row r="128" spans="1:21" ht="18" hidden="1" customHeight="1" x14ac:dyDescent="0.25">
      <c r="A128" s="1018"/>
      <c r="B128" s="1018"/>
      <c r="C128" s="1018"/>
      <c r="D128" s="241"/>
      <c r="E128" s="214"/>
      <c r="F128" s="243"/>
      <c r="G128" s="216">
        <f t="shared" si="12"/>
        <v>0</v>
      </c>
      <c r="H128" s="336">
        <f t="shared" si="13"/>
        <v>0</v>
      </c>
      <c r="I128" s="318"/>
      <c r="J128" s="318"/>
      <c r="K128" s="318"/>
      <c r="L128" s="319"/>
      <c r="M128" s="227">
        <f t="shared" si="14"/>
        <v>0</v>
      </c>
      <c r="N128" s="320"/>
      <c r="O128" s="318"/>
      <c r="P128" s="318"/>
      <c r="Q128" s="318"/>
      <c r="R128" s="318"/>
      <c r="S128" s="319"/>
      <c r="T128" s="227">
        <f t="shared" si="15"/>
        <v>0</v>
      </c>
      <c r="U128" s="227"/>
    </row>
    <row r="129" spans="1:21" ht="18" hidden="1" customHeight="1" x14ac:dyDescent="0.25">
      <c r="A129" s="1018"/>
      <c r="B129" s="1018"/>
      <c r="C129" s="1018"/>
      <c r="D129" s="241"/>
      <c r="E129" s="214"/>
      <c r="F129" s="243"/>
      <c r="G129" s="216">
        <f t="shared" si="12"/>
        <v>0</v>
      </c>
      <c r="H129" s="336">
        <f t="shared" si="13"/>
        <v>0</v>
      </c>
      <c r="I129" s="318"/>
      <c r="J129" s="318"/>
      <c r="K129" s="318"/>
      <c r="L129" s="319"/>
      <c r="M129" s="227">
        <f t="shared" si="14"/>
        <v>0</v>
      </c>
      <c r="N129" s="320"/>
      <c r="O129" s="318"/>
      <c r="P129" s="318"/>
      <c r="Q129" s="318"/>
      <c r="R129" s="318"/>
      <c r="S129" s="319"/>
      <c r="T129" s="227">
        <f t="shared" si="15"/>
        <v>0</v>
      </c>
      <c r="U129" s="227"/>
    </row>
    <row r="130" spans="1:21" ht="18" hidden="1" customHeight="1" x14ac:dyDescent="0.25">
      <c r="A130" s="1018"/>
      <c r="B130" s="1018"/>
      <c r="C130" s="1018"/>
      <c r="D130" s="241"/>
      <c r="E130" s="214"/>
      <c r="F130" s="243"/>
      <c r="G130" s="216">
        <f t="shared" si="12"/>
        <v>0</v>
      </c>
      <c r="H130" s="336">
        <f t="shared" si="13"/>
        <v>0</v>
      </c>
      <c r="I130" s="318"/>
      <c r="J130" s="318"/>
      <c r="K130" s="318"/>
      <c r="L130" s="319"/>
      <c r="M130" s="227">
        <f t="shared" si="14"/>
        <v>0</v>
      </c>
      <c r="N130" s="320"/>
      <c r="O130" s="318"/>
      <c r="P130" s="318"/>
      <c r="Q130" s="318"/>
      <c r="R130" s="318"/>
      <c r="S130" s="319"/>
      <c r="T130" s="227">
        <f t="shared" si="15"/>
        <v>0</v>
      </c>
      <c r="U130" s="227"/>
    </row>
    <row r="131" spans="1:21" ht="18" hidden="1" customHeight="1" x14ac:dyDescent="0.25">
      <c r="A131" s="1018"/>
      <c r="B131" s="1018"/>
      <c r="C131" s="1018"/>
      <c r="D131" s="241"/>
      <c r="E131" s="214"/>
      <c r="F131" s="243"/>
      <c r="G131" s="216">
        <f t="shared" si="12"/>
        <v>0</v>
      </c>
      <c r="H131" s="336">
        <f t="shared" si="13"/>
        <v>0</v>
      </c>
      <c r="I131" s="318"/>
      <c r="J131" s="318"/>
      <c r="K131" s="318"/>
      <c r="L131" s="319"/>
      <c r="M131" s="227">
        <f t="shared" si="14"/>
        <v>0</v>
      </c>
      <c r="N131" s="320"/>
      <c r="O131" s="318"/>
      <c r="P131" s="318"/>
      <c r="Q131" s="318"/>
      <c r="R131" s="318"/>
      <c r="S131" s="319"/>
      <c r="T131" s="227">
        <f t="shared" si="15"/>
        <v>0</v>
      </c>
      <c r="U131" s="227"/>
    </row>
    <row r="132" spans="1:21" ht="18" hidden="1" customHeight="1" x14ac:dyDescent="0.25">
      <c r="A132" s="1018"/>
      <c r="B132" s="1018"/>
      <c r="C132" s="1018"/>
      <c r="D132" s="241"/>
      <c r="E132" s="214"/>
      <c r="F132" s="243"/>
      <c r="G132" s="216">
        <f t="shared" si="12"/>
        <v>0</v>
      </c>
      <c r="H132" s="336">
        <f t="shared" si="13"/>
        <v>0</v>
      </c>
      <c r="I132" s="318"/>
      <c r="J132" s="318"/>
      <c r="K132" s="318"/>
      <c r="L132" s="319"/>
      <c r="M132" s="227">
        <f t="shared" si="14"/>
        <v>0</v>
      </c>
      <c r="N132" s="320"/>
      <c r="O132" s="318"/>
      <c r="P132" s="318"/>
      <c r="Q132" s="318"/>
      <c r="R132" s="318"/>
      <c r="S132" s="319"/>
      <c r="T132" s="227">
        <f t="shared" si="15"/>
        <v>0</v>
      </c>
      <c r="U132" s="227"/>
    </row>
    <row r="133" spans="1:21" ht="18" hidden="1" customHeight="1" x14ac:dyDescent="0.25">
      <c r="A133" s="1018"/>
      <c r="B133" s="1018"/>
      <c r="C133" s="1018"/>
      <c r="D133" s="241"/>
      <c r="E133" s="214"/>
      <c r="F133" s="243"/>
      <c r="G133" s="216">
        <f t="shared" si="12"/>
        <v>0</v>
      </c>
      <c r="H133" s="336">
        <f t="shared" si="13"/>
        <v>0</v>
      </c>
      <c r="I133" s="318"/>
      <c r="J133" s="318"/>
      <c r="K133" s="318"/>
      <c r="L133" s="319"/>
      <c r="M133" s="227">
        <f t="shared" si="14"/>
        <v>0</v>
      </c>
      <c r="N133" s="320"/>
      <c r="O133" s="318"/>
      <c r="P133" s="318"/>
      <c r="Q133" s="318"/>
      <c r="R133" s="318"/>
      <c r="S133" s="319"/>
      <c r="T133" s="227">
        <f t="shared" si="15"/>
        <v>0</v>
      </c>
      <c r="U133" s="227"/>
    </row>
    <row r="134" spans="1:21" ht="18" hidden="1" customHeight="1" x14ac:dyDescent="0.25">
      <c r="A134" s="1018"/>
      <c r="B134" s="1018"/>
      <c r="C134" s="1018"/>
      <c r="D134" s="241"/>
      <c r="E134" s="214"/>
      <c r="F134" s="243"/>
      <c r="G134" s="216">
        <f t="shared" si="12"/>
        <v>0</v>
      </c>
      <c r="H134" s="336">
        <f t="shared" si="13"/>
        <v>0</v>
      </c>
      <c r="I134" s="318"/>
      <c r="J134" s="318"/>
      <c r="K134" s="318"/>
      <c r="L134" s="319"/>
      <c r="M134" s="227">
        <f t="shared" si="14"/>
        <v>0</v>
      </c>
      <c r="N134" s="320"/>
      <c r="O134" s="318"/>
      <c r="P134" s="318"/>
      <c r="Q134" s="318"/>
      <c r="R134" s="318"/>
      <c r="S134" s="319"/>
      <c r="T134" s="227">
        <f t="shared" si="15"/>
        <v>0</v>
      </c>
      <c r="U134" s="227"/>
    </row>
    <row r="135" spans="1:21" ht="18" hidden="1" customHeight="1" x14ac:dyDescent="0.25">
      <c r="A135" s="1018"/>
      <c r="B135" s="1018"/>
      <c r="C135" s="1018"/>
      <c r="D135" s="241"/>
      <c r="E135" s="214"/>
      <c r="F135" s="243"/>
      <c r="G135" s="216">
        <f t="shared" si="12"/>
        <v>0</v>
      </c>
      <c r="H135" s="336">
        <f t="shared" si="13"/>
        <v>0</v>
      </c>
      <c r="I135" s="318"/>
      <c r="J135" s="318"/>
      <c r="K135" s="318"/>
      <c r="L135" s="319"/>
      <c r="M135" s="227">
        <f t="shared" si="14"/>
        <v>0</v>
      </c>
      <c r="N135" s="320"/>
      <c r="O135" s="318"/>
      <c r="P135" s="318"/>
      <c r="Q135" s="318"/>
      <c r="R135" s="318"/>
      <c r="S135" s="319"/>
      <c r="T135" s="227">
        <f t="shared" si="15"/>
        <v>0</v>
      </c>
      <c r="U135" s="227"/>
    </row>
    <row r="136" spans="1:21" ht="18" hidden="1" customHeight="1" x14ac:dyDescent="0.25">
      <c r="A136" s="1018"/>
      <c r="B136" s="1018"/>
      <c r="C136" s="1018"/>
      <c r="D136" s="241"/>
      <c r="E136" s="214"/>
      <c r="F136" s="243"/>
      <c r="G136" s="216">
        <f t="shared" si="12"/>
        <v>0</v>
      </c>
      <c r="H136" s="336">
        <f t="shared" si="13"/>
        <v>0</v>
      </c>
      <c r="I136" s="318"/>
      <c r="J136" s="318"/>
      <c r="K136" s="318"/>
      <c r="L136" s="319"/>
      <c r="M136" s="227">
        <f t="shared" si="14"/>
        <v>0</v>
      </c>
      <c r="N136" s="320"/>
      <c r="O136" s="318"/>
      <c r="P136" s="318"/>
      <c r="Q136" s="318"/>
      <c r="R136" s="318"/>
      <c r="S136" s="319"/>
      <c r="T136" s="227">
        <f t="shared" si="15"/>
        <v>0</v>
      </c>
      <c r="U136" s="227"/>
    </row>
    <row r="137" spans="1:21" ht="18" hidden="1" customHeight="1" x14ac:dyDescent="0.25">
      <c r="A137" s="1018"/>
      <c r="B137" s="1018"/>
      <c r="C137" s="1018"/>
      <c r="D137" s="241"/>
      <c r="E137" s="214"/>
      <c r="F137" s="243"/>
      <c r="G137" s="216">
        <f t="shared" si="12"/>
        <v>0</v>
      </c>
      <c r="H137" s="336">
        <f t="shared" si="13"/>
        <v>0</v>
      </c>
      <c r="I137" s="318"/>
      <c r="J137" s="318"/>
      <c r="K137" s="318"/>
      <c r="L137" s="319"/>
      <c r="M137" s="227">
        <f t="shared" si="14"/>
        <v>0</v>
      </c>
      <c r="N137" s="320"/>
      <c r="O137" s="318"/>
      <c r="P137" s="318"/>
      <c r="Q137" s="318"/>
      <c r="R137" s="318"/>
      <c r="S137" s="319"/>
      <c r="T137" s="227">
        <f t="shared" si="15"/>
        <v>0</v>
      </c>
      <c r="U137" s="227"/>
    </row>
    <row r="138" spans="1:21" ht="18" hidden="1" customHeight="1" x14ac:dyDescent="0.25">
      <c r="A138" s="1018"/>
      <c r="B138" s="1018"/>
      <c r="C138" s="1018"/>
      <c r="D138" s="241"/>
      <c r="E138" s="214"/>
      <c r="F138" s="243"/>
      <c r="G138" s="216">
        <f t="shared" si="12"/>
        <v>0</v>
      </c>
      <c r="H138" s="336">
        <f t="shared" si="13"/>
        <v>0</v>
      </c>
      <c r="I138" s="318"/>
      <c r="J138" s="318"/>
      <c r="K138" s="318"/>
      <c r="L138" s="319"/>
      <c r="M138" s="227">
        <f t="shared" si="14"/>
        <v>0</v>
      </c>
      <c r="N138" s="320"/>
      <c r="O138" s="318"/>
      <c r="P138" s="318"/>
      <c r="Q138" s="318"/>
      <c r="R138" s="318"/>
      <c r="S138" s="319"/>
      <c r="T138" s="227">
        <f t="shared" si="15"/>
        <v>0</v>
      </c>
      <c r="U138" s="227"/>
    </row>
    <row r="139" spans="1:21" ht="18" hidden="1" customHeight="1" x14ac:dyDescent="0.25">
      <c r="A139" s="1018"/>
      <c r="B139" s="1018"/>
      <c r="C139" s="1018"/>
      <c r="D139" s="241"/>
      <c r="E139" s="214"/>
      <c r="F139" s="243"/>
      <c r="G139" s="216">
        <f t="shared" si="12"/>
        <v>0</v>
      </c>
      <c r="H139" s="336">
        <f t="shared" si="13"/>
        <v>0</v>
      </c>
      <c r="I139" s="318"/>
      <c r="J139" s="318"/>
      <c r="K139" s="318"/>
      <c r="L139" s="319"/>
      <c r="M139" s="227">
        <f t="shared" si="14"/>
        <v>0</v>
      </c>
      <c r="N139" s="320"/>
      <c r="O139" s="318"/>
      <c r="P139" s="318"/>
      <c r="Q139" s="318"/>
      <c r="R139" s="318"/>
      <c r="S139" s="319"/>
      <c r="T139" s="227">
        <f t="shared" si="15"/>
        <v>0</v>
      </c>
      <c r="U139" s="227"/>
    </row>
    <row r="140" spans="1:21" ht="18" hidden="1" customHeight="1" x14ac:dyDescent="0.25">
      <c r="A140" s="1018"/>
      <c r="B140" s="1018"/>
      <c r="C140" s="1018"/>
      <c r="D140" s="241"/>
      <c r="E140" s="214"/>
      <c r="F140" s="243"/>
      <c r="G140" s="216">
        <f t="shared" si="12"/>
        <v>0</v>
      </c>
      <c r="H140" s="336">
        <f t="shared" si="13"/>
        <v>0</v>
      </c>
      <c r="I140" s="318"/>
      <c r="J140" s="318"/>
      <c r="K140" s="318"/>
      <c r="L140" s="319"/>
      <c r="M140" s="227">
        <f t="shared" si="14"/>
        <v>0</v>
      </c>
      <c r="N140" s="320"/>
      <c r="O140" s="318"/>
      <c r="P140" s="318"/>
      <c r="Q140" s="318"/>
      <c r="R140" s="318"/>
      <c r="S140" s="319"/>
      <c r="T140" s="227">
        <f t="shared" si="15"/>
        <v>0</v>
      </c>
      <c r="U140" s="227"/>
    </row>
    <row r="141" spans="1:21" ht="18" hidden="1" customHeight="1" x14ac:dyDescent="0.25">
      <c r="A141" s="1018"/>
      <c r="B141" s="1018"/>
      <c r="C141" s="1018"/>
      <c r="D141" s="241"/>
      <c r="E141" s="214"/>
      <c r="F141" s="243"/>
      <c r="G141" s="216">
        <f t="shared" si="12"/>
        <v>0</v>
      </c>
      <c r="H141" s="336">
        <f t="shared" si="13"/>
        <v>0</v>
      </c>
      <c r="I141" s="318"/>
      <c r="J141" s="318"/>
      <c r="K141" s="318"/>
      <c r="L141" s="319"/>
      <c r="M141" s="227">
        <f t="shared" si="14"/>
        <v>0</v>
      </c>
      <c r="N141" s="320"/>
      <c r="O141" s="318"/>
      <c r="P141" s="318"/>
      <c r="Q141" s="318"/>
      <c r="R141" s="318"/>
      <c r="S141" s="319"/>
      <c r="T141" s="227">
        <f t="shared" si="15"/>
        <v>0</v>
      </c>
      <c r="U141" s="227"/>
    </row>
    <row r="142" spans="1:21" ht="18" hidden="1" customHeight="1" x14ac:dyDescent="0.25">
      <c r="A142" s="1018"/>
      <c r="B142" s="1018"/>
      <c r="C142" s="1018"/>
      <c r="D142" s="241"/>
      <c r="E142" s="214"/>
      <c r="F142" s="243"/>
      <c r="G142" s="216">
        <f t="shared" si="12"/>
        <v>0</v>
      </c>
      <c r="H142" s="336">
        <f t="shared" si="13"/>
        <v>0</v>
      </c>
      <c r="I142" s="318"/>
      <c r="J142" s="318"/>
      <c r="K142" s="318"/>
      <c r="L142" s="319"/>
      <c r="M142" s="227">
        <f t="shared" si="14"/>
        <v>0</v>
      </c>
      <c r="N142" s="320"/>
      <c r="O142" s="318"/>
      <c r="P142" s="318"/>
      <c r="Q142" s="318"/>
      <c r="R142" s="318"/>
      <c r="S142" s="319"/>
      <c r="T142" s="227">
        <f t="shared" si="15"/>
        <v>0</v>
      </c>
      <c r="U142" s="227"/>
    </row>
    <row r="143" spans="1:21" ht="18" hidden="1" customHeight="1" x14ac:dyDescent="0.25">
      <c r="A143" s="1018"/>
      <c r="B143" s="1018"/>
      <c r="C143" s="1018"/>
      <c r="D143" s="241"/>
      <c r="E143" s="214"/>
      <c r="F143" s="243"/>
      <c r="G143" s="216">
        <f t="shared" si="12"/>
        <v>0</v>
      </c>
      <c r="H143" s="336">
        <f t="shared" si="13"/>
        <v>0</v>
      </c>
      <c r="I143" s="318"/>
      <c r="J143" s="318"/>
      <c r="K143" s="318"/>
      <c r="L143" s="319"/>
      <c r="M143" s="227">
        <f t="shared" si="14"/>
        <v>0</v>
      </c>
      <c r="N143" s="320"/>
      <c r="O143" s="318"/>
      <c r="P143" s="318"/>
      <c r="Q143" s="318"/>
      <c r="R143" s="318"/>
      <c r="S143" s="319"/>
      <c r="T143" s="227">
        <f t="shared" si="15"/>
        <v>0</v>
      </c>
      <c r="U143" s="227"/>
    </row>
    <row r="144" spans="1:21" ht="18" hidden="1" customHeight="1" x14ac:dyDescent="0.25">
      <c r="A144" s="1018"/>
      <c r="B144" s="1018"/>
      <c r="C144" s="1018"/>
      <c r="D144" s="241"/>
      <c r="E144" s="214"/>
      <c r="F144" s="243"/>
      <c r="G144" s="216">
        <f t="shared" si="12"/>
        <v>0</v>
      </c>
      <c r="H144" s="336">
        <f t="shared" si="13"/>
        <v>0</v>
      </c>
      <c r="I144" s="318"/>
      <c r="J144" s="318"/>
      <c r="K144" s="318"/>
      <c r="L144" s="319"/>
      <c r="M144" s="227">
        <f t="shared" si="14"/>
        <v>0</v>
      </c>
      <c r="N144" s="320"/>
      <c r="O144" s="318"/>
      <c r="P144" s="318"/>
      <c r="Q144" s="318"/>
      <c r="R144" s="318"/>
      <c r="S144" s="319"/>
      <c r="T144" s="227">
        <f t="shared" si="15"/>
        <v>0</v>
      </c>
      <c r="U144" s="227"/>
    </row>
    <row r="145" spans="1:21" ht="18" hidden="1" customHeight="1" x14ac:dyDescent="0.25">
      <c r="A145" s="1018"/>
      <c r="B145" s="1018"/>
      <c r="C145" s="1018"/>
      <c r="D145" s="241"/>
      <c r="E145" s="214"/>
      <c r="F145" s="243"/>
      <c r="G145" s="216">
        <f t="shared" si="12"/>
        <v>0</v>
      </c>
      <c r="H145" s="336">
        <f t="shared" si="13"/>
        <v>0</v>
      </c>
      <c r="I145" s="318"/>
      <c r="J145" s="318"/>
      <c r="K145" s="318"/>
      <c r="L145" s="319"/>
      <c r="M145" s="227">
        <f t="shared" si="14"/>
        <v>0</v>
      </c>
      <c r="N145" s="320"/>
      <c r="O145" s="318"/>
      <c r="P145" s="318"/>
      <c r="Q145" s="318"/>
      <c r="R145" s="318"/>
      <c r="S145" s="319"/>
      <c r="T145" s="227">
        <f t="shared" si="15"/>
        <v>0</v>
      </c>
      <c r="U145" s="227"/>
    </row>
    <row r="146" spans="1:21" ht="18" hidden="1" customHeight="1" x14ac:dyDescent="0.25">
      <c r="A146" s="1018"/>
      <c r="B146" s="1018"/>
      <c r="C146" s="1018"/>
      <c r="D146" s="241"/>
      <c r="E146" s="214"/>
      <c r="F146" s="243"/>
      <c r="G146" s="216">
        <f t="shared" si="12"/>
        <v>0</v>
      </c>
      <c r="H146" s="336">
        <f t="shared" si="13"/>
        <v>0</v>
      </c>
      <c r="I146" s="318"/>
      <c r="J146" s="318"/>
      <c r="K146" s="318"/>
      <c r="L146" s="319"/>
      <c r="M146" s="227">
        <f t="shared" si="14"/>
        <v>0</v>
      </c>
      <c r="N146" s="320"/>
      <c r="O146" s="318"/>
      <c r="P146" s="318"/>
      <c r="Q146" s="318"/>
      <c r="R146" s="318"/>
      <c r="S146" s="319"/>
      <c r="T146" s="227">
        <f t="shared" si="15"/>
        <v>0</v>
      </c>
      <c r="U146" s="227"/>
    </row>
    <row r="147" spans="1:21" ht="18" hidden="1" customHeight="1" x14ac:dyDescent="0.25">
      <c r="A147" s="1018"/>
      <c r="B147" s="1018"/>
      <c r="C147" s="1018"/>
      <c r="D147" s="241"/>
      <c r="E147" s="214"/>
      <c r="F147" s="243"/>
      <c r="G147" s="216">
        <f t="shared" si="12"/>
        <v>0</v>
      </c>
      <c r="H147" s="336">
        <f t="shared" si="13"/>
        <v>0</v>
      </c>
      <c r="I147" s="318"/>
      <c r="J147" s="318"/>
      <c r="K147" s="318"/>
      <c r="L147" s="319"/>
      <c r="M147" s="227">
        <f t="shared" si="14"/>
        <v>0</v>
      </c>
      <c r="N147" s="320"/>
      <c r="O147" s="318"/>
      <c r="P147" s="318"/>
      <c r="Q147" s="318"/>
      <c r="R147" s="318"/>
      <c r="S147" s="319"/>
      <c r="T147" s="227">
        <f t="shared" si="15"/>
        <v>0</v>
      </c>
      <c r="U147" s="227"/>
    </row>
    <row r="148" spans="1:21" ht="18" hidden="1" customHeight="1" x14ac:dyDescent="0.25">
      <c r="A148" s="1018"/>
      <c r="B148" s="1018"/>
      <c r="C148" s="1018"/>
      <c r="D148" s="241"/>
      <c r="E148" s="214"/>
      <c r="F148" s="243"/>
      <c r="G148" s="216">
        <f t="shared" si="12"/>
        <v>0</v>
      </c>
      <c r="H148" s="336">
        <f t="shared" si="13"/>
        <v>0</v>
      </c>
      <c r="I148" s="318"/>
      <c r="J148" s="318"/>
      <c r="K148" s="318"/>
      <c r="L148" s="319"/>
      <c r="M148" s="227">
        <f t="shared" si="14"/>
        <v>0</v>
      </c>
      <c r="N148" s="320"/>
      <c r="O148" s="318"/>
      <c r="P148" s="318"/>
      <c r="Q148" s="318"/>
      <c r="R148" s="318"/>
      <c r="S148" s="319"/>
      <c r="T148" s="227">
        <f t="shared" si="15"/>
        <v>0</v>
      </c>
      <c r="U148" s="227"/>
    </row>
    <row r="149" spans="1:21" ht="18" hidden="1" customHeight="1" x14ac:dyDescent="0.25">
      <c r="A149" s="1018"/>
      <c r="B149" s="1018"/>
      <c r="C149" s="1018"/>
      <c r="D149" s="241"/>
      <c r="E149" s="214"/>
      <c r="F149" s="243"/>
      <c r="G149" s="216">
        <f t="shared" si="12"/>
        <v>0</v>
      </c>
      <c r="H149" s="336">
        <f t="shared" si="13"/>
        <v>0</v>
      </c>
      <c r="I149" s="318"/>
      <c r="J149" s="318"/>
      <c r="K149" s="318"/>
      <c r="L149" s="319"/>
      <c r="M149" s="227">
        <f t="shared" si="14"/>
        <v>0</v>
      </c>
      <c r="N149" s="320"/>
      <c r="O149" s="318"/>
      <c r="P149" s="318"/>
      <c r="Q149" s="318"/>
      <c r="R149" s="318"/>
      <c r="S149" s="319"/>
      <c r="T149" s="227">
        <f t="shared" si="15"/>
        <v>0</v>
      </c>
      <c r="U149" s="227"/>
    </row>
    <row r="150" spans="1:21" ht="18" customHeight="1" x14ac:dyDescent="0.25">
      <c r="A150" s="1050" t="s">
        <v>394</v>
      </c>
      <c r="B150" s="1050"/>
      <c r="C150" s="1050"/>
      <c r="D150" s="1050"/>
      <c r="E150" s="1050"/>
      <c r="F150" s="1050"/>
      <c r="G150" s="337">
        <f t="shared" ref="G150:L150" si="16">SUM(G105:G149)</f>
        <v>0</v>
      </c>
      <c r="H150" s="338">
        <f t="shared" si="16"/>
        <v>0</v>
      </c>
      <c r="I150" s="328">
        <f t="shared" si="16"/>
        <v>0</v>
      </c>
      <c r="J150" s="328">
        <f t="shared" si="16"/>
        <v>0</v>
      </c>
      <c r="K150" s="328">
        <f t="shared" si="16"/>
        <v>0</v>
      </c>
      <c r="L150" s="329">
        <f t="shared" si="16"/>
        <v>0</v>
      </c>
      <c r="M150" s="227">
        <f t="shared" si="14"/>
        <v>0</v>
      </c>
      <c r="N150" s="339"/>
      <c r="O150" s="340"/>
      <c r="P150" s="340"/>
      <c r="Q150" s="340"/>
      <c r="R150" s="340"/>
      <c r="S150" s="341"/>
      <c r="T150" s="227"/>
      <c r="U150" s="227"/>
    </row>
    <row r="151" spans="1:21" ht="18" customHeight="1" x14ac:dyDescent="0.25">
      <c r="A151" s="252"/>
      <c r="B151" s="252"/>
      <c r="C151" s="252"/>
      <c r="D151" s="252"/>
      <c r="E151" s="252"/>
      <c r="F151" s="252"/>
      <c r="G151" s="253"/>
      <c r="H151" s="254"/>
      <c r="I151" s="342"/>
      <c r="J151" s="342"/>
      <c r="K151" s="342"/>
      <c r="L151" s="342"/>
      <c r="M151" s="227"/>
      <c r="N151" s="342">
        <f t="shared" ref="N151:S151" si="17">SUM(N11:N150)</f>
        <v>0</v>
      </c>
      <c r="O151" s="342">
        <f t="shared" si="17"/>
        <v>0</v>
      </c>
      <c r="P151" s="342">
        <f t="shared" si="17"/>
        <v>0</v>
      </c>
      <c r="Q151" s="342">
        <f t="shared" si="17"/>
        <v>0</v>
      </c>
      <c r="R151" s="342">
        <f t="shared" si="17"/>
        <v>0</v>
      </c>
      <c r="S151" s="342">
        <f t="shared" si="17"/>
        <v>0</v>
      </c>
      <c r="T151" s="227"/>
      <c r="U151" s="227"/>
    </row>
    <row r="152" spans="1:21" ht="18" customHeight="1" x14ac:dyDescent="0.25">
      <c r="A152" s="252"/>
      <c r="B152" s="252"/>
      <c r="C152" s="252"/>
      <c r="D152" s="252"/>
      <c r="E152" s="252"/>
      <c r="F152" s="252"/>
      <c r="G152" s="253"/>
      <c r="H152" s="258"/>
      <c r="I152" s="342"/>
      <c r="J152" s="342"/>
      <c r="K152" s="342"/>
      <c r="L152" s="342"/>
      <c r="M152" s="227"/>
      <c r="N152" s="227"/>
      <c r="O152" s="227"/>
      <c r="P152" s="227"/>
      <c r="Q152" s="227"/>
      <c r="R152" s="227"/>
      <c r="S152" s="227"/>
      <c r="T152" s="227"/>
      <c r="U152" s="227"/>
    </row>
    <row r="153" spans="1:21" ht="18" customHeight="1" x14ac:dyDescent="0.25">
      <c r="A153" s="252"/>
      <c r="B153" s="252"/>
      <c r="C153" s="252"/>
      <c r="D153" s="252"/>
      <c r="E153" s="252"/>
      <c r="F153" s="252"/>
      <c r="G153" s="253"/>
      <c r="H153" s="258"/>
      <c r="I153" s="1051" t="s">
        <v>422</v>
      </c>
      <c r="J153" s="1051"/>
      <c r="K153" s="1051"/>
      <c r="L153" s="1051"/>
      <c r="M153" s="343"/>
      <c r="N153" s="343"/>
      <c r="O153" s="343"/>
      <c r="P153" s="343"/>
      <c r="Q153" s="343"/>
      <c r="R153" s="343"/>
      <c r="S153" s="343"/>
      <c r="T153" s="343"/>
      <c r="U153" s="343"/>
    </row>
    <row r="154" spans="1:21" ht="18" customHeight="1" x14ac:dyDescent="0.25">
      <c r="B154" s="252"/>
      <c r="C154" s="252"/>
      <c r="D154" s="252"/>
      <c r="E154" s="252"/>
      <c r="F154" s="252"/>
      <c r="G154" s="253"/>
      <c r="H154" s="258"/>
      <c r="I154" s="1052" t="s">
        <v>424</v>
      </c>
      <c r="J154" s="1052"/>
      <c r="K154" s="1049" t="s">
        <v>428</v>
      </c>
      <c r="L154" s="1049"/>
      <c r="M154" s="343"/>
      <c r="N154" s="343"/>
      <c r="O154" s="343"/>
      <c r="P154" s="343"/>
      <c r="Q154" s="343"/>
      <c r="R154" s="343"/>
      <c r="S154" s="343"/>
      <c r="T154" s="343"/>
      <c r="U154" s="343"/>
    </row>
    <row r="155" spans="1:21" ht="18" customHeight="1" x14ac:dyDescent="0.25">
      <c r="A155" s="1053"/>
      <c r="B155" s="1053"/>
      <c r="C155" s="1053"/>
      <c r="D155" s="1053"/>
      <c r="E155" s="1053"/>
      <c r="F155" s="1053"/>
      <c r="G155" s="345"/>
      <c r="H155" s="258"/>
      <c r="I155" s="344" t="s">
        <v>426</v>
      </c>
      <c r="J155" s="334" t="s">
        <v>427</v>
      </c>
      <c r="K155" s="334" t="s">
        <v>426</v>
      </c>
      <c r="L155" s="335" t="s">
        <v>427</v>
      </c>
      <c r="M155" s="227"/>
      <c r="N155" s="227"/>
      <c r="O155" s="227"/>
      <c r="P155" s="227"/>
      <c r="Q155" s="227"/>
      <c r="R155" s="227"/>
      <c r="S155" s="227"/>
      <c r="T155" s="227"/>
      <c r="U155" s="227"/>
    </row>
    <row r="156" spans="1:21" ht="18" customHeight="1" x14ac:dyDescent="0.25">
      <c r="A156" s="1054" t="s">
        <v>429</v>
      </c>
      <c r="B156" s="1054"/>
      <c r="C156" s="1054"/>
      <c r="D156" s="1054"/>
      <c r="E156" s="1054"/>
      <c r="F156" s="1054"/>
      <c r="G156" s="346">
        <f>G100+G150</f>
        <v>0</v>
      </c>
      <c r="I156" s="347">
        <f>I100+I150</f>
        <v>0</v>
      </c>
      <c r="J156" s="348">
        <f>J100+J150</f>
        <v>0</v>
      </c>
      <c r="K156" s="348">
        <f>K100+K150</f>
        <v>0</v>
      </c>
      <c r="L156" s="349">
        <f>L100+L150</f>
        <v>0</v>
      </c>
      <c r="M156" s="227">
        <f>G156-SUM(I156:L156)</f>
        <v>0</v>
      </c>
      <c r="N156" s="227"/>
      <c r="O156" s="227"/>
      <c r="P156" s="227"/>
      <c r="Q156" s="227"/>
      <c r="R156" s="227"/>
      <c r="S156" s="227"/>
      <c r="T156" s="227"/>
      <c r="U156" s="227"/>
    </row>
    <row r="157" spans="1:21" ht="18" customHeight="1" x14ac:dyDescent="0.25">
      <c r="A157" s="1055" t="s">
        <v>430</v>
      </c>
      <c r="B157" s="1055"/>
      <c r="C157" s="1055"/>
      <c r="D157" s="1055"/>
      <c r="E157" s="1055"/>
      <c r="F157" s="1055"/>
      <c r="G157" s="350">
        <f>I157</f>
        <v>0</v>
      </c>
      <c r="I157" s="245">
        <f>I156</f>
        <v>0</v>
      </c>
      <c r="J157" s="247"/>
      <c r="K157" s="247">
        <f>IF(G155="Si",K156,0)</f>
        <v>0</v>
      </c>
      <c r="L157" s="351"/>
      <c r="M157" s="227">
        <f>G157-SUM(I157:L157)</f>
        <v>0</v>
      </c>
      <c r="N157" s="227"/>
      <c r="O157" s="227"/>
      <c r="P157" s="227"/>
      <c r="Q157" s="227"/>
      <c r="R157" s="227"/>
      <c r="S157" s="227"/>
      <c r="T157" s="227"/>
      <c r="U157" s="227"/>
    </row>
    <row r="158" spans="1:21" ht="18" customHeight="1" x14ac:dyDescent="0.25">
      <c r="A158" s="1055" t="s">
        <v>431</v>
      </c>
      <c r="B158" s="1055"/>
      <c r="C158" s="1055"/>
      <c r="D158" s="1055"/>
      <c r="E158" s="1055"/>
      <c r="F158" s="352"/>
      <c r="G158" s="353">
        <f>F158*G157</f>
        <v>0</v>
      </c>
      <c r="H158" s="354"/>
      <c r="I158" s="245">
        <f>I157*F158</f>
        <v>0</v>
      </c>
      <c r="J158" s="247"/>
      <c r="K158" s="247">
        <f>IF($G$155="Si",K157*#REF!,0)</f>
        <v>0</v>
      </c>
      <c r="L158" s="351"/>
      <c r="M158" s="227">
        <f>G158-SUM(I158:L158)</f>
        <v>0</v>
      </c>
      <c r="N158" s="227"/>
      <c r="O158" s="227"/>
      <c r="P158" s="227"/>
      <c r="Q158" s="227"/>
      <c r="R158" s="227"/>
      <c r="S158" s="227"/>
      <c r="T158" s="227"/>
      <c r="U158" s="227"/>
    </row>
    <row r="159" spans="1:21" ht="18" customHeight="1" x14ac:dyDescent="0.25">
      <c r="A159" s="1056" t="s">
        <v>432</v>
      </c>
      <c r="B159" s="1056"/>
      <c r="C159" s="1056"/>
      <c r="D159" s="1056"/>
      <c r="E159" s="1056"/>
      <c r="F159" s="1056"/>
      <c r="G159" s="355">
        <f>G156+G158</f>
        <v>0</v>
      </c>
      <c r="I159" s="347">
        <f>SUM(I157:I158)</f>
        <v>0</v>
      </c>
      <c r="J159" s="348">
        <f>J156</f>
        <v>0</v>
      </c>
      <c r="K159" s="348">
        <f>IF(G155="Si",SUM(K157:K158),K156)</f>
        <v>0</v>
      </c>
      <c r="L159" s="349">
        <f>L156</f>
        <v>0</v>
      </c>
      <c r="M159" s="227">
        <f>G159-SUM(I159:L159)</f>
        <v>0</v>
      </c>
      <c r="N159" s="227"/>
      <c r="O159" s="227"/>
      <c r="P159" s="227"/>
      <c r="Q159" s="227"/>
      <c r="R159" s="227"/>
      <c r="S159" s="227"/>
      <c r="T159" s="227"/>
      <c r="U159" s="227"/>
    </row>
    <row r="160" spans="1:21" ht="18" customHeight="1" x14ac:dyDescent="0.25">
      <c r="A160" s="252"/>
      <c r="B160" s="252"/>
      <c r="C160" s="252"/>
      <c r="D160" s="252"/>
      <c r="E160" s="252"/>
      <c r="F160" s="252"/>
      <c r="G160" s="257"/>
      <c r="I160" s="1057">
        <f>I159+J159</f>
        <v>0</v>
      </c>
      <c r="J160" s="1057"/>
      <c r="K160" s="1058">
        <f>K159+L159</f>
        <v>0</v>
      </c>
      <c r="L160" s="1058"/>
      <c r="M160" s="356" t="s">
        <v>433</v>
      </c>
      <c r="N160" s="357">
        <f>G159-I160-K160</f>
        <v>0</v>
      </c>
      <c r="O160" s="358"/>
      <c r="P160" s="358"/>
      <c r="Q160" s="358"/>
      <c r="R160" s="358"/>
      <c r="S160" s="358"/>
      <c r="T160" s="358"/>
    </row>
    <row r="161" spans="1:22" ht="18" customHeight="1" x14ac:dyDescent="0.25">
      <c r="A161" s="252"/>
      <c r="B161" s="252"/>
      <c r="C161" s="252"/>
      <c r="D161" s="252"/>
      <c r="E161" s="252"/>
      <c r="F161" s="252"/>
      <c r="G161" s="257"/>
      <c r="I161" s="1059">
        <f>IFERROR(I160/G159,0)</f>
        <v>0</v>
      </c>
      <c r="J161" s="1059"/>
      <c r="K161" s="1060">
        <f>IFERROR(K160/G159,0)</f>
        <v>0</v>
      </c>
      <c r="L161" s="1060"/>
      <c r="M161" s="359" t="s">
        <v>434</v>
      </c>
      <c r="N161" s="358"/>
      <c r="O161" s="358"/>
      <c r="P161" s="358"/>
      <c r="Q161" s="358"/>
      <c r="R161" s="358"/>
      <c r="S161" s="358"/>
      <c r="T161" s="358"/>
      <c r="U161" s="358"/>
    </row>
    <row r="162" spans="1:22" ht="18" customHeight="1" x14ac:dyDescent="0.25">
      <c r="A162" s="1061" t="s">
        <v>402</v>
      </c>
      <c r="B162" s="1061"/>
      <c r="C162" s="1061"/>
      <c r="D162" s="1061"/>
      <c r="E162" s="1061"/>
      <c r="F162" s="1061"/>
      <c r="G162" s="257"/>
    </row>
    <row r="163" spans="1:22" ht="27" customHeight="1" x14ac:dyDescent="0.25">
      <c r="A163" s="1062" t="s">
        <v>380</v>
      </c>
      <c r="B163" s="1062"/>
      <c r="C163" s="1062"/>
      <c r="D163" s="360" t="s">
        <v>385</v>
      </c>
      <c r="E163" s="361" t="s">
        <v>403</v>
      </c>
      <c r="F163" s="362" t="s">
        <v>404</v>
      </c>
    </row>
    <row r="164" spans="1:22" ht="30.75" customHeight="1" x14ac:dyDescent="0.25">
      <c r="A164" s="1024" t="str">
        <f>A100</f>
        <v>SUBTOTAL PERSONAL (Mano de Obra Calificada + Mano de Obra no Calificada)</v>
      </c>
      <c r="B164" s="1024"/>
      <c r="C164" s="1024"/>
      <c r="D164" s="223">
        <f>G100</f>
        <v>0</v>
      </c>
      <c r="E164" s="270">
        <f>IFERROR(D164/$G$156,0)</f>
        <v>0</v>
      </c>
      <c r="F164" s="271">
        <f>IFERROR(D164/$G$159,0)</f>
        <v>0</v>
      </c>
      <c r="G164" s="363"/>
    </row>
    <row r="165" spans="1:22" ht="18" customHeight="1" x14ac:dyDescent="0.25">
      <c r="A165" s="1025" t="str">
        <f>A102</f>
        <v>COSTOS (Diferentes a los costos del personal)</v>
      </c>
      <c r="B165" s="1025"/>
      <c r="C165" s="1025"/>
      <c r="D165" s="223">
        <f>G150</f>
        <v>0</v>
      </c>
      <c r="E165" s="270">
        <f>IFERROR(D165/$G$156,0)</f>
        <v>0</v>
      </c>
      <c r="F165" s="271">
        <f>IFERROR(D165/$G$159,0)</f>
        <v>0</v>
      </c>
      <c r="G165" s="257"/>
    </row>
    <row r="166" spans="1:22" ht="18" customHeight="1" x14ac:dyDescent="0.25">
      <c r="A166" s="1026" t="str">
        <f>A158</f>
        <v>Gastos de administración u operativos</v>
      </c>
      <c r="B166" s="1026"/>
      <c r="C166" s="1026"/>
      <c r="D166" s="364">
        <f>G158</f>
        <v>0</v>
      </c>
      <c r="E166" s="365" t="s">
        <v>405</v>
      </c>
      <c r="F166" s="277">
        <f>IFERROR(D166/$G$159,0)</f>
        <v>0</v>
      </c>
      <c r="G166" s="257"/>
      <c r="H166" s="363"/>
      <c r="I166" s="363"/>
      <c r="J166" s="363"/>
      <c r="K166" s="363"/>
      <c r="L166" s="363"/>
      <c r="M166" s="363"/>
      <c r="N166" s="363"/>
      <c r="O166" s="363"/>
      <c r="P166" s="363"/>
      <c r="Q166" s="363"/>
      <c r="R166" s="363"/>
      <c r="S166" s="363"/>
      <c r="T166" s="363"/>
      <c r="U166" s="363"/>
      <c r="V166" s="363"/>
    </row>
    <row r="167" spans="1:22" ht="18" customHeight="1" x14ac:dyDescent="0.25">
      <c r="E167" s="278">
        <f>SUM(E164:E165)</f>
        <v>0</v>
      </c>
      <c r="F167" s="278">
        <f>SUM(F164:F166)</f>
        <v>0</v>
      </c>
    </row>
    <row r="169" spans="1:22" ht="100.5" customHeight="1" x14ac:dyDescent="0.25">
      <c r="A169" s="1063" t="s">
        <v>435</v>
      </c>
      <c r="B169" s="1063"/>
      <c r="C169" s="1063"/>
      <c r="D169" s="1063"/>
      <c r="E169" s="1063"/>
      <c r="F169" s="1063"/>
      <c r="G169" s="1063"/>
      <c r="H169" s="1063"/>
      <c r="I169" s="1063"/>
      <c r="J169" s="1063"/>
      <c r="K169" s="1063"/>
      <c r="L169" s="1063"/>
      <c r="M169" s="1063"/>
      <c r="N169" s="138"/>
      <c r="O169" s="138"/>
      <c r="P169" s="138"/>
      <c r="Q169" s="138"/>
      <c r="R169" s="138"/>
      <c r="S169" s="138"/>
      <c r="T169" s="138"/>
    </row>
    <row r="170" spans="1:22" ht="21" customHeight="1" x14ac:dyDescent="0.25">
      <c r="A170" s="1064" t="s">
        <v>436</v>
      </c>
      <c r="B170" s="1064"/>
      <c r="C170" s="366" t="s">
        <v>400</v>
      </c>
    </row>
    <row r="172" spans="1:22" ht="18" customHeight="1" x14ac:dyDescent="0.25">
      <c r="A172" s="1061" t="s">
        <v>437</v>
      </c>
      <c r="B172" s="1061"/>
      <c r="C172" s="1061"/>
      <c r="D172" s="1061"/>
      <c r="E172" s="1061"/>
      <c r="F172" s="1061"/>
    </row>
    <row r="173" spans="1:22" ht="66" customHeight="1" x14ac:dyDescent="0.25">
      <c r="A173" s="367" t="s">
        <v>407</v>
      </c>
      <c r="B173" s="368" t="s">
        <v>438</v>
      </c>
      <c r="C173" s="368" t="s">
        <v>439</v>
      </c>
      <c r="D173" s="368" t="s">
        <v>411</v>
      </c>
      <c r="E173" s="368" t="s">
        <v>412</v>
      </c>
      <c r="F173" s="369" t="s">
        <v>404</v>
      </c>
    </row>
    <row r="174" spans="1:22" ht="18" customHeight="1" x14ac:dyDescent="0.25">
      <c r="A174" s="222"/>
      <c r="B174" s="247"/>
      <c r="C174" s="247"/>
      <c r="D174" s="247">
        <f t="shared" ref="D174:D193" si="18">SUM(B174:C174)</f>
        <v>0</v>
      </c>
      <c r="E174" s="209"/>
      <c r="F174" s="370">
        <f t="shared" ref="F174:F193" si="19">IFERROR(D174/$I$159,0)</f>
        <v>0</v>
      </c>
    </row>
    <row r="175" spans="1:22" ht="18" customHeight="1" x14ac:dyDescent="0.25">
      <c r="A175" s="222"/>
      <c r="B175" s="247"/>
      <c r="C175" s="247"/>
      <c r="D175" s="247">
        <f t="shared" si="18"/>
        <v>0</v>
      </c>
      <c r="E175" s="209"/>
      <c r="F175" s="370">
        <f t="shared" si="19"/>
        <v>0</v>
      </c>
    </row>
    <row r="176" spans="1:22" ht="18" customHeight="1" x14ac:dyDescent="0.25">
      <c r="A176" s="222"/>
      <c r="B176" s="247"/>
      <c r="C176" s="247"/>
      <c r="D176" s="247">
        <f t="shared" si="18"/>
        <v>0</v>
      </c>
      <c r="E176" s="209"/>
      <c r="F176" s="370">
        <f t="shared" si="19"/>
        <v>0</v>
      </c>
    </row>
    <row r="177" spans="1:6" ht="18" customHeight="1" x14ac:dyDescent="0.25">
      <c r="A177" s="222"/>
      <c r="B177" s="247"/>
      <c r="C177" s="247"/>
      <c r="D177" s="247">
        <f t="shared" si="18"/>
        <v>0</v>
      </c>
      <c r="E177" s="209"/>
      <c r="F177" s="370">
        <f t="shared" si="19"/>
        <v>0</v>
      </c>
    </row>
    <row r="178" spans="1:6" ht="18" customHeight="1" x14ac:dyDescent="0.25">
      <c r="A178" s="222"/>
      <c r="B178" s="247"/>
      <c r="C178" s="247"/>
      <c r="D178" s="247">
        <f t="shared" si="18"/>
        <v>0</v>
      </c>
      <c r="E178" s="209"/>
      <c r="F178" s="370">
        <f t="shared" si="19"/>
        <v>0</v>
      </c>
    </row>
    <row r="179" spans="1:6" ht="18" customHeight="1" x14ac:dyDescent="0.25">
      <c r="A179" s="222"/>
      <c r="B179" s="247"/>
      <c r="C179" s="247"/>
      <c r="D179" s="247">
        <f t="shared" si="18"/>
        <v>0</v>
      </c>
      <c r="E179" s="209"/>
      <c r="F179" s="370">
        <f t="shared" si="19"/>
        <v>0</v>
      </c>
    </row>
    <row r="180" spans="1:6" ht="18" customHeight="1" x14ac:dyDescent="0.25">
      <c r="A180" s="222"/>
      <c r="B180" s="247"/>
      <c r="C180" s="247"/>
      <c r="D180" s="247">
        <f t="shared" si="18"/>
        <v>0</v>
      </c>
      <c r="E180" s="209"/>
      <c r="F180" s="370">
        <f t="shared" si="19"/>
        <v>0</v>
      </c>
    </row>
    <row r="181" spans="1:6" ht="18" customHeight="1" x14ac:dyDescent="0.25">
      <c r="A181" s="222"/>
      <c r="B181" s="247"/>
      <c r="C181" s="247"/>
      <c r="D181" s="247">
        <f t="shared" si="18"/>
        <v>0</v>
      </c>
      <c r="E181" s="209"/>
      <c r="F181" s="370">
        <f t="shared" si="19"/>
        <v>0</v>
      </c>
    </row>
    <row r="182" spans="1:6" ht="18" customHeight="1" x14ac:dyDescent="0.25">
      <c r="A182" s="222"/>
      <c r="B182" s="247"/>
      <c r="C182" s="247"/>
      <c r="D182" s="247">
        <f t="shared" si="18"/>
        <v>0</v>
      </c>
      <c r="E182" s="209"/>
      <c r="F182" s="370">
        <f t="shared" si="19"/>
        <v>0</v>
      </c>
    </row>
    <row r="183" spans="1:6" ht="18" hidden="1" customHeight="1" x14ac:dyDescent="0.25">
      <c r="A183" s="222"/>
      <c r="B183" s="247"/>
      <c r="C183" s="247"/>
      <c r="D183" s="247">
        <f t="shared" si="18"/>
        <v>0</v>
      </c>
      <c r="E183" s="209"/>
      <c r="F183" s="370">
        <f t="shared" si="19"/>
        <v>0</v>
      </c>
    </row>
    <row r="184" spans="1:6" ht="18" hidden="1" customHeight="1" x14ac:dyDescent="0.25">
      <c r="A184" s="222"/>
      <c r="B184" s="247"/>
      <c r="C184" s="247"/>
      <c r="D184" s="247">
        <f t="shared" si="18"/>
        <v>0</v>
      </c>
      <c r="E184" s="209"/>
      <c r="F184" s="370">
        <f t="shared" si="19"/>
        <v>0</v>
      </c>
    </row>
    <row r="185" spans="1:6" ht="18" hidden="1" customHeight="1" x14ac:dyDescent="0.25">
      <c r="A185" s="222"/>
      <c r="B185" s="247"/>
      <c r="C185" s="247"/>
      <c r="D185" s="247">
        <f t="shared" si="18"/>
        <v>0</v>
      </c>
      <c r="E185" s="209"/>
      <c r="F185" s="370">
        <f t="shared" si="19"/>
        <v>0</v>
      </c>
    </row>
    <row r="186" spans="1:6" ht="18" hidden="1" customHeight="1" x14ac:dyDescent="0.25">
      <c r="A186" s="222"/>
      <c r="B186" s="247"/>
      <c r="C186" s="247"/>
      <c r="D186" s="247">
        <f t="shared" si="18"/>
        <v>0</v>
      </c>
      <c r="E186" s="209"/>
      <c r="F186" s="370">
        <f t="shared" si="19"/>
        <v>0</v>
      </c>
    </row>
    <row r="187" spans="1:6" ht="18" hidden="1" customHeight="1" x14ac:dyDescent="0.25">
      <c r="A187" s="222"/>
      <c r="B187" s="247"/>
      <c r="C187" s="247"/>
      <c r="D187" s="247">
        <f t="shared" si="18"/>
        <v>0</v>
      </c>
      <c r="E187" s="209"/>
      <c r="F187" s="370">
        <f t="shared" si="19"/>
        <v>0</v>
      </c>
    </row>
    <row r="188" spans="1:6" ht="18" hidden="1" customHeight="1" x14ac:dyDescent="0.25">
      <c r="A188" s="222"/>
      <c r="B188" s="247"/>
      <c r="C188" s="247"/>
      <c r="D188" s="247">
        <f t="shared" si="18"/>
        <v>0</v>
      </c>
      <c r="E188" s="209"/>
      <c r="F188" s="370">
        <f t="shared" si="19"/>
        <v>0</v>
      </c>
    </row>
    <row r="189" spans="1:6" ht="18" hidden="1" customHeight="1" x14ac:dyDescent="0.25">
      <c r="A189" s="222"/>
      <c r="B189" s="247"/>
      <c r="C189" s="247"/>
      <c r="D189" s="247">
        <f t="shared" si="18"/>
        <v>0</v>
      </c>
      <c r="E189" s="209"/>
      <c r="F189" s="370">
        <f t="shared" si="19"/>
        <v>0</v>
      </c>
    </row>
    <row r="190" spans="1:6" ht="18" hidden="1" customHeight="1" x14ac:dyDescent="0.25">
      <c r="A190" s="222"/>
      <c r="B190" s="247"/>
      <c r="C190" s="247"/>
      <c r="D190" s="247">
        <f t="shared" si="18"/>
        <v>0</v>
      </c>
      <c r="E190" s="209"/>
      <c r="F190" s="370">
        <f t="shared" si="19"/>
        <v>0</v>
      </c>
    </row>
    <row r="191" spans="1:6" ht="18" hidden="1" customHeight="1" x14ac:dyDescent="0.25">
      <c r="A191" s="222"/>
      <c r="B191" s="247"/>
      <c r="C191" s="247"/>
      <c r="D191" s="247">
        <f t="shared" si="18"/>
        <v>0</v>
      </c>
      <c r="E191" s="209"/>
      <c r="F191" s="370">
        <f t="shared" si="19"/>
        <v>0</v>
      </c>
    </row>
    <row r="192" spans="1:6" ht="18" hidden="1" customHeight="1" x14ac:dyDescent="0.25">
      <c r="A192" s="222"/>
      <c r="B192" s="247"/>
      <c r="C192" s="247"/>
      <c r="D192" s="247">
        <f t="shared" si="18"/>
        <v>0</v>
      </c>
      <c r="E192" s="209"/>
      <c r="F192" s="370">
        <f t="shared" si="19"/>
        <v>0</v>
      </c>
    </row>
    <row r="193" spans="1:6" ht="18" customHeight="1" x14ac:dyDescent="0.25">
      <c r="A193" s="249"/>
      <c r="B193" s="282"/>
      <c r="C193" s="282"/>
      <c r="D193" s="282">
        <f t="shared" si="18"/>
        <v>0</v>
      </c>
      <c r="E193" s="250"/>
      <c r="F193" s="371">
        <f t="shared" si="19"/>
        <v>0</v>
      </c>
    </row>
    <row r="194" spans="1:6" ht="18" customHeight="1" x14ac:dyDescent="0.25">
      <c r="B194" s="285">
        <f>SUM(B174:B193)</f>
        <v>0</v>
      </c>
      <c r="C194" s="285">
        <f>SUM(C174:C193)</f>
        <v>0</v>
      </c>
      <c r="D194" s="285">
        <f>SUM(D174:D193)</f>
        <v>0</v>
      </c>
      <c r="E194" s="372"/>
      <c r="F194" s="373">
        <f>SUM(F174:F193)</f>
        <v>0</v>
      </c>
    </row>
    <row r="195" spans="1:6" ht="18" customHeight="1" x14ac:dyDescent="0.25">
      <c r="B195" s="288">
        <f>B194-I157</f>
        <v>0</v>
      </c>
      <c r="C195" s="227">
        <f>C194-I158</f>
        <v>0</v>
      </c>
      <c r="D195" s="288">
        <f>D194-I159</f>
        <v>0</v>
      </c>
      <c r="E195" s="374"/>
      <c r="F195" s="374"/>
    </row>
  </sheetData>
  <sheetProtection algorithmName="SHA-512" hashValue="DDQ9mgQaPd/4tlD1sikPKW7f9L+d/BtWI+xM0jMqooPLkCgyvwqycBCzq+2Ii1JO7kZ1YpEMjT41EU/UFEOhiA==" saltValue="z/N9P3i8KUDZuSmgqR6MBg==" spinCount="100000" sheet="1" formatCells="0" formatColumns="0" formatRows="0" insertRows="0" autoFilter="0" pivotTables="0"/>
  <mergeCells count="100">
    <mergeCell ref="A172:F172"/>
    <mergeCell ref="A164:C164"/>
    <mergeCell ref="A165:C165"/>
    <mergeCell ref="A166:C166"/>
    <mergeCell ref="A169:M169"/>
    <mergeCell ref="A170:B170"/>
    <mergeCell ref="K160:L160"/>
    <mergeCell ref="I161:J161"/>
    <mergeCell ref="K161:L161"/>
    <mergeCell ref="A162:F162"/>
    <mergeCell ref="A163:C163"/>
    <mergeCell ref="A156:F156"/>
    <mergeCell ref="A157:F157"/>
    <mergeCell ref="A158:E158"/>
    <mergeCell ref="A159:F159"/>
    <mergeCell ref="I160:J160"/>
    <mergeCell ref="A150:F150"/>
    <mergeCell ref="I153:L153"/>
    <mergeCell ref="I154:J154"/>
    <mergeCell ref="K154:L154"/>
    <mergeCell ref="A155:F155"/>
    <mergeCell ref="A145:C145"/>
    <mergeCell ref="A146:C146"/>
    <mergeCell ref="A147:C147"/>
    <mergeCell ref="A148:C148"/>
    <mergeCell ref="A149:C149"/>
    <mergeCell ref="A140:C140"/>
    <mergeCell ref="A141:C141"/>
    <mergeCell ref="A142:C142"/>
    <mergeCell ref="A143:C143"/>
    <mergeCell ref="A144:C144"/>
    <mergeCell ref="A135:C135"/>
    <mergeCell ref="A136:C136"/>
    <mergeCell ref="A137:C137"/>
    <mergeCell ref="A138:C138"/>
    <mergeCell ref="A139:C139"/>
    <mergeCell ref="A130:C130"/>
    <mergeCell ref="A131:C131"/>
    <mergeCell ref="A132:C132"/>
    <mergeCell ref="A133:C133"/>
    <mergeCell ref="A134:C134"/>
    <mergeCell ref="A125:C125"/>
    <mergeCell ref="A126:C126"/>
    <mergeCell ref="A127:C127"/>
    <mergeCell ref="A128:C128"/>
    <mergeCell ref="A129:C129"/>
    <mergeCell ref="A120:C120"/>
    <mergeCell ref="A121:C121"/>
    <mergeCell ref="A122:C122"/>
    <mergeCell ref="A123:C123"/>
    <mergeCell ref="A124:C124"/>
    <mergeCell ref="A115:C115"/>
    <mergeCell ref="A116:C116"/>
    <mergeCell ref="A117:C117"/>
    <mergeCell ref="A118:C118"/>
    <mergeCell ref="A119:C119"/>
    <mergeCell ref="A110:C110"/>
    <mergeCell ref="A111:C111"/>
    <mergeCell ref="A112:C112"/>
    <mergeCell ref="A113:C113"/>
    <mergeCell ref="A114:C114"/>
    <mergeCell ref="A105:C105"/>
    <mergeCell ref="A106:C106"/>
    <mergeCell ref="A107:C107"/>
    <mergeCell ref="A108:C108"/>
    <mergeCell ref="A109:C109"/>
    <mergeCell ref="A102:H102"/>
    <mergeCell ref="I102:L102"/>
    <mergeCell ref="A103:C104"/>
    <mergeCell ref="D103:D104"/>
    <mergeCell ref="E103:E104"/>
    <mergeCell ref="F103:F104"/>
    <mergeCell ref="G103:G104"/>
    <mergeCell ref="H103:H104"/>
    <mergeCell ref="I103:J103"/>
    <mergeCell ref="K103:L103"/>
    <mergeCell ref="A11:L11"/>
    <mergeCell ref="A61:F61"/>
    <mergeCell ref="A62:L62"/>
    <mergeCell ref="A99:F99"/>
    <mergeCell ref="A100:F100"/>
    <mergeCell ref="A8:H8"/>
    <mergeCell ref="I8:L8"/>
    <mergeCell ref="N8:S9"/>
    <mergeCell ref="A9:A10"/>
    <mergeCell ref="B9:B10"/>
    <mergeCell ref="C9:C10"/>
    <mergeCell ref="D9:D10"/>
    <mergeCell ref="E9:E10"/>
    <mergeCell ref="F9:F10"/>
    <mergeCell ref="G9:G10"/>
    <mergeCell ref="H9:H10"/>
    <mergeCell ref="I9:J9"/>
    <mergeCell ref="K9:L9"/>
    <mergeCell ref="F1:K1"/>
    <mergeCell ref="F2:K2"/>
    <mergeCell ref="A5:B5"/>
    <mergeCell ref="C5:S5"/>
    <mergeCell ref="A6:B6"/>
    <mergeCell ref="C6:S6"/>
  </mergeCells>
  <dataValidations count="7">
    <dataValidation allowBlank="1" showInputMessage="1" showErrorMessage="1" prompt="diligencie la cantidad del personal requerido" sqref="B12:B60 IW12:IW60 SS12:SS60 ACO12:ACO60 AMK12:AMK60 AWG12:AWG60 BGC12:BGC60 BPY12:BPY60 BZU12:BZU60 CJQ12:CJQ60 CTM12:CTM60 DDI12:DDI60 DNE12:DNE60 DXA12:DXA60 EGW12:EGW60 EQS12:EQS60 FAO12:FAO60 FKK12:FKK60 FUG12:FUG60 GEC12:GEC60 GNY12:GNY60 GXU12:GXU60 HHQ12:HHQ60 HRM12:HRM60 IBI12:IBI60 ILE12:ILE60 IVA12:IVA60 JEW12:JEW60 JOS12:JOS60 JYO12:JYO60 KIK12:KIK60 KSG12:KSG60 LCC12:LCC60 LLY12:LLY60 LVU12:LVU60 MFQ12:MFQ60 MPM12:MPM60 MZI12:MZI60 NJE12:NJE60 NTA12:NTA60 OCW12:OCW60 OMS12:OMS60 OWO12:OWO60 PGK12:PGK60 PQG12:PQG60 QAC12:QAC60 QJY12:QJY60 QTU12:QTU60 RDQ12:RDQ60 RNM12:RNM60 RXI12:RXI60 SHE12:SHE60 SRA12:SRA60 TAW12:TAW60 TKS12:TKS60 TUO12:TUO60 UEK12:UEK60 UOG12:UOG60 UYC12:UYC60 VHY12:VHY60 VRU12:VRU60 WBQ12:WBQ60 WLM12:WLM60 WVI12:WVI60 B63:B98 IW63:IW98 SS63:SS98 ACO63:ACO98 AMK63:AMK98 AWG63:AWG98 BGC63:BGC98 BPY63:BPY98 BZU63:BZU98 CJQ63:CJQ98 CTM63:CTM98 DDI63:DDI98 DNE63:DNE98 DXA63:DXA98 EGW63:EGW98 EQS63:EQS98 FAO63:FAO98 FKK63:FKK98 FUG63:FUG98 GEC63:GEC98 GNY63:GNY98 GXU63:GXU98 HHQ63:HHQ98 HRM63:HRM98 IBI63:IBI98 ILE63:ILE98 IVA63:IVA98 JEW63:JEW98 JOS63:JOS98 JYO63:JYO98 KIK63:KIK98 KSG63:KSG98 LCC63:LCC98 LLY63:LLY98 LVU63:LVU98 MFQ63:MFQ98 MPM63:MPM98 MZI63:MZI98 NJE63:NJE98 NTA63:NTA98 OCW63:OCW98 OMS63:OMS98 OWO63:OWO98 PGK63:PGK98 PQG63:PQG98 QAC63:QAC98 QJY63:QJY98 QTU63:QTU98 RDQ63:RDQ98 RNM63:RNM98 RXI63:RXI98 SHE63:SHE98 SRA63:SRA98 TAW63:TAW98 TKS63:TKS98 TUO63:TUO98 UEK63:UEK98 UOG63:UOG98 UYC63:UYC98 VHY63:VHY98 VRU63:VRU98 WBQ63:WBQ98 WLM63:WLM98 WVI63:WVI98" xr:uid="{00000000-0002-0000-0500-000000000000}">
      <formula1>0</formula1>
      <formula2>0</formula2>
    </dataValidation>
    <dataValidation allowBlank="1" showInputMessage="1" showErrorMessage="1" prompt="definir la unidad de medida con la cual se asigna el valor unitario." sqref="D12:D60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D63:D98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xr:uid="{00000000-0002-0000-0500-000001000000}">
      <formula1>0</formula1>
      <formula2>0</formula2>
    </dataValidation>
    <dataValidation allowBlank="1" showInputMessage="1" showErrorMessage="1" prompt="diligencie la cantidad de unidad de medida del valor unitario" sqref="E12:E34 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xr:uid="{00000000-0002-0000-0500-000002000000}">
      <formula1>0</formula1>
      <formula2>0</formula2>
    </dataValidation>
    <dataValidation allowBlank="1" showInputMessage="1" showErrorMessage="1" prompt="traer el valor definido en la hoja &quot;honorarios Corporativos&quot;" sqref="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E35:E60 E63:E98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xr:uid="{00000000-0002-0000-0500-000003000000}">
      <formula1>0</formula1>
      <formula2>0</formula2>
    </dataValidation>
    <dataValidation allowBlank="1" showInputMessage="1" showErrorMessage="1" prompt="ingrese el valor del Factor Prestacional asignado para el personal." sqref="F12:F60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F63:F98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xr:uid="{00000000-0002-0000-0500-000004000000}">
      <formula1>0</formula1>
      <formula2>0</formula2>
    </dataValidation>
    <dataValidation allowBlank="1" showInputMessage="1" showErrorMessage="1" prompt="diligencie la dedicación del personal relacionado." sqref="C12:C60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C63:C98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xr:uid="{00000000-0002-0000-0500-000005000000}">
      <formula1>0</formula1>
      <formula2>0</formula2>
    </dataValidation>
    <dataValidation type="list" allowBlank="1" showInputMessage="1" showErrorMessage="1" sqref="G155 E174:E193" xr:uid="{00000000-0002-0000-0500-000006000000}">
      <formula1>"Si,No"</formula1>
      <formula2>0</formula2>
    </dataValidation>
  </dataValidations>
  <hyperlinks>
    <hyperlink ref="A170" location="gtosadm" display="Ir a estimar gastos de administración" xr:uid="{00000000-0004-0000-0500-000000000000}"/>
    <hyperlink ref="C170" location="IVA!A1" display="Info IVA" xr:uid="{00000000-0004-0000-0500-000001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8000000}">
          <x14:formula1>
            <xm:f>Honorarios!$A$8:$A$14</xm:f>
          </x14:formula1>
          <x14:formula2>
            <xm:f>0</xm:f>
          </x14:formula2>
          <xm:sqref>A12:A42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189"/>
  <sheetViews>
    <sheetView showGridLines="0" zoomScaleNormal="100" workbookViewId="0">
      <selection activeCell="A2" sqref="A2"/>
    </sheetView>
  </sheetViews>
  <sheetFormatPr baseColWidth="10" defaultColWidth="11.33203125" defaultRowHeight="19.5" customHeight="1" x14ac:dyDescent="0.25"/>
  <cols>
    <col min="1" max="1" width="59.77734375" style="375" customWidth="1"/>
    <col min="2" max="3" width="14.109375" style="375" customWidth="1"/>
    <col min="4" max="4" width="19.109375" style="375" customWidth="1"/>
    <col min="5" max="5" width="19.33203125" style="376" customWidth="1"/>
    <col min="6" max="6" width="18.6640625" style="140" customWidth="1"/>
    <col min="7" max="7" width="15.33203125" style="140" customWidth="1"/>
    <col min="8" max="8" width="18.77734375" style="140" customWidth="1"/>
    <col min="9" max="9" width="16.77734375" style="140" customWidth="1"/>
    <col min="10" max="16384" width="11.33203125" style="140"/>
  </cols>
  <sheetData>
    <row r="1" spans="1:11" s="15" customFormat="1" ht="39" customHeight="1" x14ac:dyDescent="0.25">
      <c r="B1" s="14" t="str">
        <f>Instructivo!F1</f>
        <v>Sistema de Gestión Integral (SGI)
Instructivo - Componente Financiero EP
Código: F-PGC-21. Versión: 05</v>
      </c>
      <c r="C1" s="14"/>
      <c r="D1" s="14"/>
      <c r="E1" s="14"/>
      <c r="F1" s="14"/>
      <c r="H1" s="132" t="s">
        <v>102</v>
      </c>
      <c r="J1" s="377"/>
      <c r="K1" s="377"/>
    </row>
    <row r="2" spans="1:11" s="15" customFormat="1" ht="18" customHeight="1" x14ac:dyDescent="0.25">
      <c r="B2" s="13" t="s">
        <v>440</v>
      </c>
      <c r="C2" s="13"/>
      <c r="D2" s="13"/>
      <c r="E2" s="13"/>
      <c r="F2" s="13"/>
      <c r="G2" s="378"/>
      <c r="H2" s="378"/>
      <c r="I2" s="378"/>
      <c r="J2" s="378"/>
      <c r="K2" s="378"/>
    </row>
    <row r="3" spans="1:11" ht="7.5" customHeight="1" x14ac:dyDescent="0.25"/>
    <row r="4" spans="1:11" ht="7.5" customHeight="1" x14ac:dyDescent="0.25">
      <c r="A4" s="140"/>
      <c r="B4" s="136"/>
      <c r="C4" s="136"/>
      <c r="D4" s="136"/>
      <c r="E4" s="136"/>
    </row>
    <row r="5" spans="1:11" ht="19.5" customHeight="1" x14ac:dyDescent="0.25">
      <c r="A5" s="305" t="s">
        <v>104</v>
      </c>
      <c r="B5" s="1011">
        <f>'Plan Ejecución'!AE4</f>
        <v>0</v>
      </c>
      <c r="C5" s="1011"/>
      <c r="D5" s="1011"/>
      <c r="E5" s="1011"/>
      <c r="F5" s="379"/>
    </row>
    <row r="6" spans="1:11" ht="44.25" customHeight="1" x14ac:dyDescent="0.25">
      <c r="A6" s="305" t="s">
        <v>105</v>
      </c>
      <c r="B6" s="1065">
        <f>'Plan Ejecución'!AE5</f>
        <v>0</v>
      </c>
      <c r="C6" s="1065"/>
      <c r="D6" s="1065"/>
      <c r="E6" s="1065"/>
      <c r="F6" s="379"/>
    </row>
    <row r="7" spans="1:11" ht="19.5" customHeight="1" x14ac:dyDescent="0.25">
      <c r="A7" s="1009"/>
      <c r="B7" s="1009"/>
      <c r="C7" s="1009"/>
      <c r="D7" s="1009"/>
      <c r="E7" s="1009"/>
    </row>
    <row r="8" spans="1:11" s="136" customFormat="1" ht="41.25" customHeight="1" x14ac:dyDescent="0.25">
      <c r="A8" s="380" t="s">
        <v>441</v>
      </c>
      <c r="B8" s="1066"/>
      <c r="C8" s="1066"/>
      <c r="D8" s="1066"/>
      <c r="E8" s="1066"/>
      <c r="G8" s="140"/>
      <c r="H8" s="140"/>
      <c r="I8" s="140"/>
      <c r="J8" s="140"/>
    </row>
    <row r="9" spans="1:11" s="136" customFormat="1" ht="18" customHeight="1" x14ac:dyDescent="0.25">
      <c r="A9" s="380" t="s">
        <v>442</v>
      </c>
      <c r="B9" s="1066"/>
      <c r="C9" s="1066"/>
      <c r="D9" s="1066"/>
      <c r="E9" s="1066"/>
    </row>
    <row r="10" spans="1:11" ht="18" customHeight="1" x14ac:dyDescent="0.25">
      <c r="A10" s="380" t="s">
        <v>443</v>
      </c>
      <c r="B10" s="1066"/>
      <c r="C10" s="1066"/>
      <c r="D10" s="1066"/>
      <c r="E10" s="1066"/>
    </row>
    <row r="11" spans="1:11" ht="19.5" customHeight="1" x14ac:dyDescent="0.25">
      <c r="A11" s="381"/>
      <c r="B11" s="382"/>
      <c r="C11" s="382"/>
      <c r="D11" s="382"/>
      <c r="E11" s="382"/>
    </row>
    <row r="12" spans="1:11" ht="27.75" customHeight="1" x14ac:dyDescent="0.25">
      <c r="A12" s="383" t="s">
        <v>380</v>
      </c>
      <c r="B12" s="384" t="s">
        <v>113</v>
      </c>
      <c r="C12" s="384" t="s">
        <v>383</v>
      </c>
      <c r="D12" s="384" t="s">
        <v>444</v>
      </c>
      <c r="E12" s="385" t="s">
        <v>445</v>
      </c>
    </row>
    <row r="13" spans="1:11" ht="27.75" customHeight="1" x14ac:dyDescent="0.25">
      <c r="A13" s="386"/>
      <c r="B13" s="387"/>
      <c r="C13" s="387"/>
      <c r="D13" s="388"/>
      <c r="E13" s="389">
        <f t="shared" ref="E13:E44" si="0">C13*D13</f>
        <v>0</v>
      </c>
    </row>
    <row r="14" spans="1:11" ht="27.75" hidden="1" customHeight="1" x14ac:dyDescent="0.25">
      <c r="A14" s="386"/>
      <c r="B14" s="387"/>
      <c r="C14" s="387"/>
      <c r="D14" s="388"/>
      <c r="E14" s="389">
        <f t="shared" si="0"/>
        <v>0</v>
      </c>
    </row>
    <row r="15" spans="1:11" ht="27.75" hidden="1" customHeight="1" x14ac:dyDescent="0.25">
      <c r="A15" s="386"/>
      <c r="B15" s="387"/>
      <c r="C15" s="387"/>
      <c r="D15" s="388"/>
      <c r="E15" s="389">
        <f t="shared" si="0"/>
        <v>0</v>
      </c>
    </row>
    <row r="16" spans="1:11" ht="27.75" hidden="1" customHeight="1" x14ac:dyDescent="0.25">
      <c r="A16" s="386"/>
      <c r="B16" s="387"/>
      <c r="C16" s="387"/>
      <c r="D16" s="388"/>
      <c r="E16" s="389">
        <f t="shared" si="0"/>
        <v>0</v>
      </c>
    </row>
    <row r="17" spans="1:5" ht="27.75" hidden="1" customHeight="1" x14ac:dyDescent="0.25">
      <c r="A17" s="386"/>
      <c r="B17" s="387"/>
      <c r="C17" s="387"/>
      <c r="D17" s="388"/>
      <c r="E17" s="389">
        <f t="shared" si="0"/>
        <v>0</v>
      </c>
    </row>
    <row r="18" spans="1:5" ht="27.75" hidden="1" customHeight="1" x14ac:dyDescent="0.25">
      <c r="A18" s="386"/>
      <c r="B18" s="387"/>
      <c r="C18" s="387"/>
      <c r="D18" s="388"/>
      <c r="E18" s="389">
        <f t="shared" si="0"/>
        <v>0</v>
      </c>
    </row>
    <row r="19" spans="1:5" ht="27.75" hidden="1" customHeight="1" x14ac:dyDescent="0.25">
      <c r="A19" s="386"/>
      <c r="B19" s="387"/>
      <c r="C19" s="387"/>
      <c r="D19" s="388"/>
      <c r="E19" s="389">
        <f t="shared" si="0"/>
        <v>0</v>
      </c>
    </row>
    <row r="20" spans="1:5" ht="27.75" hidden="1" customHeight="1" x14ac:dyDescent="0.25">
      <c r="A20" s="386"/>
      <c r="B20" s="387"/>
      <c r="C20" s="387"/>
      <c r="D20" s="388"/>
      <c r="E20" s="389">
        <f t="shared" si="0"/>
        <v>0</v>
      </c>
    </row>
    <row r="21" spans="1:5" ht="27.75" hidden="1" customHeight="1" x14ac:dyDescent="0.25">
      <c r="A21" s="386"/>
      <c r="B21" s="387"/>
      <c r="C21" s="387"/>
      <c r="D21" s="388"/>
      <c r="E21" s="389">
        <f t="shared" si="0"/>
        <v>0</v>
      </c>
    </row>
    <row r="22" spans="1:5" ht="27.75" hidden="1" customHeight="1" x14ac:dyDescent="0.25">
      <c r="A22" s="386"/>
      <c r="B22" s="387"/>
      <c r="C22" s="387"/>
      <c r="D22" s="388"/>
      <c r="E22" s="389">
        <f t="shared" si="0"/>
        <v>0</v>
      </c>
    </row>
    <row r="23" spans="1:5" ht="27.75" hidden="1" customHeight="1" x14ac:dyDescent="0.25">
      <c r="A23" s="386"/>
      <c r="B23" s="387"/>
      <c r="C23" s="387"/>
      <c r="D23" s="388"/>
      <c r="E23" s="389">
        <f t="shared" si="0"/>
        <v>0</v>
      </c>
    </row>
    <row r="24" spans="1:5" ht="27.75" hidden="1" customHeight="1" x14ac:dyDescent="0.25">
      <c r="A24" s="386"/>
      <c r="B24" s="387"/>
      <c r="C24" s="387"/>
      <c r="D24" s="388"/>
      <c r="E24" s="389">
        <f t="shared" si="0"/>
        <v>0</v>
      </c>
    </row>
    <row r="25" spans="1:5" ht="27.75" hidden="1" customHeight="1" x14ac:dyDescent="0.25">
      <c r="A25" s="386"/>
      <c r="B25" s="387"/>
      <c r="C25" s="387"/>
      <c r="D25" s="388"/>
      <c r="E25" s="389">
        <f t="shared" si="0"/>
        <v>0</v>
      </c>
    </row>
    <row r="26" spans="1:5" ht="27.75" hidden="1" customHeight="1" x14ac:dyDescent="0.25">
      <c r="A26" s="386"/>
      <c r="B26" s="387"/>
      <c r="C26" s="387"/>
      <c r="D26" s="388"/>
      <c r="E26" s="389">
        <f t="shared" si="0"/>
        <v>0</v>
      </c>
    </row>
    <row r="27" spans="1:5" ht="27.75" hidden="1" customHeight="1" x14ac:dyDescent="0.25">
      <c r="A27" s="386"/>
      <c r="B27" s="387"/>
      <c r="C27" s="387"/>
      <c r="D27" s="388"/>
      <c r="E27" s="389">
        <f t="shared" si="0"/>
        <v>0</v>
      </c>
    </row>
    <row r="28" spans="1:5" ht="27.75" hidden="1" customHeight="1" x14ac:dyDescent="0.25">
      <c r="A28" s="386"/>
      <c r="B28" s="387"/>
      <c r="C28" s="387"/>
      <c r="D28" s="388"/>
      <c r="E28" s="389">
        <f t="shared" si="0"/>
        <v>0</v>
      </c>
    </row>
    <row r="29" spans="1:5" ht="27.75" hidden="1" customHeight="1" x14ac:dyDescent="0.25">
      <c r="A29" s="386"/>
      <c r="B29" s="387"/>
      <c r="C29" s="387"/>
      <c r="D29" s="388"/>
      <c r="E29" s="389">
        <f t="shared" si="0"/>
        <v>0</v>
      </c>
    </row>
    <row r="30" spans="1:5" ht="27.75" hidden="1" customHeight="1" x14ac:dyDescent="0.25">
      <c r="A30" s="386"/>
      <c r="B30" s="387"/>
      <c r="C30" s="387"/>
      <c r="D30" s="388"/>
      <c r="E30" s="389">
        <f t="shared" si="0"/>
        <v>0</v>
      </c>
    </row>
    <row r="31" spans="1:5" ht="27.75" hidden="1" customHeight="1" x14ac:dyDescent="0.25">
      <c r="A31" s="386"/>
      <c r="B31" s="387"/>
      <c r="C31" s="387"/>
      <c r="D31" s="388"/>
      <c r="E31" s="389">
        <f t="shared" si="0"/>
        <v>0</v>
      </c>
    </row>
    <row r="32" spans="1:5" ht="27.75" hidden="1" customHeight="1" x14ac:dyDescent="0.25">
      <c r="A32" s="386"/>
      <c r="B32" s="387"/>
      <c r="C32" s="387"/>
      <c r="D32" s="388"/>
      <c r="E32" s="389">
        <f t="shared" si="0"/>
        <v>0</v>
      </c>
    </row>
    <row r="33" spans="1:5" ht="27.75" hidden="1" customHeight="1" x14ac:dyDescent="0.25">
      <c r="A33" s="386"/>
      <c r="B33" s="387"/>
      <c r="C33" s="387"/>
      <c r="D33" s="388"/>
      <c r="E33" s="389">
        <f t="shared" si="0"/>
        <v>0</v>
      </c>
    </row>
    <row r="34" spans="1:5" ht="27.75" hidden="1" customHeight="1" x14ac:dyDescent="0.25">
      <c r="A34" s="386"/>
      <c r="B34" s="387"/>
      <c r="C34" s="387"/>
      <c r="D34" s="388"/>
      <c r="E34" s="389">
        <f t="shared" si="0"/>
        <v>0</v>
      </c>
    </row>
    <row r="35" spans="1:5" ht="27.75" hidden="1" customHeight="1" x14ac:dyDescent="0.25">
      <c r="A35" s="386"/>
      <c r="B35" s="387"/>
      <c r="C35" s="387"/>
      <c r="D35" s="388"/>
      <c r="E35" s="389">
        <f t="shared" si="0"/>
        <v>0</v>
      </c>
    </row>
    <row r="36" spans="1:5" ht="27.75" hidden="1" customHeight="1" x14ac:dyDescent="0.25">
      <c r="A36" s="386"/>
      <c r="B36" s="387"/>
      <c r="C36" s="387"/>
      <c r="D36" s="388"/>
      <c r="E36" s="389">
        <f t="shared" si="0"/>
        <v>0</v>
      </c>
    </row>
    <row r="37" spans="1:5" ht="27.75" hidden="1" customHeight="1" x14ac:dyDescent="0.25">
      <c r="A37" s="386"/>
      <c r="B37" s="387"/>
      <c r="C37" s="387"/>
      <c r="D37" s="388"/>
      <c r="E37" s="389">
        <f t="shared" si="0"/>
        <v>0</v>
      </c>
    </row>
    <row r="38" spans="1:5" ht="27.75" hidden="1" customHeight="1" x14ac:dyDescent="0.25">
      <c r="A38" s="386"/>
      <c r="B38" s="387"/>
      <c r="C38" s="387"/>
      <c r="D38" s="388"/>
      <c r="E38" s="389">
        <f t="shared" si="0"/>
        <v>0</v>
      </c>
    </row>
    <row r="39" spans="1:5" ht="27.75" hidden="1" customHeight="1" x14ac:dyDescent="0.25">
      <c r="A39" s="386"/>
      <c r="B39" s="387"/>
      <c r="C39" s="387"/>
      <c r="D39" s="388"/>
      <c r="E39" s="389">
        <f t="shared" si="0"/>
        <v>0</v>
      </c>
    </row>
    <row r="40" spans="1:5" ht="27.75" hidden="1" customHeight="1" x14ac:dyDescent="0.25">
      <c r="A40" s="386"/>
      <c r="B40" s="387"/>
      <c r="C40" s="387"/>
      <c r="D40" s="388"/>
      <c r="E40" s="389">
        <f t="shared" si="0"/>
        <v>0</v>
      </c>
    </row>
    <row r="41" spans="1:5" ht="27.75" hidden="1" customHeight="1" x14ac:dyDescent="0.25">
      <c r="A41" s="386"/>
      <c r="B41" s="387"/>
      <c r="C41" s="387"/>
      <c r="D41" s="388"/>
      <c r="E41" s="389">
        <f t="shared" si="0"/>
        <v>0</v>
      </c>
    </row>
    <row r="42" spans="1:5" ht="27.75" hidden="1" customHeight="1" x14ac:dyDescent="0.25">
      <c r="A42" s="386"/>
      <c r="B42" s="387"/>
      <c r="C42" s="387"/>
      <c r="D42" s="388"/>
      <c r="E42" s="389">
        <f t="shared" si="0"/>
        <v>0</v>
      </c>
    </row>
    <row r="43" spans="1:5" ht="27.75" hidden="1" customHeight="1" x14ac:dyDescent="0.25">
      <c r="A43" s="386"/>
      <c r="B43" s="387"/>
      <c r="C43" s="387"/>
      <c r="D43" s="388"/>
      <c r="E43" s="389">
        <f t="shared" si="0"/>
        <v>0</v>
      </c>
    </row>
    <row r="44" spans="1:5" ht="27.75" hidden="1" customHeight="1" x14ac:dyDescent="0.25">
      <c r="A44" s="386"/>
      <c r="B44" s="387"/>
      <c r="C44" s="387"/>
      <c r="D44" s="388"/>
      <c r="E44" s="389">
        <f t="shared" si="0"/>
        <v>0</v>
      </c>
    </row>
    <row r="45" spans="1:5" ht="27.75" hidden="1" customHeight="1" x14ac:dyDescent="0.25">
      <c r="A45" s="386"/>
      <c r="B45" s="387"/>
      <c r="C45" s="387"/>
      <c r="D45" s="388"/>
      <c r="E45" s="389">
        <f t="shared" ref="E45:E76" si="1">C45*D45</f>
        <v>0</v>
      </c>
    </row>
    <row r="46" spans="1:5" ht="27.75" hidden="1" customHeight="1" x14ac:dyDescent="0.25">
      <c r="A46" s="386"/>
      <c r="B46" s="387"/>
      <c r="C46" s="387"/>
      <c r="D46" s="388"/>
      <c r="E46" s="389">
        <f t="shared" si="1"/>
        <v>0</v>
      </c>
    </row>
    <row r="47" spans="1:5" ht="27.75" hidden="1" customHeight="1" x14ac:dyDescent="0.25">
      <c r="A47" s="386"/>
      <c r="B47" s="387"/>
      <c r="C47" s="387"/>
      <c r="D47" s="388"/>
      <c r="E47" s="389">
        <f t="shared" si="1"/>
        <v>0</v>
      </c>
    </row>
    <row r="48" spans="1:5" ht="27.75" hidden="1" customHeight="1" x14ac:dyDescent="0.25">
      <c r="A48" s="386"/>
      <c r="B48" s="387"/>
      <c r="C48" s="387"/>
      <c r="D48" s="388"/>
      <c r="E48" s="389">
        <f t="shared" si="1"/>
        <v>0</v>
      </c>
    </row>
    <row r="49" spans="1:5" ht="27.75" hidden="1" customHeight="1" x14ac:dyDescent="0.25">
      <c r="A49" s="386"/>
      <c r="B49" s="387"/>
      <c r="C49" s="387"/>
      <c r="D49" s="388"/>
      <c r="E49" s="389">
        <f t="shared" si="1"/>
        <v>0</v>
      </c>
    </row>
    <row r="50" spans="1:5" ht="27.75" hidden="1" customHeight="1" x14ac:dyDescent="0.25">
      <c r="A50" s="386"/>
      <c r="B50" s="387"/>
      <c r="C50" s="387"/>
      <c r="D50" s="388"/>
      <c r="E50" s="389">
        <f t="shared" si="1"/>
        <v>0</v>
      </c>
    </row>
    <row r="51" spans="1:5" ht="27.75" hidden="1" customHeight="1" x14ac:dyDescent="0.25">
      <c r="A51" s="386"/>
      <c r="B51" s="387"/>
      <c r="C51" s="387"/>
      <c r="D51" s="388"/>
      <c r="E51" s="389">
        <f t="shared" si="1"/>
        <v>0</v>
      </c>
    </row>
    <row r="52" spans="1:5" ht="27.75" hidden="1" customHeight="1" x14ac:dyDescent="0.25">
      <c r="A52" s="386"/>
      <c r="B52" s="387"/>
      <c r="C52" s="387"/>
      <c r="D52" s="388"/>
      <c r="E52" s="389">
        <f t="shared" si="1"/>
        <v>0</v>
      </c>
    </row>
    <row r="53" spans="1:5" ht="27.75" hidden="1" customHeight="1" x14ac:dyDescent="0.25">
      <c r="A53" s="386"/>
      <c r="B53" s="387"/>
      <c r="C53" s="387"/>
      <c r="D53" s="388"/>
      <c r="E53" s="389">
        <f t="shared" si="1"/>
        <v>0</v>
      </c>
    </row>
    <row r="54" spans="1:5" ht="27.75" hidden="1" customHeight="1" x14ac:dyDescent="0.25">
      <c r="A54" s="386"/>
      <c r="B54" s="387"/>
      <c r="C54" s="387"/>
      <c r="D54" s="388"/>
      <c r="E54" s="389">
        <f t="shared" si="1"/>
        <v>0</v>
      </c>
    </row>
    <row r="55" spans="1:5" ht="27.75" hidden="1" customHeight="1" x14ac:dyDescent="0.25">
      <c r="A55" s="386"/>
      <c r="B55" s="387"/>
      <c r="C55" s="387"/>
      <c r="D55" s="388"/>
      <c r="E55" s="389">
        <f t="shared" si="1"/>
        <v>0</v>
      </c>
    </row>
    <row r="56" spans="1:5" ht="27.75" hidden="1" customHeight="1" x14ac:dyDescent="0.25">
      <c r="A56" s="386"/>
      <c r="B56" s="387"/>
      <c r="C56" s="387"/>
      <c r="D56" s="388"/>
      <c r="E56" s="389">
        <f t="shared" si="1"/>
        <v>0</v>
      </c>
    </row>
    <row r="57" spans="1:5" ht="27.75" hidden="1" customHeight="1" x14ac:dyDescent="0.25">
      <c r="A57" s="386"/>
      <c r="B57" s="387"/>
      <c r="C57" s="387"/>
      <c r="D57" s="388"/>
      <c r="E57" s="389">
        <f t="shared" si="1"/>
        <v>0</v>
      </c>
    </row>
    <row r="58" spans="1:5" ht="27.75" hidden="1" customHeight="1" x14ac:dyDescent="0.25">
      <c r="A58" s="386"/>
      <c r="B58" s="387"/>
      <c r="C58" s="387"/>
      <c r="D58" s="388"/>
      <c r="E58" s="389">
        <f t="shared" si="1"/>
        <v>0</v>
      </c>
    </row>
    <row r="59" spans="1:5" ht="27.75" hidden="1" customHeight="1" x14ac:dyDescent="0.25">
      <c r="A59" s="386"/>
      <c r="B59" s="387"/>
      <c r="C59" s="387"/>
      <c r="D59" s="388"/>
      <c r="E59" s="389">
        <f t="shared" si="1"/>
        <v>0</v>
      </c>
    </row>
    <row r="60" spans="1:5" ht="27.75" hidden="1" customHeight="1" x14ac:dyDescent="0.25">
      <c r="A60" s="386"/>
      <c r="B60" s="387"/>
      <c r="C60" s="387"/>
      <c r="D60" s="388"/>
      <c r="E60" s="389">
        <f t="shared" si="1"/>
        <v>0</v>
      </c>
    </row>
    <row r="61" spans="1:5" ht="27.75" hidden="1" customHeight="1" x14ac:dyDescent="0.25">
      <c r="A61" s="386"/>
      <c r="B61" s="387"/>
      <c r="C61" s="387"/>
      <c r="D61" s="388"/>
      <c r="E61" s="389">
        <f t="shared" si="1"/>
        <v>0</v>
      </c>
    </row>
    <row r="62" spans="1:5" ht="27.75" hidden="1" customHeight="1" x14ac:dyDescent="0.25">
      <c r="A62" s="386"/>
      <c r="B62" s="387"/>
      <c r="C62" s="387"/>
      <c r="D62" s="388"/>
      <c r="E62" s="389">
        <f t="shared" si="1"/>
        <v>0</v>
      </c>
    </row>
    <row r="63" spans="1:5" ht="27.75" hidden="1" customHeight="1" x14ac:dyDescent="0.25">
      <c r="A63" s="386"/>
      <c r="B63" s="387"/>
      <c r="C63" s="387"/>
      <c r="D63" s="388"/>
      <c r="E63" s="389">
        <f t="shared" si="1"/>
        <v>0</v>
      </c>
    </row>
    <row r="64" spans="1:5" ht="27.75" hidden="1" customHeight="1" x14ac:dyDescent="0.25">
      <c r="A64" s="386"/>
      <c r="B64" s="387"/>
      <c r="C64" s="387"/>
      <c r="D64" s="388"/>
      <c r="E64" s="389">
        <f t="shared" si="1"/>
        <v>0</v>
      </c>
    </row>
    <row r="65" spans="1:5" ht="27.75" hidden="1" customHeight="1" x14ac:dyDescent="0.25">
      <c r="A65" s="386"/>
      <c r="B65" s="387"/>
      <c r="C65" s="387"/>
      <c r="D65" s="388"/>
      <c r="E65" s="389">
        <f t="shared" si="1"/>
        <v>0</v>
      </c>
    </row>
    <row r="66" spans="1:5" ht="27.75" hidden="1" customHeight="1" x14ac:dyDescent="0.25">
      <c r="A66" s="386"/>
      <c r="B66" s="387"/>
      <c r="C66" s="387"/>
      <c r="D66" s="388"/>
      <c r="E66" s="389">
        <f t="shared" si="1"/>
        <v>0</v>
      </c>
    </row>
    <row r="67" spans="1:5" ht="27.75" hidden="1" customHeight="1" x14ac:dyDescent="0.25">
      <c r="A67" s="386"/>
      <c r="B67" s="387"/>
      <c r="C67" s="387"/>
      <c r="D67" s="388"/>
      <c r="E67" s="389">
        <f t="shared" si="1"/>
        <v>0</v>
      </c>
    </row>
    <row r="68" spans="1:5" ht="27.75" hidden="1" customHeight="1" x14ac:dyDescent="0.25">
      <c r="A68" s="386"/>
      <c r="B68" s="387"/>
      <c r="C68" s="387"/>
      <c r="D68" s="388"/>
      <c r="E68" s="389">
        <f t="shared" si="1"/>
        <v>0</v>
      </c>
    </row>
    <row r="69" spans="1:5" ht="27.75" hidden="1" customHeight="1" x14ac:dyDescent="0.25">
      <c r="A69" s="386"/>
      <c r="B69" s="387"/>
      <c r="C69" s="387"/>
      <c r="D69" s="388"/>
      <c r="E69" s="389">
        <f t="shared" si="1"/>
        <v>0</v>
      </c>
    </row>
    <row r="70" spans="1:5" ht="27.75" hidden="1" customHeight="1" x14ac:dyDescent="0.25">
      <c r="A70" s="386"/>
      <c r="B70" s="387"/>
      <c r="C70" s="387"/>
      <c r="D70" s="388"/>
      <c r="E70" s="389">
        <f t="shared" si="1"/>
        <v>0</v>
      </c>
    </row>
    <row r="71" spans="1:5" ht="27.75" hidden="1" customHeight="1" x14ac:dyDescent="0.25">
      <c r="A71" s="386"/>
      <c r="B71" s="387"/>
      <c r="C71" s="387"/>
      <c r="D71" s="388"/>
      <c r="E71" s="389">
        <f t="shared" si="1"/>
        <v>0</v>
      </c>
    </row>
    <row r="72" spans="1:5" ht="27.75" hidden="1" customHeight="1" x14ac:dyDescent="0.25">
      <c r="A72" s="386"/>
      <c r="B72" s="387"/>
      <c r="C72" s="387"/>
      <c r="D72" s="388"/>
      <c r="E72" s="389">
        <f t="shared" si="1"/>
        <v>0</v>
      </c>
    </row>
    <row r="73" spans="1:5" ht="27.75" hidden="1" customHeight="1" x14ac:dyDescent="0.25">
      <c r="A73" s="386"/>
      <c r="B73" s="387"/>
      <c r="C73" s="387"/>
      <c r="D73" s="388"/>
      <c r="E73" s="389">
        <f t="shared" si="1"/>
        <v>0</v>
      </c>
    </row>
    <row r="74" spans="1:5" ht="27.75" hidden="1" customHeight="1" x14ac:dyDescent="0.25">
      <c r="A74" s="386"/>
      <c r="B74" s="387"/>
      <c r="C74" s="387"/>
      <c r="D74" s="388"/>
      <c r="E74" s="389">
        <f t="shared" si="1"/>
        <v>0</v>
      </c>
    </row>
    <row r="75" spans="1:5" ht="27.75" hidden="1" customHeight="1" x14ac:dyDescent="0.25">
      <c r="A75" s="386"/>
      <c r="B75" s="387"/>
      <c r="C75" s="387"/>
      <c r="D75" s="388"/>
      <c r="E75" s="389">
        <f t="shared" si="1"/>
        <v>0</v>
      </c>
    </row>
    <row r="76" spans="1:5" ht="27.75" hidden="1" customHeight="1" x14ac:dyDescent="0.25">
      <c r="A76" s="386"/>
      <c r="B76" s="387"/>
      <c r="C76" s="387"/>
      <c r="D76" s="388"/>
      <c r="E76" s="389">
        <f t="shared" si="1"/>
        <v>0</v>
      </c>
    </row>
    <row r="77" spans="1:5" ht="27.75" hidden="1" customHeight="1" x14ac:dyDescent="0.25">
      <c r="A77" s="386"/>
      <c r="B77" s="387"/>
      <c r="C77" s="387"/>
      <c r="D77" s="388"/>
      <c r="E77" s="389">
        <f t="shared" ref="E77:E108" si="2">C77*D77</f>
        <v>0</v>
      </c>
    </row>
    <row r="78" spans="1:5" ht="27.75" hidden="1" customHeight="1" x14ac:dyDescent="0.25">
      <c r="A78" s="386"/>
      <c r="B78" s="387"/>
      <c r="C78" s="387"/>
      <c r="D78" s="388"/>
      <c r="E78" s="389">
        <f t="shared" si="2"/>
        <v>0</v>
      </c>
    </row>
    <row r="79" spans="1:5" ht="27.75" hidden="1" customHeight="1" x14ac:dyDescent="0.25">
      <c r="A79" s="386"/>
      <c r="B79" s="387"/>
      <c r="C79" s="387"/>
      <c r="D79" s="388"/>
      <c r="E79" s="389">
        <f t="shared" si="2"/>
        <v>0</v>
      </c>
    </row>
    <row r="80" spans="1:5" ht="27.75" hidden="1" customHeight="1" x14ac:dyDescent="0.25">
      <c r="A80" s="386"/>
      <c r="B80" s="387"/>
      <c r="C80" s="387"/>
      <c r="D80" s="388"/>
      <c r="E80" s="389">
        <f t="shared" si="2"/>
        <v>0</v>
      </c>
    </row>
    <row r="81" spans="1:5" ht="27.75" hidden="1" customHeight="1" x14ac:dyDescent="0.25">
      <c r="A81" s="386"/>
      <c r="B81" s="387"/>
      <c r="C81" s="387"/>
      <c r="D81" s="388"/>
      <c r="E81" s="389">
        <f t="shared" si="2"/>
        <v>0</v>
      </c>
    </row>
    <row r="82" spans="1:5" ht="27.75" hidden="1" customHeight="1" x14ac:dyDescent="0.25">
      <c r="A82" s="386"/>
      <c r="B82" s="387"/>
      <c r="C82" s="387"/>
      <c r="D82" s="388"/>
      <c r="E82" s="389">
        <f t="shared" si="2"/>
        <v>0</v>
      </c>
    </row>
    <row r="83" spans="1:5" ht="27.75" hidden="1" customHeight="1" x14ac:dyDescent="0.25">
      <c r="A83" s="386"/>
      <c r="B83" s="387"/>
      <c r="C83" s="387"/>
      <c r="D83" s="388"/>
      <c r="E83" s="389">
        <f t="shared" si="2"/>
        <v>0</v>
      </c>
    </row>
    <row r="84" spans="1:5" ht="27.75" hidden="1" customHeight="1" x14ac:dyDescent="0.25">
      <c r="A84" s="386"/>
      <c r="B84" s="387"/>
      <c r="C84" s="387"/>
      <c r="D84" s="388"/>
      <c r="E84" s="389">
        <f t="shared" si="2"/>
        <v>0</v>
      </c>
    </row>
    <row r="85" spans="1:5" ht="27.75" hidden="1" customHeight="1" x14ac:dyDescent="0.25">
      <c r="A85" s="386"/>
      <c r="B85" s="387"/>
      <c r="C85" s="387"/>
      <c r="D85" s="388"/>
      <c r="E85" s="389">
        <f t="shared" si="2"/>
        <v>0</v>
      </c>
    </row>
    <row r="86" spans="1:5" ht="27.75" hidden="1" customHeight="1" x14ac:dyDescent="0.25">
      <c r="A86" s="386"/>
      <c r="B86" s="387"/>
      <c r="C86" s="387"/>
      <c r="D86" s="388"/>
      <c r="E86" s="389">
        <f t="shared" si="2"/>
        <v>0</v>
      </c>
    </row>
    <row r="87" spans="1:5" ht="27.75" hidden="1" customHeight="1" x14ac:dyDescent="0.25">
      <c r="A87" s="386"/>
      <c r="B87" s="387"/>
      <c r="C87" s="387"/>
      <c r="D87" s="388"/>
      <c r="E87" s="389">
        <f t="shared" si="2"/>
        <v>0</v>
      </c>
    </row>
    <row r="88" spans="1:5" ht="27.75" hidden="1" customHeight="1" x14ac:dyDescent="0.25">
      <c r="A88" s="386"/>
      <c r="B88" s="387"/>
      <c r="C88" s="387"/>
      <c r="D88" s="388"/>
      <c r="E88" s="389">
        <f t="shared" si="2"/>
        <v>0</v>
      </c>
    </row>
    <row r="89" spans="1:5" ht="27.75" hidden="1" customHeight="1" x14ac:dyDescent="0.25">
      <c r="A89" s="386"/>
      <c r="B89" s="387"/>
      <c r="C89" s="387"/>
      <c r="D89" s="388"/>
      <c r="E89" s="389">
        <f t="shared" si="2"/>
        <v>0</v>
      </c>
    </row>
    <row r="90" spans="1:5" ht="27.75" hidden="1" customHeight="1" x14ac:dyDescent="0.25">
      <c r="A90" s="386"/>
      <c r="B90" s="387"/>
      <c r="C90" s="387"/>
      <c r="D90" s="388"/>
      <c r="E90" s="389">
        <f t="shared" si="2"/>
        <v>0</v>
      </c>
    </row>
    <row r="91" spans="1:5" ht="27.75" hidden="1" customHeight="1" x14ac:dyDescent="0.25">
      <c r="A91" s="386"/>
      <c r="B91" s="387"/>
      <c r="C91" s="387"/>
      <c r="D91" s="388"/>
      <c r="E91" s="389">
        <f t="shared" si="2"/>
        <v>0</v>
      </c>
    </row>
    <row r="92" spans="1:5" ht="27.75" hidden="1" customHeight="1" x14ac:dyDescent="0.25">
      <c r="A92" s="386"/>
      <c r="B92" s="387"/>
      <c r="C92" s="387"/>
      <c r="D92" s="388"/>
      <c r="E92" s="389">
        <f t="shared" si="2"/>
        <v>0</v>
      </c>
    </row>
    <row r="93" spans="1:5" ht="27.75" hidden="1" customHeight="1" x14ac:dyDescent="0.25">
      <c r="A93" s="386"/>
      <c r="B93" s="387"/>
      <c r="C93" s="387"/>
      <c r="D93" s="388"/>
      <c r="E93" s="389">
        <f t="shared" si="2"/>
        <v>0</v>
      </c>
    </row>
    <row r="94" spans="1:5" ht="27.75" hidden="1" customHeight="1" x14ac:dyDescent="0.25">
      <c r="A94" s="386"/>
      <c r="B94" s="387"/>
      <c r="C94" s="387"/>
      <c r="D94" s="388"/>
      <c r="E94" s="389">
        <f t="shared" si="2"/>
        <v>0</v>
      </c>
    </row>
    <row r="95" spans="1:5" ht="27.75" hidden="1" customHeight="1" x14ac:dyDescent="0.25">
      <c r="A95" s="386"/>
      <c r="B95" s="387"/>
      <c r="C95" s="387"/>
      <c r="D95" s="388"/>
      <c r="E95" s="389">
        <f t="shared" si="2"/>
        <v>0</v>
      </c>
    </row>
    <row r="96" spans="1:5" ht="27.75" hidden="1" customHeight="1" x14ac:dyDescent="0.25">
      <c r="A96" s="386"/>
      <c r="B96" s="387"/>
      <c r="C96" s="387"/>
      <c r="D96" s="388"/>
      <c r="E96" s="389">
        <f t="shared" si="2"/>
        <v>0</v>
      </c>
    </row>
    <row r="97" spans="1:5" ht="27.75" hidden="1" customHeight="1" x14ac:dyDescent="0.25">
      <c r="A97" s="386"/>
      <c r="B97" s="387"/>
      <c r="C97" s="387"/>
      <c r="D97" s="388"/>
      <c r="E97" s="389">
        <f t="shared" si="2"/>
        <v>0</v>
      </c>
    </row>
    <row r="98" spans="1:5" ht="27.75" hidden="1" customHeight="1" x14ac:dyDescent="0.25">
      <c r="A98" s="386"/>
      <c r="B98" s="387"/>
      <c r="C98" s="387"/>
      <c r="D98" s="388"/>
      <c r="E98" s="389">
        <f t="shared" si="2"/>
        <v>0</v>
      </c>
    </row>
    <row r="99" spans="1:5" ht="27.75" hidden="1" customHeight="1" x14ac:dyDescent="0.25">
      <c r="A99" s="386"/>
      <c r="B99" s="387"/>
      <c r="C99" s="387"/>
      <c r="D99" s="388"/>
      <c r="E99" s="389">
        <f t="shared" si="2"/>
        <v>0</v>
      </c>
    </row>
    <row r="100" spans="1:5" ht="27.75" hidden="1" customHeight="1" x14ac:dyDescent="0.25">
      <c r="A100" s="386"/>
      <c r="B100" s="387"/>
      <c r="C100" s="387"/>
      <c r="D100" s="388"/>
      <c r="E100" s="389">
        <f t="shared" si="2"/>
        <v>0</v>
      </c>
    </row>
    <row r="101" spans="1:5" ht="27.75" hidden="1" customHeight="1" x14ac:dyDescent="0.25">
      <c r="A101" s="386"/>
      <c r="B101" s="387"/>
      <c r="C101" s="387"/>
      <c r="D101" s="388"/>
      <c r="E101" s="389">
        <f t="shared" si="2"/>
        <v>0</v>
      </c>
    </row>
    <row r="102" spans="1:5" ht="27.75" hidden="1" customHeight="1" x14ac:dyDescent="0.25">
      <c r="A102" s="386"/>
      <c r="B102" s="387"/>
      <c r="C102" s="387"/>
      <c r="D102" s="388"/>
      <c r="E102" s="389">
        <f t="shared" si="2"/>
        <v>0</v>
      </c>
    </row>
    <row r="103" spans="1:5" ht="27.75" hidden="1" customHeight="1" x14ac:dyDescent="0.25">
      <c r="A103" s="386"/>
      <c r="B103" s="387"/>
      <c r="C103" s="387"/>
      <c r="D103" s="388"/>
      <c r="E103" s="389">
        <f t="shared" si="2"/>
        <v>0</v>
      </c>
    </row>
    <row r="104" spans="1:5" ht="27.75" hidden="1" customHeight="1" x14ac:dyDescent="0.25">
      <c r="A104" s="386"/>
      <c r="B104" s="387"/>
      <c r="C104" s="387"/>
      <c r="D104" s="388"/>
      <c r="E104" s="389">
        <f t="shared" si="2"/>
        <v>0</v>
      </c>
    </row>
    <row r="105" spans="1:5" ht="27.75" hidden="1" customHeight="1" x14ac:dyDescent="0.25">
      <c r="A105" s="386"/>
      <c r="B105" s="387"/>
      <c r="C105" s="387"/>
      <c r="D105" s="388"/>
      <c r="E105" s="389">
        <f t="shared" si="2"/>
        <v>0</v>
      </c>
    </row>
    <row r="106" spans="1:5" ht="27.75" hidden="1" customHeight="1" x14ac:dyDescent="0.25">
      <c r="A106" s="386"/>
      <c r="B106" s="387"/>
      <c r="C106" s="387"/>
      <c r="D106" s="388"/>
      <c r="E106" s="389">
        <f t="shared" si="2"/>
        <v>0</v>
      </c>
    </row>
    <row r="107" spans="1:5" ht="27.75" hidden="1" customHeight="1" x14ac:dyDescent="0.25">
      <c r="A107" s="386"/>
      <c r="B107" s="387"/>
      <c r="C107" s="387"/>
      <c r="D107" s="388"/>
      <c r="E107" s="389">
        <f t="shared" si="2"/>
        <v>0</v>
      </c>
    </row>
    <row r="108" spans="1:5" ht="27.75" hidden="1" customHeight="1" x14ac:dyDescent="0.25">
      <c r="A108" s="386"/>
      <c r="B108" s="387"/>
      <c r="C108" s="387"/>
      <c r="D108" s="388"/>
      <c r="E108" s="389">
        <f t="shared" si="2"/>
        <v>0</v>
      </c>
    </row>
    <row r="109" spans="1:5" ht="27.75" hidden="1" customHeight="1" x14ac:dyDescent="0.25">
      <c r="A109" s="386"/>
      <c r="B109" s="387"/>
      <c r="C109" s="387"/>
      <c r="D109" s="388"/>
      <c r="E109" s="389">
        <f t="shared" ref="E109:E140" si="3">C109*D109</f>
        <v>0</v>
      </c>
    </row>
    <row r="110" spans="1:5" ht="27.75" hidden="1" customHeight="1" x14ac:dyDescent="0.25">
      <c r="A110" s="386"/>
      <c r="B110" s="387"/>
      <c r="C110" s="387"/>
      <c r="D110" s="388"/>
      <c r="E110" s="389">
        <f t="shared" si="3"/>
        <v>0</v>
      </c>
    </row>
    <row r="111" spans="1:5" ht="27.75" hidden="1" customHeight="1" x14ac:dyDescent="0.25">
      <c r="A111" s="386"/>
      <c r="B111" s="387"/>
      <c r="C111" s="387"/>
      <c r="D111" s="388"/>
      <c r="E111" s="389">
        <f t="shared" si="3"/>
        <v>0</v>
      </c>
    </row>
    <row r="112" spans="1:5" ht="27.75" hidden="1" customHeight="1" x14ac:dyDescent="0.25">
      <c r="A112" s="386"/>
      <c r="B112" s="387"/>
      <c r="C112" s="387"/>
      <c r="D112" s="388"/>
      <c r="E112" s="389">
        <f t="shared" si="3"/>
        <v>0</v>
      </c>
    </row>
    <row r="113" spans="1:5" ht="27.75" hidden="1" customHeight="1" x14ac:dyDescent="0.25">
      <c r="A113" s="386"/>
      <c r="B113" s="387"/>
      <c r="C113" s="387"/>
      <c r="D113" s="388"/>
      <c r="E113" s="389">
        <f t="shared" si="3"/>
        <v>0</v>
      </c>
    </row>
    <row r="114" spans="1:5" ht="27.75" hidden="1" customHeight="1" x14ac:dyDescent="0.25">
      <c r="A114" s="386"/>
      <c r="B114" s="387"/>
      <c r="C114" s="387"/>
      <c r="D114" s="388"/>
      <c r="E114" s="389">
        <f t="shared" si="3"/>
        <v>0</v>
      </c>
    </row>
    <row r="115" spans="1:5" ht="27.75" hidden="1" customHeight="1" x14ac:dyDescent="0.25">
      <c r="A115" s="386"/>
      <c r="B115" s="387"/>
      <c r="C115" s="387"/>
      <c r="D115" s="388"/>
      <c r="E115" s="389">
        <f t="shared" si="3"/>
        <v>0</v>
      </c>
    </row>
    <row r="116" spans="1:5" ht="27.75" hidden="1" customHeight="1" x14ac:dyDescent="0.25">
      <c r="A116" s="386"/>
      <c r="B116" s="387"/>
      <c r="C116" s="387"/>
      <c r="D116" s="388"/>
      <c r="E116" s="389">
        <f t="shared" si="3"/>
        <v>0</v>
      </c>
    </row>
    <row r="117" spans="1:5" ht="27.75" hidden="1" customHeight="1" x14ac:dyDescent="0.25">
      <c r="A117" s="386"/>
      <c r="B117" s="387"/>
      <c r="C117" s="387"/>
      <c r="D117" s="388"/>
      <c r="E117" s="389">
        <f t="shared" si="3"/>
        <v>0</v>
      </c>
    </row>
    <row r="118" spans="1:5" ht="27.75" hidden="1" customHeight="1" x14ac:dyDescent="0.25">
      <c r="A118" s="386"/>
      <c r="B118" s="387"/>
      <c r="C118" s="387"/>
      <c r="D118" s="388"/>
      <c r="E118" s="389">
        <f t="shared" si="3"/>
        <v>0</v>
      </c>
    </row>
    <row r="119" spans="1:5" ht="27.75" hidden="1" customHeight="1" x14ac:dyDescent="0.25">
      <c r="A119" s="386"/>
      <c r="B119" s="387"/>
      <c r="C119" s="387"/>
      <c r="D119" s="388"/>
      <c r="E119" s="389">
        <f t="shared" si="3"/>
        <v>0</v>
      </c>
    </row>
    <row r="120" spans="1:5" ht="27.75" hidden="1" customHeight="1" x14ac:dyDescent="0.25">
      <c r="A120" s="386"/>
      <c r="B120" s="387"/>
      <c r="C120" s="387"/>
      <c r="D120" s="388"/>
      <c r="E120" s="389">
        <f t="shared" si="3"/>
        <v>0</v>
      </c>
    </row>
    <row r="121" spans="1:5" ht="27.75" hidden="1" customHeight="1" x14ac:dyDescent="0.25">
      <c r="A121" s="386"/>
      <c r="B121" s="387"/>
      <c r="C121" s="387"/>
      <c r="D121" s="388"/>
      <c r="E121" s="389">
        <f t="shared" si="3"/>
        <v>0</v>
      </c>
    </row>
    <row r="122" spans="1:5" ht="27.75" hidden="1" customHeight="1" x14ac:dyDescent="0.25">
      <c r="A122" s="386"/>
      <c r="B122" s="387"/>
      <c r="C122" s="387"/>
      <c r="D122" s="388"/>
      <c r="E122" s="389">
        <f t="shared" si="3"/>
        <v>0</v>
      </c>
    </row>
    <row r="123" spans="1:5" ht="27.75" hidden="1" customHeight="1" x14ac:dyDescent="0.25">
      <c r="A123" s="386"/>
      <c r="B123" s="387"/>
      <c r="C123" s="387"/>
      <c r="D123" s="388"/>
      <c r="E123" s="389">
        <f t="shared" si="3"/>
        <v>0</v>
      </c>
    </row>
    <row r="124" spans="1:5" ht="27.75" hidden="1" customHeight="1" x14ac:dyDescent="0.25">
      <c r="A124" s="386"/>
      <c r="B124" s="387"/>
      <c r="C124" s="387"/>
      <c r="D124" s="388"/>
      <c r="E124" s="389">
        <f t="shared" si="3"/>
        <v>0</v>
      </c>
    </row>
    <row r="125" spans="1:5" ht="27.75" hidden="1" customHeight="1" x14ac:dyDescent="0.25">
      <c r="A125" s="386"/>
      <c r="B125" s="387"/>
      <c r="C125" s="387"/>
      <c r="D125" s="388"/>
      <c r="E125" s="389">
        <f t="shared" si="3"/>
        <v>0</v>
      </c>
    </row>
    <row r="126" spans="1:5" ht="27.75" hidden="1" customHeight="1" x14ac:dyDescent="0.25">
      <c r="A126" s="386"/>
      <c r="B126" s="387"/>
      <c r="C126" s="387"/>
      <c r="D126" s="388"/>
      <c r="E126" s="389">
        <f t="shared" si="3"/>
        <v>0</v>
      </c>
    </row>
    <row r="127" spans="1:5" ht="27.75" hidden="1" customHeight="1" x14ac:dyDescent="0.25">
      <c r="A127" s="386"/>
      <c r="B127" s="387"/>
      <c r="C127" s="387"/>
      <c r="D127" s="388"/>
      <c r="E127" s="389">
        <f t="shared" si="3"/>
        <v>0</v>
      </c>
    </row>
    <row r="128" spans="1:5" ht="27.75" hidden="1" customHeight="1" x14ac:dyDescent="0.25">
      <c r="A128" s="386"/>
      <c r="B128" s="387"/>
      <c r="C128" s="387"/>
      <c r="D128" s="388"/>
      <c r="E128" s="389">
        <f t="shared" si="3"/>
        <v>0</v>
      </c>
    </row>
    <row r="129" spans="1:5" ht="27.75" hidden="1" customHeight="1" x14ac:dyDescent="0.25">
      <c r="A129" s="386"/>
      <c r="B129" s="387"/>
      <c r="C129" s="387"/>
      <c r="D129" s="388"/>
      <c r="E129" s="389">
        <f t="shared" si="3"/>
        <v>0</v>
      </c>
    </row>
    <row r="130" spans="1:5" ht="27.75" hidden="1" customHeight="1" x14ac:dyDescent="0.25">
      <c r="A130" s="386"/>
      <c r="B130" s="387"/>
      <c r="C130" s="387"/>
      <c r="D130" s="388"/>
      <c r="E130" s="389">
        <f t="shared" si="3"/>
        <v>0</v>
      </c>
    </row>
    <row r="131" spans="1:5" ht="27.75" hidden="1" customHeight="1" x14ac:dyDescent="0.25">
      <c r="A131" s="386"/>
      <c r="B131" s="387"/>
      <c r="C131" s="387"/>
      <c r="D131" s="388"/>
      <c r="E131" s="389">
        <f t="shared" si="3"/>
        <v>0</v>
      </c>
    </row>
    <row r="132" spans="1:5" ht="27.75" hidden="1" customHeight="1" x14ac:dyDescent="0.25">
      <c r="A132" s="386"/>
      <c r="B132" s="387"/>
      <c r="C132" s="387"/>
      <c r="D132" s="388"/>
      <c r="E132" s="389">
        <f t="shared" si="3"/>
        <v>0</v>
      </c>
    </row>
    <row r="133" spans="1:5" ht="27.75" hidden="1" customHeight="1" x14ac:dyDescent="0.25">
      <c r="A133" s="386"/>
      <c r="B133" s="387"/>
      <c r="C133" s="387"/>
      <c r="D133" s="388"/>
      <c r="E133" s="389">
        <f t="shared" si="3"/>
        <v>0</v>
      </c>
    </row>
    <row r="134" spans="1:5" ht="27.75" hidden="1" customHeight="1" x14ac:dyDescent="0.25">
      <c r="A134" s="386"/>
      <c r="B134" s="387"/>
      <c r="C134" s="387"/>
      <c r="D134" s="388"/>
      <c r="E134" s="389">
        <f t="shared" si="3"/>
        <v>0</v>
      </c>
    </row>
    <row r="135" spans="1:5" ht="27.75" hidden="1" customHeight="1" x14ac:dyDescent="0.25">
      <c r="A135" s="386"/>
      <c r="B135" s="387"/>
      <c r="C135" s="387"/>
      <c r="D135" s="388"/>
      <c r="E135" s="389">
        <f t="shared" si="3"/>
        <v>0</v>
      </c>
    </row>
    <row r="136" spans="1:5" ht="27.75" hidden="1" customHeight="1" x14ac:dyDescent="0.25">
      <c r="A136" s="386"/>
      <c r="B136" s="387"/>
      <c r="C136" s="387"/>
      <c r="D136" s="388"/>
      <c r="E136" s="389">
        <f t="shared" si="3"/>
        <v>0</v>
      </c>
    </row>
    <row r="137" spans="1:5" ht="27.75" hidden="1" customHeight="1" x14ac:dyDescent="0.25">
      <c r="A137" s="386"/>
      <c r="B137" s="387"/>
      <c r="C137" s="387"/>
      <c r="D137" s="388"/>
      <c r="E137" s="389">
        <f t="shared" si="3"/>
        <v>0</v>
      </c>
    </row>
    <row r="138" spans="1:5" ht="27.75" hidden="1" customHeight="1" x14ac:dyDescent="0.25">
      <c r="A138" s="386"/>
      <c r="B138" s="387"/>
      <c r="C138" s="387"/>
      <c r="D138" s="388"/>
      <c r="E138" s="389">
        <f t="shared" si="3"/>
        <v>0</v>
      </c>
    </row>
    <row r="139" spans="1:5" ht="27.75" hidden="1" customHeight="1" x14ac:dyDescent="0.25">
      <c r="A139" s="386"/>
      <c r="B139" s="387"/>
      <c r="C139" s="387"/>
      <c r="D139" s="388"/>
      <c r="E139" s="389">
        <f t="shared" si="3"/>
        <v>0</v>
      </c>
    </row>
    <row r="140" spans="1:5" ht="27.75" hidden="1" customHeight="1" x14ac:dyDescent="0.25">
      <c r="A140" s="386"/>
      <c r="B140" s="387"/>
      <c r="C140" s="387"/>
      <c r="D140" s="388"/>
      <c r="E140" s="389">
        <f t="shared" si="3"/>
        <v>0</v>
      </c>
    </row>
    <row r="141" spans="1:5" ht="27.75" hidden="1" customHeight="1" x14ac:dyDescent="0.25">
      <c r="A141" s="386"/>
      <c r="B141" s="387"/>
      <c r="C141" s="387"/>
      <c r="D141" s="388"/>
      <c r="E141" s="389">
        <f t="shared" ref="E141:E172" si="4">C141*D141</f>
        <v>0</v>
      </c>
    </row>
    <row r="142" spans="1:5" ht="27.75" hidden="1" customHeight="1" x14ac:dyDescent="0.25">
      <c r="A142" s="386"/>
      <c r="B142" s="387"/>
      <c r="C142" s="387"/>
      <c r="D142" s="388"/>
      <c r="E142" s="389">
        <f t="shared" si="4"/>
        <v>0</v>
      </c>
    </row>
    <row r="143" spans="1:5" ht="27.75" hidden="1" customHeight="1" x14ac:dyDescent="0.25">
      <c r="A143" s="386"/>
      <c r="B143" s="387"/>
      <c r="C143" s="387"/>
      <c r="D143" s="388"/>
      <c r="E143" s="389">
        <f t="shared" si="4"/>
        <v>0</v>
      </c>
    </row>
    <row r="144" spans="1:5" ht="27.75" hidden="1" customHeight="1" x14ac:dyDescent="0.25">
      <c r="A144" s="386"/>
      <c r="B144" s="387"/>
      <c r="C144" s="387"/>
      <c r="D144" s="388"/>
      <c r="E144" s="389">
        <f t="shared" si="4"/>
        <v>0</v>
      </c>
    </row>
    <row r="145" spans="1:5" ht="27.75" hidden="1" customHeight="1" x14ac:dyDescent="0.25">
      <c r="A145" s="386"/>
      <c r="B145" s="387"/>
      <c r="C145" s="387"/>
      <c r="D145" s="388"/>
      <c r="E145" s="389">
        <f t="shared" si="4"/>
        <v>0</v>
      </c>
    </row>
    <row r="146" spans="1:5" ht="27.75" hidden="1" customHeight="1" x14ac:dyDescent="0.25">
      <c r="A146" s="386"/>
      <c r="B146" s="387"/>
      <c r="C146" s="387"/>
      <c r="D146" s="388"/>
      <c r="E146" s="389">
        <f t="shared" si="4"/>
        <v>0</v>
      </c>
    </row>
    <row r="147" spans="1:5" ht="27.75" hidden="1" customHeight="1" x14ac:dyDescent="0.25">
      <c r="A147" s="386"/>
      <c r="B147" s="387"/>
      <c r="C147" s="387"/>
      <c r="D147" s="388"/>
      <c r="E147" s="389">
        <f t="shared" si="4"/>
        <v>0</v>
      </c>
    </row>
    <row r="148" spans="1:5" ht="27.75" hidden="1" customHeight="1" x14ac:dyDescent="0.25">
      <c r="A148" s="386"/>
      <c r="B148" s="387"/>
      <c r="C148" s="387"/>
      <c r="D148" s="388"/>
      <c r="E148" s="389">
        <f t="shared" si="4"/>
        <v>0</v>
      </c>
    </row>
    <row r="149" spans="1:5" ht="27.75" hidden="1" customHeight="1" x14ac:dyDescent="0.25">
      <c r="A149" s="386"/>
      <c r="B149" s="387"/>
      <c r="C149" s="387"/>
      <c r="D149" s="388"/>
      <c r="E149" s="389">
        <f t="shared" si="4"/>
        <v>0</v>
      </c>
    </row>
    <row r="150" spans="1:5" ht="27.75" hidden="1" customHeight="1" x14ac:dyDescent="0.25">
      <c r="A150" s="386"/>
      <c r="B150" s="387"/>
      <c r="C150" s="387"/>
      <c r="D150" s="388"/>
      <c r="E150" s="389">
        <f t="shared" si="4"/>
        <v>0</v>
      </c>
    </row>
    <row r="151" spans="1:5" ht="27.75" hidden="1" customHeight="1" x14ac:dyDescent="0.25">
      <c r="A151" s="386"/>
      <c r="B151" s="387"/>
      <c r="C151" s="387"/>
      <c r="D151" s="388"/>
      <c r="E151" s="389">
        <f t="shared" si="4"/>
        <v>0</v>
      </c>
    </row>
    <row r="152" spans="1:5" ht="27.75" hidden="1" customHeight="1" x14ac:dyDescent="0.25">
      <c r="A152" s="386"/>
      <c r="B152" s="387"/>
      <c r="C152" s="387"/>
      <c r="D152" s="388"/>
      <c r="E152" s="389">
        <f t="shared" si="4"/>
        <v>0</v>
      </c>
    </row>
    <row r="153" spans="1:5" ht="27.75" hidden="1" customHeight="1" x14ac:dyDescent="0.25">
      <c r="A153" s="386"/>
      <c r="B153" s="387"/>
      <c r="C153" s="387"/>
      <c r="D153" s="388"/>
      <c r="E153" s="389">
        <f t="shared" si="4"/>
        <v>0</v>
      </c>
    </row>
    <row r="154" spans="1:5" ht="27.75" hidden="1" customHeight="1" x14ac:dyDescent="0.25">
      <c r="A154" s="386"/>
      <c r="B154" s="387"/>
      <c r="C154" s="387"/>
      <c r="D154" s="388"/>
      <c r="E154" s="389">
        <f t="shared" si="4"/>
        <v>0</v>
      </c>
    </row>
    <row r="155" spans="1:5" ht="27.75" hidden="1" customHeight="1" x14ac:dyDescent="0.25">
      <c r="A155" s="386"/>
      <c r="B155" s="387"/>
      <c r="C155" s="387"/>
      <c r="D155" s="388"/>
      <c r="E155" s="389">
        <f t="shared" si="4"/>
        <v>0</v>
      </c>
    </row>
    <row r="156" spans="1:5" ht="27.75" hidden="1" customHeight="1" x14ac:dyDescent="0.25">
      <c r="A156" s="386"/>
      <c r="B156" s="387"/>
      <c r="C156" s="387"/>
      <c r="D156" s="388"/>
      <c r="E156" s="389">
        <f t="shared" si="4"/>
        <v>0</v>
      </c>
    </row>
    <row r="157" spans="1:5" ht="27.75" hidden="1" customHeight="1" x14ac:dyDescent="0.25">
      <c r="A157" s="386"/>
      <c r="B157" s="387"/>
      <c r="C157" s="387"/>
      <c r="D157" s="388"/>
      <c r="E157" s="389">
        <f t="shared" si="4"/>
        <v>0</v>
      </c>
    </row>
    <row r="158" spans="1:5" ht="27.75" hidden="1" customHeight="1" x14ac:dyDescent="0.25">
      <c r="A158" s="386"/>
      <c r="B158" s="387"/>
      <c r="C158" s="387"/>
      <c r="D158" s="388"/>
      <c r="E158" s="389">
        <f t="shared" si="4"/>
        <v>0</v>
      </c>
    </row>
    <row r="159" spans="1:5" ht="27.75" hidden="1" customHeight="1" x14ac:dyDescent="0.25">
      <c r="A159" s="386"/>
      <c r="B159" s="387"/>
      <c r="C159" s="387"/>
      <c r="D159" s="388"/>
      <c r="E159" s="389">
        <f t="shared" si="4"/>
        <v>0</v>
      </c>
    </row>
    <row r="160" spans="1:5" ht="27.75" hidden="1" customHeight="1" x14ac:dyDescent="0.25">
      <c r="A160" s="386"/>
      <c r="B160" s="387"/>
      <c r="C160" s="387"/>
      <c r="D160" s="388"/>
      <c r="E160" s="389">
        <f t="shared" si="4"/>
        <v>0</v>
      </c>
    </row>
    <row r="161" spans="1:5" ht="27.75" hidden="1" customHeight="1" x14ac:dyDescent="0.25">
      <c r="A161" s="386"/>
      <c r="B161" s="387"/>
      <c r="C161" s="387"/>
      <c r="D161" s="388"/>
      <c r="E161" s="389">
        <f t="shared" si="4"/>
        <v>0</v>
      </c>
    </row>
    <row r="162" spans="1:5" ht="27.75" hidden="1" customHeight="1" x14ac:dyDescent="0.25">
      <c r="A162" s="386"/>
      <c r="B162" s="387"/>
      <c r="C162" s="387"/>
      <c r="D162" s="388"/>
      <c r="E162" s="389">
        <f t="shared" si="4"/>
        <v>0</v>
      </c>
    </row>
    <row r="163" spans="1:5" ht="27.75" hidden="1" customHeight="1" x14ac:dyDescent="0.25">
      <c r="A163" s="386"/>
      <c r="B163" s="387"/>
      <c r="C163" s="387"/>
      <c r="D163" s="388"/>
      <c r="E163" s="389">
        <f t="shared" si="4"/>
        <v>0</v>
      </c>
    </row>
    <row r="164" spans="1:5" ht="27.75" hidden="1" customHeight="1" x14ac:dyDescent="0.25">
      <c r="A164" s="386"/>
      <c r="B164" s="387"/>
      <c r="C164" s="387"/>
      <c r="D164" s="388"/>
      <c r="E164" s="389">
        <f t="shared" si="4"/>
        <v>0</v>
      </c>
    </row>
    <row r="165" spans="1:5" ht="27.75" hidden="1" customHeight="1" x14ac:dyDescent="0.25">
      <c r="A165" s="386"/>
      <c r="B165" s="387"/>
      <c r="C165" s="387"/>
      <c r="D165" s="388"/>
      <c r="E165" s="389">
        <f t="shared" si="4"/>
        <v>0</v>
      </c>
    </row>
    <row r="166" spans="1:5" ht="27.75" hidden="1" customHeight="1" x14ac:dyDescent="0.25">
      <c r="A166" s="386"/>
      <c r="B166" s="387"/>
      <c r="C166" s="387"/>
      <c r="D166" s="388"/>
      <c r="E166" s="389">
        <f t="shared" si="4"/>
        <v>0</v>
      </c>
    </row>
    <row r="167" spans="1:5" ht="27.75" hidden="1" customHeight="1" x14ac:dyDescent="0.25">
      <c r="A167" s="386"/>
      <c r="B167" s="387"/>
      <c r="C167" s="387"/>
      <c r="D167" s="388"/>
      <c r="E167" s="389">
        <f t="shared" si="4"/>
        <v>0</v>
      </c>
    </row>
    <row r="168" spans="1:5" ht="27.75" hidden="1" customHeight="1" x14ac:dyDescent="0.25">
      <c r="A168" s="386"/>
      <c r="B168" s="387"/>
      <c r="C168" s="387"/>
      <c r="D168" s="388"/>
      <c r="E168" s="389">
        <f t="shared" si="4"/>
        <v>0</v>
      </c>
    </row>
    <row r="169" spans="1:5" ht="27.75" hidden="1" customHeight="1" x14ac:dyDescent="0.25">
      <c r="A169" s="386"/>
      <c r="B169" s="387"/>
      <c r="C169" s="387"/>
      <c r="D169" s="388"/>
      <c r="E169" s="389">
        <f t="shared" si="4"/>
        <v>0</v>
      </c>
    </row>
    <row r="170" spans="1:5" ht="27.75" hidden="1" customHeight="1" x14ac:dyDescent="0.25">
      <c r="A170" s="386"/>
      <c r="B170" s="387"/>
      <c r="C170" s="387"/>
      <c r="D170" s="388"/>
      <c r="E170" s="389">
        <f t="shared" si="4"/>
        <v>0</v>
      </c>
    </row>
    <row r="171" spans="1:5" ht="27.75" hidden="1" customHeight="1" x14ac:dyDescent="0.25">
      <c r="A171" s="386"/>
      <c r="B171" s="387"/>
      <c r="C171" s="387"/>
      <c r="D171" s="388"/>
      <c r="E171" s="389">
        <f t="shared" si="4"/>
        <v>0</v>
      </c>
    </row>
    <row r="172" spans="1:5" ht="27.75" hidden="1" customHeight="1" x14ac:dyDescent="0.25">
      <c r="A172" s="386"/>
      <c r="B172" s="387"/>
      <c r="C172" s="387"/>
      <c r="D172" s="388"/>
      <c r="E172" s="389">
        <f t="shared" si="4"/>
        <v>0</v>
      </c>
    </row>
    <row r="173" spans="1:5" ht="27.75" hidden="1" customHeight="1" x14ac:dyDescent="0.25">
      <c r="A173" s="386"/>
      <c r="B173" s="387"/>
      <c r="C173" s="387"/>
      <c r="D173" s="388"/>
      <c r="E173" s="389">
        <f t="shared" ref="E173:E204" si="5">C173*D173</f>
        <v>0</v>
      </c>
    </row>
    <row r="174" spans="1:5" ht="27.75" hidden="1" customHeight="1" x14ac:dyDescent="0.25">
      <c r="A174" s="386"/>
      <c r="B174" s="387"/>
      <c r="C174" s="387"/>
      <c r="D174" s="388"/>
      <c r="E174" s="389">
        <f t="shared" si="5"/>
        <v>0</v>
      </c>
    </row>
    <row r="175" spans="1:5" ht="27.75" hidden="1" customHeight="1" x14ac:dyDescent="0.25">
      <c r="A175" s="386"/>
      <c r="B175" s="387"/>
      <c r="C175" s="387"/>
      <c r="D175" s="388"/>
      <c r="E175" s="389">
        <f t="shared" si="5"/>
        <v>0</v>
      </c>
    </row>
    <row r="176" spans="1:5" ht="27.75" hidden="1" customHeight="1" x14ac:dyDescent="0.25">
      <c r="A176" s="386"/>
      <c r="B176" s="387"/>
      <c r="C176" s="387"/>
      <c r="D176" s="388"/>
      <c r="E176" s="389">
        <f t="shared" si="5"/>
        <v>0</v>
      </c>
    </row>
    <row r="177" spans="1:6" ht="27.75" hidden="1" customHeight="1" x14ac:dyDescent="0.25">
      <c r="A177" s="386"/>
      <c r="B177" s="387"/>
      <c r="C177" s="387"/>
      <c r="D177" s="388"/>
      <c r="E177" s="389">
        <f t="shared" si="5"/>
        <v>0</v>
      </c>
    </row>
    <row r="178" spans="1:6" ht="27.75" hidden="1" customHeight="1" x14ac:dyDescent="0.25">
      <c r="A178" s="386"/>
      <c r="B178" s="387"/>
      <c r="C178" s="387"/>
      <c r="D178" s="388"/>
      <c r="E178" s="389">
        <f t="shared" si="5"/>
        <v>0</v>
      </c>
    </row>
    <row r="179" spans="1:6" ht="27.75" hidden="1" customHeight="1" x14ac:dyDescent="0.25">
      <c r="A179" s="386"/>
      <c r="B179" s="387"/>
      <c r="C179" s="387"/>
      <c r="D179" s="388"/>
      <c r="E179" s="389">
        <f t="shared" si="5"/>
        <v>0</v>
      </c>
    </row>
    <row r="180" spans="1:6" ht="27.75" hidden="1" customHeight="1" x14ac:dyDescent="0.25">
      <c r="A180" s="386"/>
      <c r="B180" s="387"/>
      <c r="C180" s="387"/>
      <c r="D180" s="388"/>
      <c r="E180" s="389">
        <f t="shared" si="5"/>
        <v>0</v>
      </c>
    </row>
    <row r="181" spans="1:6" ht="27.75" hidden="1" customHeight="1" x14ac:dyDescent="0.25">
      <c r="A181" s="386"/>
      <c r="B181" s="387"/>
      <c r="C181" s="387"/>
      <c r="D181" s="388"/>
      <c r="E181" s="389">
        <f t="shared" si="5"/>
        <v>0</v>
      </c>
    </row>
    <row r="182" spans="1:6" ht="27.75" hidden="1" customHeight="1" x14ac:dyDescent="0.25">
      <c r="A182" s="386"/>
      <c r="B182" s="387"/>
      <c r="C182" s="387"/>
      <c r="D182" s="388"/>
      <c r="E182" s="389">
        <f t="shared" si="5"/>
        <v>0</v>
      </c>
    </row>
    <row r="183" spans="1:6" ht="27.75" hidden="1" customHeight="1" x14ac:dyDescent="0.25">
      <c r="A183" s="386"/>
      <c r="B183" s="387"/>
      <c r="C183" s="387"/>
      <c r="D183" s="388"/>
      <c r="E183" s="389">
        <f t="shared" si="5"/>
        <v>0</v>
      </c>
    </row>
    <row r="184" spans="1:6" ht="27.75" hidden="1" customHeight="1" x14ac:dyDescent="0.25">
      <c r="A184" s="386"/>
      <c r="B184" s="387"/>
      <c r="C184" s="387"/>
      <c r="D184" s="388"/>
      <c r="E184" s="389">
        <f t="shared" si="5"/>
        <v>0</v>
      </c>
    </row>
    <row r="185" spans="1:6" ht="27.75" hidden="1" customHeight="1" x14ac:dyDescent="0.25">
      <c r="A185" s="390"/>
      <c r="B185" s="391"/>
      <c r="C185" s="391"/>
      <c r="D185" s="392"/>
      <c r="E185" s="393">
        <f t="shared" si="5"/>
        <v>0</v>
      </c>
    </row>
    <row r="186" spans="1:6" ht="18" customHeight="1" x14ac:dyDescent="0.25">
      <c r="A186" s="1067" t="s">
        <v>446</v>
      </c>
      <c r="B186" s="1067"/>
      <c r="C186" s="1067"/>
      <c r="D186" s="1067"/>
      <c r="E186" s="395">
        <f>SUM(E13:E185)</f>
        <v>0</v>
      </c>
    </row>
    <row r="187" spans="1:6" ht="18" customHeight="1" x14ac:dyDescent="0.25">
      <c r="A187" s="1068" t="s">
        <v>399</v>
      </c>
      <c r="B187" s="1068"/>
      <c r="C187" s="1068"/>
      <c r="D187" s="397">
        <v>0.19</v>
      </c>
      <c r="E187" s="398">
        <f>E186*19%</f>
        <v>0</v>
      </c>
      <c r="F187" s="132" t="s">
        <v>400</v>
      </c>
    </row>
    <row r="188" spans="1:6" ht="18" customHeight="1" x14ac:dyDescent="0.25">
      <c r="A188" s="1069" t="s">
        <v>447</v>
      </c>
      <c r="B188" s="1069"/>
      <c r="C188" s="1069"/>
      <c r="D188" s="1069"/>
      <c r="E188" s="399">
        <f>E186+E187</f>
        <v>0</v>
      </c>
    </row>
    <row r="189" spans="1:6" ht="18" customHeight="1" x14ac:dyDescent="0.25">
      <c r="A189" s="1070"/>
      <c r="B189" s="1070"/>
      <c r="C189" s="1070"/>
      <c r="D189" s="1070"/>
      <c r="E189" s="1070"/>
    </row>
  </sheetData>
  <sheetProtection algorithmName="SHA-512" hashValue="lF89qrfTfggmuzrjJvEUEDsOpvVYfy1ZGyItX94778r4naptDp4ZuHaQFK+D8kIQYWcah9XCZtSjkdVUeXaGxA==" saltValue="za77noAojCw1bqV936kwng==" spinCount="100000" sheet="1" formatCells="0" formatColumns="0" formatRows="0" insertRows="0" autoFilter="0" pivotTables="0"/>
  <mergeCells count="12">
    <mergeCell ref="A188:D188"/>
    <mergeCell ref="A189:E189"/>
    <mergeCell ref="B8:E8"/>
    <mergeCell ref="B9:E9"/>
    <mergeCell ref="B10:E10"/>
    <mergeCell ref="A186:D186"/>
    <mergeCell ref="A187:C187"/>
    <mergeCell ref="B1:F1"/>
    <mergeCell ref="B2:F2"/>
    <mergeCell ref="B5:E5"/>
    <mergeCell ref="B6:E6"/>
    <mergeCell ref="A7:E7"/>
  </mergeCells>
  <hyperlinks>
    <hyperlink ref="F187" location="IVA!A1" display="Info IVA" xr:uid="{00000000-0004-0000-06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245"/>
  <sheetViews>
    <sheetView showGridLines="0" zoomScale="90" zoomScaleNormal="90" workbookViewId="0">
      <selection activeCell="B2" sqref="B2"/>
    </sheetView>
  </sheetViews>
  <sheetFormatPr baseColWidth="10" defaultColWidth="11.33203125" defaultRowHeight="18" customHeight="1" x14ac:dyDescent="0.25"/>
  <cols>
    <col min="1" max="1" width="28" style="375" customWidth="1"/>
    <col min="2" max="2" width="11.77734375" style="375" customWidth="1"/>
    <col min="3" max="3" width="12.77734375" style="375" customWidth="1"/>
    <col min="4" max="4" width="14.77734375" style="375" customWidth="1"/>
    <col min="5" max="5" width="21.109375" style="375" customWidth="1"/>
    <col min="6" max="6" width="18.33203125" style="401" customWidth="1"/>
    <col min="7" max="7" width="22" style="402" customWidth="1"/>
    <col min="8" max="11" width="18.77734375" style="403" customWidth="1"/>
    <col min="12" max="12" width="14.6640625" style="140" customWidth="1"/>
    <col min="13" max="16384" width="11.33203125" style="140"/>
  </cols>
  <sheetData>
    <row r="1" spans="1:11" s="15" customFormat="1" ht="39" customHeight="1" x14ac:dyDescent="0.25">
      <c r="B1" s="14" t="str">
        <f>Instructivo!F1</f>
        <v>Sistema de Gestión Integral (SGI)
Instructivo - Componente Financiero EP
Código: F-PGC-21. Versión: 05</v>
      </c>
      <c r="C1" s="14"/>
      <c r="D1" s="14"/>
      <c r="E1" s="14"/>
      <c r="F1" s="14"/>
      <c r="H1" s="132" t="s">
        <v>102</v>
      </c>
      <c r="J1" s="404"/>
      <c r="K1" s="404"/>
    </row>
    <row r="2" spans="1:11" s="15" customFormat="1" ht="18" customHeight="1" x14ac:dyDescent="0.25">
      <c r="B2" s="13" t="s">
        <v>448</v>
      </c>
      <c r="C2" s="13"/>
      <c r="D2" s="13"/>
      <c r="E2" s="13"/>
      <c r="F2" s="13"/>
      <c r="G2" s="378"/>
      <c r="H2" s="378"/>
      <c r="I2" s="378"/>
      <c r="J2" s="378"/>
      <c r="K2" s="378"/>
    </row>
    <row r="3" spans="1:11" ht="7.5" customHeight="1" x14ac:dyDescent="0.25"/>
    <row r="4" spans="1:11" ht="7.5" customHeight="1" x14ac:dyDescent="0.25">
      <c r="A4" s="405"/>
      <c r="B4" s="405"/>
      <c r="C4" s="405"/>
      <c r="D4" s="136"/>
      <c r="E4" s="136"/>
      <c r="F4" s="136"/>
      <c r="G4" s="136"/>
      <c r="H4" s="136"/>
      <c r="I4" s="136"/>
      <c r="J4" s="136"/>
      <c r="K4" s="136"/>
    </row>
    <row r="5" spans="1:11" ht="18" customHeight="1" x14ac:dyDescent="0.25">
      <c r="A5" s="1071" t="s">
        <v>104</v>
      </c>
      <c r="B5" s="1071"/>
      <c r="C5" s="1071"/>
      <c r="D5" s="1071"/>
      <c r="E5" s="1071"/>
      <c r="F5" s="1011">
        <f>'Plan Ejecución'!AE4</f>
        <v>0</v>
      </c>
      <c r="G5" s="1011"/>
      <c r="H5" s="1011"/>
      <c r="I5" s="1011"/>
      <c r="J5" s="1011"/>
      <c r="K5" s="1011"/>
    </row>
    <row r="6" spans="1:11" ht="37.5" customHeight="1" x14ac:dyDescent="0.25">
      <c r="A6" s="1071" t="s">
        <v>105</v>
      </c>
      <c r="B6" s="1071"/>
      <c r="C6" s="1071"/>
      <c r="D6" s="1071"/>
      <c r="E6" s="1071"/>
      <c r="F6" s="1065">
        <f>'Plan Ejecución'!AE5</f>
        <v>0</v>
      </c>
      <c r="G6" s="1065"/>
      <c r="H6" s="1065"/>
      <c r="I6" s="1065"/>
      <c r="J6" s="1065"/>
      <c r="K6" s="1065"/>
    </row>
    <row r="7" spans="1:11" s="136" customFormat="1" ht="18" customHeight="1" x14ac:dyDescent="0.25">
      <c r="A7" s="135"/>
      <c r="B7" s="135"/>
      <c r="C7" s="135"/>
      <c r="D7" s="135"/>
      <c r="E7" s="135"/>
      <c r="F7" s="140"/>
      <c r="G7" s="140"/>
      <c r="H7" s="403"/>
      <c r="I7" s="403"/>
      <c r="J7" s="403"/>
      <c r="K7" s="403"/>
    </row>
    <row r="8" spans="1:11" s="136" customFormat="1" ht="18" customHeight="1" x14ac:dyDescent="0.25">
      <c r="A8" s="1031" t="s">
        <v>441</v>
      </c>
      <c r="B8" s="1031"/>
      <c r="C8" s="1031"/>
      <c r="D8" s="1031"/>
      <c r="E8" s="1031"/>
      <c r="F8" s="11"/>
      <c r="G8" s="11"/>
      <c r="H8" s="11"/>
      <c r="I8" s="11"/>
      <c r="J8" s="11"/>
      <c r="K8" s="11"/>
    </row>
    <row r="9" spans="1:11" s="136" customFormat="1" ht="18" customHeight="1" x14ac:dyDescent="0.25">
      <c r="A9" s="1031" t="s">
        <v>442</v>
      </c>
      <c r="B9" s="1031"/>
      <c r="C9" s="1031"/>
      <c r="D9" s="1031"/>
      <c r="E9" s="1031"/>
      <c r="F9" s="11"/>
      <c r="G9" s="11"/>
      <c r="H9" s="11"/>
      <c r="I9" s="11"/>
      <c r="J9" s="11"/>
      <c r="K9" s="11"/>
    </row>
    <row r="10" spans="1:11" ht="45" customHeight="1" x14ac:dyDescent="0.25">
      <c r="A10" s="1031" t="s">
        <v>443</v>
      </c>
      <c r="B10" s="1031"/>
      <c r="C10" s="1031"/>
      <c r="D10" s="1031"/>
      <c r="E10" s="1031"/>
      <c r="F10" s="11"/>
      <c r="G10" s="11"/>
      <c r="H10" s="11"/>
      <c r="I10" s="11"/>
      <c r="J10" s="11"/>
      <c r="K10" s="11"/>
    </row>
    <row r="11" spans="1:11" ht="18" customHeight="1" x14ac:dyDescent="0.25">
      <c r="A11" s="406"/>
      <c r="B11" s="407"/>
      <c r="C11" s="407"/>
      <c r="D11" s="407"/>
      <c r="E11" s="407"/>
      <c r="F11" s="407"/>
      <c r="G11" s="408"/>
    </row>
    <row r="12" spans="1:11" ht="18" customHeight="1" x14ac:dyDescent="0.25">
      <c r="A12" s="1072" t="s">
        <v>449</v>
      </c>
      <c r="B12" s="1072"/>
      <c r="C12" s="1072"/>
      <c r="D12" s="1072"/>
      <c r="E12" s="1072"/>
      <c r="F12" s="1072"/>
      <c r="G12" s="1072"/>
      <c r="H12" s="1073" t="s">
        <v>422</v>
      </c>
      <c r="I12" s="1073"/>
      <c r="J12" s="1073"/>
      <c r="K12" s="1073"/>
    </row>
    <row r="13" spans="1:11" ht="18" customHeight="1" x14ac:dyDescent="0.25">
      <c r="A13" s="1072"/>
      <c r="B13" s="1072"/>
      <c r="C13" s="1072"/>
      <c r="D13" s="1072"/>
      <c r="E13" s="1072"/>
      <c r="F13" s="1072"/>
      <c r="G13" s="1072"/>
      <c r="H13" s="1073" t="s">
        <v>424</v>
      </c>
      <c r="I13" s="1073"/>
      <c r="J13" s="1073" t="s">
        <v>425</v>
      </c>
      <c r="K13" s="1073"/>
    </row>
    <row r="14" spans="1:11" ht="31.5" customHeight="1" x14ac:dyDescent="0.25">
      <c r="A14" s="308" t="s">
        <v>380</v>
      </c>
      <c r="B14" s="308" t="s">
        <v>381</v>
      </c>
      <c r="C14" s="308" t="s">
        <v>382</v>
      </c>
      <c r="D14" s="308" t="s">
        <v>113</v>
      </c>
      <c r="E14" s="308" t="s">
        <v>383</v>
      </c>
      <c r="F14" s="410" t="s">
        <v>384</v>
      </c>
      <c r="G14" s="411" t="s">
        <v>445</v>
      </c>
      <c r="H14" s="409" t="s">
        <v>426</v>
      </c>
      <c r="I14" s="409" t="s">
        <v>427</v>
      </c>
      <c r="J14" s="409" t="s">
        <v>426</v>
      </c>
      <c r="K14" s="409" t="s">
        <v>427</v>
      </c>
    </row>
    <row r="15" spans="1:11" ht="18" customHeight="1" x14ac:dyDescent="0.25">
      <c r="A15" s="1074" t="s">
        <v>378</v>
      </c>
      <c r="B15" s="1074"/>
      <c r="C15" s="1074"/>
      <c r="D15" s="1074"/>
      <c r="E15" s="1074"/>
      <c r="F15" s="1074"/>
      <c r="G15" s="1074"/>
      <c r="H15" s="1074"/>
      <c r="I15" s="1074"/>
      <c r="J15" s="1074"/>
      <c r="K15" s="1074"/>
    </row>
    <row r="16" spans="1:11" ht="18" customHeight="1" x14ac:dyDescent="0.25">
      <c r="A16" s="412"/>
      <c r="B16" s="412"/>
      <c r="C16" s="413"/>
      <c r="D16" s="412"/>
      <c r="E16" s="412"/>
      <c r="F16" s="414"/>
      <c r="G16" s="414">
        <f t="shared" ref="G16:G40" si="0">B16*C16*E16*F16</f>
        <v>0</v>
      </c>
      <c r="H16" s="102"/>
      <c r="I16" s="102"/>
      <c r="J16" s="102"/>
      <c r="K16" s="102"/>
    </row>
    <row r="17" spans="1:11" ht="18" customHeight="1" x14ac:dyDescent="0.25">
      <c r="A17" s="412"/>
      <c r="B17" s="412"/>
      <c r="C17" s="413"/>
      <c r="D17" s="412"/>
      <c r="E17" s="412"/>
      <c r="F17" s="414"/>
      <c r="G17" s="414">
        <f t="shared" si="0"/>
        <v>0</v>
      </c>
      <c r="H17" s="102"/>
      <c r="I17" s="102"/>
      <c r="J17" s="102"/>
      <c r="K17" s="102"/>
    </row>
    <row r="18" spans="1:11" ht="18" customHeight="1" x14ac:dyDescent="0.25">
      <c r="A18" s="415"/>
      <c r="B18" s="415"/>
      <c r="C18" s="413"/>
      <c r="D18" s="415"/>
      <c r="E18" s="415"/>
      <c r="F18" s="414"/>
      <c r="G18" s="414">
        <f t="shared" si="0"/>
        <v>0</v>
      </c>
      <c r="H18" s="102"/>
      <c r="I18" s="102"/>
      <c r="J18" s="102"/>
      <c r="K18" s="102"/>
    </row>
    <row r="19" spans="1:11" ht="18" customHeight="1" x14ac:dyDescent="0.25">
      <c r="A19" s="415"/>
      <c r="B19" s="415"/>
      <c r="C19" s="413"/>
      <c r="D19" s="415"/>
      <c r="E19" s="415"/>
      <c r="F19" s="414"/>
      <c r="G19" s="414">
        <f t="shared" si="0"/>
        <v>0</v>
      </c>
      <c r="H19" s="102"/>
      <c r="I19" s="102"/>
      <c r="J19" s="102"/>
      <c r="K19" s="102"/>
    </row>
    <row r="20" spans="1:11" ht="18" customHeight="1" x14ac:dyDescent="0.25">
      <c r="A20" s="415"/>
      <c r="B20" s="415"/>
      <c r="C20" s="413"/>
      <c r="D20" s="415"/>
      <c r="E20" s="415"/>
      <c r="F20" s="414"/>
      <c r="G20" s="414">
        <f t="shared" si="0"/>
        <v>0</v>
      </c>
      <c r="H20" s="102"/>
      <c r="I20" s="102"/>
      <c r="J20" s="102"/>
      <c r="K20" s="102"/>
    </row>
    <row r="21" spans="1:11" ht="18" hidden="1" customHeight="1" x14ac:dyDescent="0.25">
      <c r="A21" s="415"/>
      <c r="B21" s="415"/>
      <c r="C21" s="413"/>
      <c r="D21" s="415"/>
      <c r="E21" s="415"/>
      <c r="F21" s="414"/>
      <c r="G21" s="414">
        <f t="shared" si="0"/>
        <v>0</v>
      </c>
      <c r="H21" s="102"/>
      <c r="I21" s="102"/>
      <c r="J21" s="102"/>
      <c r="K21" s="102"/>
    </row>
    <row r="22" spans="1:11" ht="18" hidden="1" customHeight="1" x14ac:dyDescent="0.25">
      <c r="A22" s="415"/>
      <c r="B22" s="415"/>
      <c r="C22" s="413"/>
      <c r="D22" s="415"/>
      <c r="E22" s="415"/>
      <c r="F22" s="414"/>
      <c r="G22" s="414">
        <f t="shared" si="0"/>
        <v>0</v>
      </c>
      <c r="H22" s="102"/>
      <c r="I22" s="102"/>
      <c r="J22" s="102"/>
      <c r="K22" s="102"/>
    </row>
    <row r="23" spans="1:11" ht="18" hidden="1" customHeight="1" x14ac:dyDescent="0.25">
      <c r="A23" s="415"/>
      <c r="B23" s="415"/>
      <c r="C23" s="413"/>
      <c r="D23" s="415"/>
      <c r="E23" s="415"/>
      <c r="F23" s="414"/>
      <c r="G23" s="414">
        <f t="shared" si="0"/>
        <v>0</v>
      </c>
      <c r="H23" s="102"/>
      <c r="I23" s="102"/>
      <c r="J23" s="102"/>
      <c r="K23" s="102"/>
    </row>
    <row r="24" spans="1:11" ht="18" hidden="1" customHeight="1" x14ac:dyDescent="0.25">
      <c r="A24" s="415"/>
      <c r="B24" s="415"/>
      <c r="C24" s="413"/>
      <c r="D24" s="415"/>
      <c r="E24" s="415"/>
      <c r="F24" s="414"/>
      <c r="G24" s="414">
        <f t="shared" si="0"/>
        <v>0</v>
      </c>
      <c r="H24" s="102"/>
      <c r="I24" s="102"/>
      <c r="J24" s="102"/>
      <c r="K24" s="102"/>
    </row>
    <row r="25" spans="1:11" ht="18" hidden="1" customHeight="1" x14ac:dyDescent="0.25">
      <c r="A25" s="415"/>
      <c r="B25" s="415"/>
      <c r="C25" s="413"/>
      <c r="D25" s="415"/>
      <c r="E25" s="415"/>
      <c r="F25" s="414"/>
      <c r="G25" s="414">
        <f t="shared" si="0"/>
        <v>0</v>
      </c>
      <c r="H25" s="102"/>
      <c r="I25" s="102"/>
      <c r="J25" s="102"/>
      <c r="K25" s="102"/>
    </row>
    <row r="26" spans="1:11" ht="18" hidden="1" customHeight="1" x14ac:dyDescent="0.25">
      <c r="A26" s="415"/>
      <c r="B26" s="415"/>
      <c r="C26" s="413"/>
      <c r="D26" s="415"/>
      <c r="E26" s="415"/>
      <c r="F26" s="414"/>
      <c r="G26" s="414">
        <f t="shared" si="0"/>
        <v>0</v>
      </c>
      <c r="H26" s="102"/>
      <c r="I26" s="102"/>
      <c r="J26" s="102"/>
      <c r="K26" s="102"/>
    </row>
    <row r="27" spans="1:11" ht="18" hidden="1" customHeight="1" x14ac:dyDescent="0.25">
      <c r="A27" s="415"/>
      <c r="B27" s="415"/>
      <c r="C27" s="413"/>
      <c r="D27" s="415"/>
      <c r="E27" s="415"/>
      <c r="F27" s="414"/>
      <c r="G27" s="414">
        <f t="shared" si="0"/>
        <v>0</v>
      </c>
      <c r="H27" s="102"/>
      <c r="I27" s="102"/>
      <c r="J27" s="102"/>
      <c r="K27" s="102"/>
    </row>
    <row r="28" spans="1:11" ht="18" hidden="1" customHeight="1" x14ac:dyDescent="0.25">
      <c r="A28" s="415"/>
      <c r="B28" s="415"/>
      <c r="C28" s="413"/>
      <c r="D28" s="415"/>
      <c r="E28" s="415"/>
      <c r="F28" s="414"/>
      <c r="G28" s="414">
        <f t="shared" si="0"/>
        <v>0</v>
      </c>
      <c r="H28" s="102"/>
      <c r="I28" s="102"/>
      <c r="J28" s="102"/>
      <c r="K28" s="102"/>
    </row>
    <row r="29" spans="1:11" ht="18" hidden="1" customHeight="1" x14ac:dyDescent="0.25">
      <c r="A29" s="415"/>
      <c r="B29" s="415"/>
      <c r="C29" s="413"/>
      <c r="D29" s="415"/>
      <c r="E29" s="415"/>
      <c r="F29" s="414"/>
      <c r="G29" s="414">
        <f t="shared" si="0"/>
        <v>0</v>
      </c>
      <c r="H29" s="102"/>
      <c r="I29" s="102"/>
      <c r="J29" s="102"/>
      <c r="K29" s="102"/>
    </row>
    <row r="30" spans="1:11" ht="18" hidden="1" customHeight="1" x14ac:dyDescent="0.25">
      <c r="A30" s="415"/>
      <c r="B30" s="415"/>
      <c r="C30" s="413"/>
      <c r="D30" s="415"/>
      <c r="E30" s="415"/>
      <c r="F30" s="414"/>
      <c r="G30" s="414">
        <f t="shared" si="0"/>
        <v>0</v>
      </c>
      <c r="H30" s="102"/>
      <c r="I30" s="102"/>
      <c r="J30" s="102"/>
      <c r="K30" s="102"/>
    </row>
    <row r="31" spans="1:11" ht="18" hidden="1" customHeight="1" x14ac:dyDescent="0.25">
      <c r="A31" s="415"/>
      <c r="B31" s="415"/>
      <c r="C31" s="413"/>
      <c r="D31" s="415"/>
      <c r="E31" s="415"/>
      <c r="F31" s="414"/>
      <c r="G31" s="414">
        <f t="shared" si="0"/>
        <v>0</v>
      </c>
      <c r="H31" s="102"/>
      <c r="I31" s="102"/>
      <c r="J31" s="102"/>
      <c r="K31" s="102"/>
    </row>
    <row r="32" spans="1:11" ht="18" hidden="1" customHeight="1" x14ac:dyDescent="0.25">
      <c r="A32" s="415"/>
      <c r="B32" s="415"/>
      <c r="C32" s="413"/>
      <c r="D32" s="415"/>
      <c r="E32" s="415"/>
      <c r="F32" s="414"/>
      <c r="G32" s="414">
        <f t="shared" si="0"/>
        <v>0</v>
      </c>
      <c r="H32" s="102"/>
      <c r="I32" s="102"/>
      <c r="J32" s="102"/>
      <c r="K32" s="102"/>
    </row>
    <row r="33" spans="1:11" ht="18" hidden="1" customHeight="1" x14ac:dyDescent="0.25">
      <c r="A33" s="415"/>
      <c r="B33" s="415"/>
      <c r="C33" s="413"/>
      <c r="D33" s="415"/>
      <c r="E33" s="415"/>
      <c r="F33" s="414"/>
      <c r="G33" s="414">
        <f t="shared" si="0"/>
        <v>0</v>
      </c>
      <c r="H33" s="102"/>
      <c r="I33" s="102"/>
      <c r="J33" s="102"/>
      <c r="K33" s="102"/>
    </row>
    <row r="34" spans="1:11" ht="18" hidden="1" customHeight="1" x14ac:dyDescent="0.25">
      <c r="A34" s="415"/>
      <c r="B34" s="415"/>
      <c r="C34" s="413"/>
      <c r="D34" s="415"/>
      <c r="E34" s="415"/>
      <c r="F34" s="414"/>
      <c r="G34" s="414">
        <f t="shared" si="0"/>
        <v>0</v>
      </c>
      <c r="H34" s="102"/>
      <c r="I34" s="102"/>
      <c r="J34" s="102"/>
      <c r="K34" s="102"/>
    </row>
    <row r="35" spans="1:11" ht="18" hidden="1" customHeight="1" x14ac:dyDescent="0.25">
      <c r="A35" s="415"/>
      <c r="B35" s="415"/>
      <c r="C35" s="413"/>
      <c r="D35" s="415"/>
      <c r="E35" s="415"/>
      <c r="F35" s="414"/>
      <c r="G35" s="414">
        <f t="shared" si="0"/>
        <v>0</v>
      </c>
      <c r="H35" s="102"/>
      <c r="I35" s="102"/>
      <c r="J35" s="102"/>
      <c r="K35" s="102"/>
    </row>
    <row r="36" spans="1:11" ht="18" hidden="1" customHeight="1" x14ac:dyDescent="0.25">
      <c r="A36" s="415"/>
      <c r="B36" s="415"/>
      <c r="C36" s="413"/>
      <c r="D36" s="415"/>
      <c r="E36" s="415"/>
      <c r="F36" s="414"/>
      <c r="G36" s="414">
        <f t="shared" si="0"/>
        <v>0</v>
      </c>
      <c r="H36" s="102"/>
      <c r="I36" s="102"/>
      <c r="J36" s="102"/>
      <c r="K36" s="102"/>
    </row>
    <row r="37" spans="1:11" ht="18" hidden="1" customHeight="1" x14ac:dyDescent="0.25">
      <c r="A37" s="415"/>
      <c r="B37" s="415"/>
      <c r="C37" s="413"/>
      <c r="D37" s="415"/>
      <c r="E37" s="415"/>
      <c r="F37" s="414"/>
      <c r="G37" s="414">
        <f t="shared" si="0"/>
        <v>0</v>
      </c>
      <c r="H37" s="102"/>
      <c r="I37" s="102"/>
      <c r="J37" s="102"/>
      <c r="K37" s="102"/>
    </row>
    <row r="38" spans="1:11" ht="18" hidden="1" customHeight="1" x14ac:dyDescent="0.25">
      <c r="A38" s="415"/>
      <c r="B38" s="415"/>
      <c r="C38" s="413"/>
      <c r="D38" s="415"/>
      <c r="E38" s="415"/>
      <c r="F38" s="414"/>
      <c r="G38" s="414">
        <f t="shared" si="0"/>
        <v>0</v>
      </c>
      <c r="H38" s="102"/>
      <c r="I38" s="102"/>
      <c r="J38" s="102"/>
      <c r="K38" s="102"/>
    </row>
    <row r="39" spans="1:11" ht="18" hidden="1" customHeight="1" x14ac:dyDescent="0.25">
      <c r="A39" s="415"/>
      <c r="B39" s="415"/>
      <c r="C39" s="413"/>
      <c r="D39" s="415"/>
      <c r="E39" s="415"/>
      <c r="F39" s="414"/>
      <c r="G39" s="414">
        <f t="shared" si="0"/>
        <v>0</v>
      </c>
      <c r="H39" s="102"/>
      <c r="I39" s="102"/>
      <c r="J39" s="102"/>
      <c r="K39" s="102"/>
    </row>
    <row r="40" spans="1:11" ht="18" hidden="1" customHeight="1" x14ac:dyDescent="0.25">
      <c r="A40" s="415"/>
      <c r="B40" s="415"/>
      <c r="C40" s="413"/>
      <c r="D40" s="415"/>
      <c r="E40" s="415"/>
      <c r="F40" s="414"/>
      <c r="G40" s="414">
        <f t="shared" si="0"/>
        <v>0</v>
      </c>
      <c r="H40" s="102"/>
      <c r="I40" s="102"/>
      <c r="J40" s="102"/>
      <c r="K40" s="102"/>
    </row>
    <row r="41" spans="1:11" ht="18" customHeight="1" x14ac:dyDescent="0.25">
      <c r="A41" s="1075" t="s">
        <v>450</v>
      </c>
      <c r="B41" s="1075"/>
      <c r="C41" s="1075"/>
      <c r="D41" s="1075"/>
      <c r="E41" s="1075"/>
      <c r="F41" s="1075"/>
      <c r="G41" s="416">
        <f>SUM(G16:G40)</f>
        <v>0</v>
      </c>
      <c r="H41" s="416">
        <f>SUM(H16:H40)</f>
        <v>0</v>
      </c>
      <c r="I41" s="416">
        <f>SUM(I16:I40)</f>
        <v>0</v>
      </c>
      <c r="J41" s="416">
        <f>SUM(J16:J40)</f>
        <v>0</v>
      </c>
      <c r="K41" s="416">
        <f>SUM(K16:K40)</f>
        <v>0</v>
      </c>
    </row>
    <row r="42" spans="1:11" ht="27" customHeight="1" x14ac:dyDescent="0.25">
      <c r="A42" s="1045" t="s">
        <v>380</v>
      </c>
      <c r="B42" s="1045"/>
      <c r="C42" s="1045"/>
      <c r="D42" s="333" t="s">
        <v>113</v>
      </c>
      <c r="E42" s="333" t="s">
        <v>383</v>
      </c>
      <c r="F42" s="333" t="s">
        <v>393</v>
      </c>
      <c r="G42" s="411" t="s">
        <v>451</v>
      </c>
      <c r="H42" s="409" t="s">
        <v>426</v>
      </c>
      <c r="I42" s="409" t="s">
        <v>427</v>
      </c>
      <c r="J42" s="409" t="s">
        <v>426</v>
      </c>
      <c r="K42" s="409" t="s">
        <v>427</v>
      </c>
    </row>
    <row r="43" spans="1:11" ht="18" customHeight="1" x14ac:dyDescent="0.25">
      <c r="A43" s="1074" t="s">
        <v>452</v>
      </c>
      <c r="B43" s="1074"/>
      <c r="C43" s="1074"/>
      <c r="D43" s="1074"/>
      <c r="E43" s="1074"/>
      <c r="F43" s="1074"/>
      <c r="G43" s="1074"/>
      <c r="H43" s="1074"/>
      <c r="I43" s="1074"/>
      <c r="J43" s="1074"/>
      <c r="K43" s="1074"/>
    </row>
    <row r="44" spans="1:11" ht="18" customHeight="1" x14ac:dyDescent="0.25">
      <c r="A44" s="1076"/>
      <c r="B44" s="1076"/>
      <c r="C44" s="1076"/>
      <c r="D44" s="412"/>
      <c r="E44" s="412"/>
      <c r="F44" s="414"/>
      <c r="G44" s="417">
        <f t="shared" ref="G44:G75" si="1">E44*F44</f>
        <v>0</v>
      </c>
      <c r="H44" s="102"/>
      <c r="I44" s="102"/>
      <c r="J44" s="102"/>
      <c r="K44" s="102"/>
    </row>
    <row r="45" spans="1:11" ht="18" customHeight="1" x14ac:dyDescent="0.25">
      <c r="A45" s="1076"/>
      <c r="B45" s="1076"/>
      <c r="C45" s="1076"/>
      <c r="D45" s="412"/>
      <c r="E45" s="412"/>
      <c r="F45" s="414"/>
      <c r="G45" s="417">
        <f t="shared" si="1"/>
        <v>0</v>
      </c>
      <c r="H45" s="102"/>
      <c r="I45" s="102"/>
      <c r="J45" s="102"/>
      <c r="K45" s="102"/>
    </row>
    <row r="46" spans="1:11" ht="18" customHeight="1" x14ac:dyDescent="0.25">
      <c r="A46" s="1076"/>
      <c r="B46" s="1076"/>
      <c r="C46" s="1076"/>
      <c r="D46" s="412"/>
      <c r="E46" s="412"/>
      <c r="F46" s="414"/>
      <c r="G46" s="417">
        <f t="shared" si="1"/>
        <v>0</v>
      </c>
      <c r="H46" s="102"/>
      <c r="I46" s="102"/>
      <c r="J46" s="102"/>
      <c r="K46" s="102"/>
    </row>
    <row r="47" spans="1:11" ht="18" customHeight="1" x14ac:dyDescent="0.25">
      <c r="A47" s="1076"/>
      <c r="B47" s="1076"/>
      <c r="C47" s="1076"/>
      <c r="D47" s="412"/>
      <c r="E47" s="412"/>
      <c r="F47" s="414"/>
      <c r="G47" s="417">
        <f t="shared" si="1"/>
        <v>0</v>
      </c>
      <c r="H47" s="102"/>
      <c r="I47" s="102"/>
      <c r="J47" s="102"/>
      <c r="K47" s="102"/>
    </row>
    <row r="48" spans="1:11" ht="18" customHeight="1" x14ac:dyDescent="0.25">
      <c r="A48" s="1076"/>
      <c r="B48" s="1076"/>
      <c r="C48" s="1076"/>
      <c r="D48" s="412"/>
      <c r="E48" s="412"/>
      <c r="F48" s="414"/>
      <c r="G48" s="417">
        <f t="shared" si="1"/>
        <v>0</v>
      </c>
      <c r="H48" s="102"/>
      <c r="I48" s="102"/>
      <c r="J48" s="102"/>
      <c r="K48" s="102"/>
    </row>
    <row r="49" spans="1:11" ht="18" hidden="1" customHeight="1" x14ac:dyDescent="0.25">
      <c r="A49" s="1076"/>
      <c r="B49" s="1076"/>
      <c r="C49" s="1076"/>
      <c r="D49" s="412"/>
      <c r="E49" s="412"/>
      <c r="F49" s="414"/>
      <c r="G49" s="417">
        <f t="shared" si="1"/>
        <v>0</v>
      </c>
      <c r="H49" s="102"/>
      <c r="I49" s="102"/>
      <c r="J49" s="102"/>
      <c r="K49" s="102"/>
    </row>
    <row r="50" spans="1:11" ht="18" hidden="1" customHeight="1" x14ac:dyDescent="0.25">
      <c r="A50" s="1076"/>
      <c r="B50" s="1076"/>
      <c r="C50" s="1076"/>
      <c r="D50" s="412"/>
      <c r="E50" s="412"/>
      <c r="F50" s="414"/>
      <c r="G50" s="417">
        <f t="shared" si="1"/>
        <v>0</v>
      </c>
      <c r="H50" s="102"/>
      <c r="I50" s="102"/>
      <c r="J50" s="102"/>
      <c r="K50" s="102"/>
    </row>
    <row r="51" spans="1:11" ht="18" hidden="1" customHeight="1" x14ac:dyDescent="0.25">
      <c r="A51" s="1076"/>
      <c r="B51" s="1076"/>
      <c r="C51" s="1076"/>
      <c r="D51" s="412"/>
      <c r="E51" s="412"/>
      <c r="F51" s="414"/>
      <c r="G51" s="417">
        <f t="shared" si="1"/>
        <v>0</v>
      </c>
      <c r="H51" s="102"/>
      <c r="I51" s="102"/>
      <c r="J51" s="102"/>
      <c r="K51" s="102"/>
    </row>
    <row r="52" spans="1:11" ht="18" hidden="1" customHeight="1" x14ac:dyDescent="0.25">
      <c r="A52" s="1076"/>
      <c r="B52" s="1076"/>
      <c r="C52" s="1076"/>
      <c r="D52" s="412"/>
      <c r="E52" s="412"/>
      <c r="F52" s="414"/>
      <c r="G52" s="417">
        <f t="shared" si="1"/>
        <v>0</v>
      </c>
      <c r="H52" s="102"/>
      <c r="I52" s="102"/>
      <c r="J52" s="102"/>
      <c r="K52" s="102"/>
    </row>
    <row r="53" spans="1:11" ht="18" hidden="1" customHeight="1" x14ac:dyDescent="0.25">
      <c r="A53" s="1076"/>
      <c r="B53" s="1076"/>
      <c r="C53" s="1076"/>
      <c r="D53" s="412"/>
      <c r="E53" s="412"/>
      <c r="F53" s="414"/>
      <c r="G53" s="417">
        <f t="shared" si="1"/>
        <v>0</v>
      </c>
      <c r="H53" s="102"/>
      <c r="I53" s="102"/>
      <c r="J53" s="102"/>
      <c r="K53" s="102"/>
    </row>
    <row r="54" spans="1:11" ht="18" hidden="1" customHeight="1" x14ac:dyDescent="0.25">
      <c r="A54" s="1076"/>
      <c r="B54" s="1076"/>
      <c r="C54" s="1076"/>
      <c r="D54" s="412"/>
      <c r="E54" s="412"/>
      <c r="F54" s="414"/>
      <c r="G54" s="417">
        <f t="shared" si="1"/>
        <v>0</v>
      </c>
      <c r="H54" s="102"/>
      <c r="I54" s="102"/>
      <c r="J54" s="102"/>
      <c r="K54" s="102"/>
    </row>
    <row r="55" spans="1:11" ht="18" hidden="1" customHeight="1" x14ac:dyDescent="0.25">
      <c r="A55" s="1076"/>
      <c r="B55" s="1076"/>
      <c r="C55" s="1076"/>
      <c r="D55" s="412"/>
      <c r="E55" s="412"/>
      <c r="F55" s="414"/>
      <c r="G55" s="417">
        <f t="shared" si="1"/>
        <v>0</v>
      </c>
      <c r="H55" s="102"/>
      <c r="I55" s="102"/>
      <c r="J55" s="102"/>
      <c r="K55" s="102"/>
    </row>
    <row r="56" spans="1:11" ht="18" hidden="1" customHeight="1" x14ac:dyDescent="0.25">
      <c r="A56" s="1076"/>
      <c r="B56" s="1076"/>
      <c r="C56" s="1076"/>
      <c r="D56" s="412"/>
      <c r="E56" s="412"/>
      <c r="F56" s="414"/>
      <c r="G56" s="417">
        <f t="shared" si="1"/>
        <v>0</v>
      </c>
      <c r="H56" s="102"/>
      <c r="I56" s="102"/>
      <c r="J56" s="102"/>
      <c r="K56" s="102"/>
    </row>
    <row r="57" spans="1:11" ht="18" hidden="1" customHeight="1" x14ac:dyDescent="0.25">
      <c r="A57" s="1076"/>
      <c r="B57" s="1076"/>
      <c r="C57" s="1076"/>
      <c r="D57" s="412"/>
      <c r="E57" s="412"/>
      <c r="F57" s="414"/>
      <c r="G57" s="417">
        <f t="shared" si="1"/>
        <v>0</v>
      </c>
      <c r="H57" s="102"/>
      <c r="I57" s="102"/>
      <c r="J57" s="102"/>
      <c r="K57" s="102"/>
    </row>
    <row r="58" spans="1:11" ht="18" hidden="1" customHeight="1" x14ac:dyDescent="0.25">
      <c r="A58" s="1076"/>
      <c r="B58" s="1076"/>
      <c r="C58" s="1076"/>
      <c r="D58" s="412"/>
      <c r="E58" s="412"/>
      <c r="F58" s="414"/>
      <c r="G58" s="417">
        <f t="shared" si="1"/>
        <v>0</v>
      </c>
      <c r="H58" s="102"/>
      <c r="I58" s="102"/>
      <c r="J58" s="102"/>
      <c r="K58" s="102"/>
    </row>
    <row r="59" spans="1:11" ht="18" hidden="1" customHeight="1" x14ac:dyDescent="0.25">
      <c r="A59" s="1076"/>
      <c r="B59" s="1076"/>
      <c r="C59" s="1076"/>
      <c r="D59" s="412"/>
      <c r="E59" s="412"/>
      <c r="F59" s="414"/>
      <c r="G59" s="417">
        <f t="shared" si="1"/>
        <v>0</v>
      </c>
      <c r="H59" s="102"/>
      <c r="I59" s="102"/>
      <c r="J59" s="102"/>
      <c r="K59" s="102"/>
    </row>
    <row r="60" spans="1:11" ht="18" hidden="1" customHeight="1" x14ac:dyDescent="0.25">
      <c r="A60" s="1076"/>
      <c r="B60" s="1076"/>
      <c r="C60" s="1076"/>
      <c r="D60" s="412"/>
      <c r="E60" s="412"/>
      <c r="F60" s="414"/>
      <c r="G60" s="417">
        <f t="shared" si="1"/>
        <v>0</v>
      </c>
      <c r="H60" s="102"/>
      <c r="I60" s="102"/>
      <c r="J60" s="102"/>
      <c r="K60" s="102"/>
    </row>
    <row r="61" spans="1:11" ht="18" hidden="1" customHeight="1" x14ac:dyDescent="0.25">
      <c r="A61" s="1076"/>
      <c r="B61" s="1076"/>
      <c r="C61" s="1076"/>
      <c r="D61" s="412"/>
      <c r="E61" s="412"/>
      <c r="F61" s="414"/>
      <c r="G61" s="417">
        <f t="shared" si="1"/>
        <v>0</v>
      </c>
      <c r="H61" s="102"/>
      <c r="I61" s="102"/>
      <c r="J61" s="102"/>
      <c r="K61" s="102"/>
    </row>
    <row r="62" spans="1:11" ht="18" hidden="1" customHeight="1" x14ac:dyDescent="0.25">
      <c r="A62" s="1076"/>
      <c r="B62" s="1076"/>
      <c r="C62" s="1076"/>
      <c r="D62" s="412"/>
      <c r="E62" s="412"/>
      <c r="F62" s="414"/>
      <c r="G62" s="417">
        <f t="shared" si="1"/>
        <v>0</v>
      </c>
      <c r="H62" s="102"/>
      <c r="I62" s="102"/>
      <c r="J62" s="102"/>
      <c r="K62" s="102"/>
    </row>
    <row r="63" spans="1:11" ht="18" hidden="1" customHeight="1" x14ac:dyDescent="0.25">
      <c r="A63" s="1076"/>
      <c r="B63" s="1076"/>
      <c r="C63" s="1076"/>
      <c r="D63" s="412"/>
      <c r="E63" s="412"/>
      <c r="F63" s="414"/>
      <c r="G63" s="417">
        <f t="shared" si="1"/>
        <v>0</v>
      </c>
      <c r="H63" s="102"/>
      <c r="I63" s="102"/>
      <c r="J63" s="102"/>
      <c r="K63" s="102"/>
    </row>
    <row r="64" spans="1:11" ht="18" hidden="1" customHeight="1" x14ac:dyDescent="0.25">
      <c r="A64" s="1076"/>
      <c r="B64" s="1076"/>
      <c r="C64" s="1076"/>
      <c r="D64" s="412"/>
      <c r="E64" s="412"/>
      <c r="F64" s="414"/>
      <c r="G64" s="417">
        <f t="shared" si="1"/>
        <v>0</v>
      </c>
      <c r="H64" s="102"/>
      <c r="I64" s="102"/>
      <c r="J64" s="102"/>
      <c r="K64" s="102"/>
    </row>
    <row r="65" spans="1:11" ht="18" hidden="1" customHeight="1" x14ac:dyDescent="0.25">
      <c r="A65" s="1076"/>
      <c r="B65" s="1076"/>
      <c r="C65" s="1076"/>
      <c r="D65" s="412"/>
      <c r="E65" s="412"/>
      <c r="F65" s="414"/>
      <c r="G65" s="417">
        <f t="shared" si="1"/>
        <v>0</v>
      </c>
      <c r="H65" s="102"/>
      <c r="I65" s="102"/>
      <c r="J65" s="102"/>
      <c r="K65" s="102"/>
    </row>
    <row r="66" spans="1:11" ht="18" hidden="1" customHeight="1" x14ac:dyDescent="0.25">
      <c r="A66" s="1076"/>
      <c r="B66" s="1076"/>
      <c r="C66" s="1076"/>
      <c r="D66" s="412"/>
      <c r="E66" s="412"/>
      <c r="F66" s="414"/>
      <c r="G66" s="417">
        <f t="shared" si="1"/>
        <v>0</v>
      </c>
      <c r="H66" s="102"/>
      <c r="I66" s="102"/>
      <c r="J66" s="102"/>
      <c r="K66" s="102"/>
    </row>
    <row r="67" spans="1:11" ht="18" hidden="1" customHeight="1" x14ac:dyDescent="0.25">
      <c r="A67" s="1076"/>
      <c r="B67" s="1076"/>
      <c r="C67" s="1076"/>
      <c r="D67" s="412"/>
      <c r="E67" s="412"/>
      <c r="F67" s="414"/>
      <c r="G67" s="417">
        <f t="shared" si="1"/>
        <v>0</v>
      </c>
      <c r="H67" s="102"/>
      <c r="I67" s="102"/>
      <c r="J67" s="102"/>
      <c r="K67" s="102"/>
    </row>
    <row r="68" spans="1:11" ht="18" hidden="1" customHeight="1" x14ac:dyDescent="0.25">
      <c r="A68" s="1076"/>
      <c r="B68" s="1076"/>
      <c r="C68" s="1076"/>
      <c r="D68" s="412"/>
      <c r="E68" s="412"/>
      <c r="F68" s="414"/>
      <c r="G68" s="417">
        <f t="shared" si="1"/>
        <v>0</v>
      </c>
      <c r="H68" s="102"/>
      <c r="I68" s="102"/>
      <c r="J68" s="102"/>
      <c r="K68" s="102"/>
    </row>
    <row r="69" spans="1:11" ht="18" hidden="1" customHeight="1" x14ac:dyDescent="0.25">
      <c r="A69" s="1076"/>
      <c r="B69" s="1076"/>
      <c r="C69" s="1076"/>
      <c r="D69" s="412"/>
      <c r="E69" s="412"/>
      <c r="F69" s="414"/>
      <c r="G69" s="417">
        <f t="shared" si="1"/>
        <v>0</v>
      </c>
      <c r="H69" s="102"/>
      <c r="I69" s="102"/>
      <c r="J69" s="102"/>
      <c r="K69" s="102"/>
    </row>
    <row r="70" spans="1:11" ht="18" hidden="1" customHeight="1" x14ac:dyDescent="0.25">
      <c r="A70" s="1076"/>
      <c r="B70" s="1076"/>
      <c r="C70" s="1076"/>
      <c r="D70" s="412"/>
      <c r="E70" s="412"/>
      <c r="F70" s="414"/>
      <c r="G70" s="417">
        <f t="shared" si="1"/>
        <v>0</v>
      </c>
      <c r="H70" s="102"/>
      <c r="I70" s="102"/>
      <c r="J70" s="102"/>
      <c r="K70" s="102"/>
    </row>
    <row r="71" spans="1:11" ht="18" hidden="1" customHeight="1" x14ac:dyDescent="0.25">
      <c r="A71" s="1076"/>
      <c r="B71" s="1076"/>
      <c r="C71" s="1076"/>
      <c r="D71" s="412"/>
      <c r="E71" s="412"/>
      <c r="F71" s="414"/>
      <c r="G71" s="417">
        <f t="shared" si="1"/>
        <v>0</v>
      </c>
      <c r="H71" s="102"/>
      <c r="I71" s="102"/>
      <c r="J71" s="102"/>
      <c r="K71" s="102"/>
    </row>
    <row r="72" spans="1:11" ht="18" hidden="1" customHeight="1" x14ac:dyDescent="0.25">
      <c r="A72" s="1076"/>
      <c r="B72" s="1076"/>
      <c r="C72" s="1076"/>
      <c r="D72" s="412"/>
      <c r="E72" s="412"/>
      <c r="F72" s="414"/>
      <c r="G72" s="417">
        <f t="shared" si="1"/>
        <v>0</v>
      </c>
      <c r="H72" s="102"/>
      <c r="I72" s="102"/>
      <c r="J72" s="102"/>
      <c r="K72" s="102"/>
    </row>
    <row r="73" spans="1:11" ht="18" hidden="1" customHeight="1" x14ac:dyDescent="0.25">
      <c r="A73" s="1076"/>
      <c r="B73" s="1076"/>
      <c r="C73" s="1076"/>
      <c r="D73" s="412"/>
      <c r="E73" s="412"/>
      <c r="F73" s="414"/>
      <c r="G73" s="417">
        <f t="shared" si="1"/>
        <v>0</v>
      </c>
      <c r="H73" s="102"/>
      <c r="I73" s="102"/>
      <c r="J73" s="102"/>
      <c r="K73" s="102"/>
    </row>
    <row r="74" spans="1:11" ht="18" hidden="1" customHeight="1" x14ac:dyDescent="0.25">
      <c r="A74" s="1076"/>
      <c r="B74" s="1076"/>
      <c r="C74" s="1076"/>
      <c r="D74" s="412"/>
      <c r="E74" s="412"/>
      <c r="F74" s="414"/>
      <c r="G74" s="417">
        <f t="shared" si="1"/>
        <v>0</v>
      </c>
      <c r="H74" s="102"/>
      <c r="I74" s="102"/>
      <c r="J74" s="102"/>
      <c r="K74" s="102"/>
    </row>
    <row r="75" spans="1:11" ht="18" hidden="1" customHeight="1" x14ac:dyDescent="0.25">
      <c r="A75" s="1076"/>
      <c r="B75" s="1076"/>
      <c r="C75" s="1076"/>
      <c r="D75" s="412"/>
      <c r="E75" s="412"/>
      <c r="F75" s="414"/>
      <c r="G75" s="417">
        <f t="shared" si="1"/>
        <v>0</v>
      </c>
      <c r="H75" s="102"/>
      <c r="I75" s="102"/>
      <c r="J75" s="102"/>
      <c r="K75" s="102"/>
    </row>
    <row r="76" spans="1:11" ht="18" hidden="1" customHeight="1" x14ac:dyDescent="0.25">
      <c r="A76" s="1076"/>
      <c r="B76" s="1076"/>
      <c r="C76" s="1076"/>
      <c r="D76" s="412"/>
      <c r="E76" s="412"/>
      <c r="F76" s="414"/>
      <c r="G76" s="417">
        <f t="shared" ref="G76:G107" si="2">E76*F76</f>
        <v>0</v>
      </c>
      <c r="H76" s="102"/>
      <c r="I76" s="102"/>
      <c r="J76" s="102"/>
      <c r="K76" s="102"/>
    </row>
    <row r="77" spans="1:11" ht="18" hidden="1" customHeight="1" x14ac:dyDescent="0.25">
      <c r="A77" s="1076"/>
      <c r="B77" s="1076"/>
      <c r="C77" s="1076"/>
      <c r="D77" s="412"/>
      <c r="E77" s="412"/>
      <c r="F77" s="414"/>
      <c r="G77" s="417">
        <f t="shared" si="2"/>
        <v>0</v>
      </c>
      <c r="H77" s="102"/>
      <c r="I77" s="102"/>
      <c r="J77" s="102"/>
      <c r="K77" s="102"/>
    </row>
    <row r="78" spans="1:11" ht="18" hidden="1" customHeight="1" x14ac:dyDescent="0.25">
      <c r="A78" s="1076"/>
      <c r="B78" s="1076"/>
      <c r="C78" s="1076"/>
      <c r="D78" s="412"/>
      <c r="E78" s="412"/>
      <c r="F78" s="414"/>
      <c r="G78" s="417">
        <f t="shared" si="2"/>
        <v>0</v>
      </c>
      <c r="H78" s="102"/>
      <c r="I78" s="102"/>
      <c r="J78" s="102"/>
      <c r="K78" s="102"/>
    </row>
    <row r="79" spans="1:11" ht="18" hidden="1" customHeight="1" x14ac:dyDescent="0.25">
      <c r="A79" s="1076"/>
      <c r="B79" s="1076"/>
      <c r="C79" s="1076"/>
      <c r="D79" s="412"/>
      <c r="E79" s="412"/>
      <c r="F79" s="414"/>
      <c r="G79" s="417">
        <f t="shared" si="2"/>
        <v>0</v>
      </c>
      <c r="H79" s="102"/>
      <c r="I79" s="102"/>
      <c r="J79" s="102"/>
      <c r="K79" s="102"/>
    </row>
    <row r="80" spans="1:11" ht="18" hidden="1" customHeight="1" x14ac:dyDescent="0.25">
      <c r="A80" s="1076"/>
      <c r="B80" s="1076"/>
      <c r="C80" s="1076"/>
      <c r="D80" s="412"/>
      <c r="E80" s="412"/>
      <c r="F80" s="414"/>
      <c r="G80" s="417">
        <f t="shared" si="2"/>
        <v>0</v>
      </c>
      <c r="H80" s="102"/>
      <c r="I80" s="102"/>
      <c r="J80" s="102"/>
      <c r="K80" s="102"/>
    </row>
    <row r="81" spans="1:11" ht="18" hidden="1" customHeight="1" x14ac:dyDescent="0.25">
      <c r="A81" s="1076"/>
      <c r="B81" s="1076"/>
      <c r="C81" s="1076"/>
      <c r="D81" s="412"/>
      <c r="E81" s="412"/>
      <c r="F81" s="414"/>
      <c r="G81" s="417">
        <f t="shared" si="2"/>
        <v>0</v>
      </c>
      <c r="H81" s="102"/>
      <c r="I81" s="102"/>
      <c r="J81" s="102"/>
      <c r="K81" s="102"/>
    </row>
    <row r="82" spans="1:11" ht="18" hidden="1" customHeight="1" x14ac:dyDescent="0.25">
      <c r="A82" s="1076"/>
      <c r="B82" s="1076"/>
      <c r="C82" s="1076"/>
      <c r="D82" s="412"/>
      <c r="E82" s="412"/>
      <c r="F82" s="414"/>
      <c r="G82" s="417">
        <f t="shared" si="2"/>
        <v>0</v>
      </c>
      <c r="H82" s="102"/>
      <c r="I82" s="102"/>
      <c r="J82" s="102"/>
      <c r="K82" s="102"/>
    </row>
    <row r="83" spans="1:11" ht="18" hidden="1" customHeight="1" x14ac:dyDescent="0.25">
      <c r="A83" s="1076"/>
      <c r="B83" s="1076"/>
      <c r="C83" s="1076"/>
      <c r="D83" s="412"/>
      <c r="E83" s="412"/>
      <c r="F83" s="414"/>
      <c r="G83" s="417">
        <f t="shared" si="2"/>
        <v>0</v>
      </c>
      <c r="H83" s="102"/>
      <c r="I83" s="102"/>
      <c r="J83" s="102"/>
      <c r="K83" s="102"/>
    </row>
    <row r="84" spans="1:11" ht="18" hidden="1" customHeight="1" x14ac:dyDescent="0.25">
      <c r="A84" s="1076"/>
      <c r="B84" s="1076"/>
      <c r="C84" s="1076"/>
      <c r="D84" s="412"/>
      <c r="E84" s="412"/>
      <c r="F84" s="414"/>
      <c r="G84" s="417">
        <f t="shared" si="2"/>
        <v>0</v>
      </c>
      <c r="H84" s="102"/>
      <c r="I84" s="102"/>
      <c r="J84" s="102"/>
      <c r="K84" s="102"/>
    </row>
    <row r="85" spans="1:11" ht="18" hidden="1" customHeight="1" x14ac:dyDescent="0.25">
      <c r="A85" s="1076"/>
      <c r="B85" s="1076"/>
      <c r="C85" s="1076"/>
      <c r="D85" s="412"/>
      <c r="E85" s="412"/>
      <c r="F85" s="414"/>
      <c r="G85" s="417">
        <f t="shared" si="2"/>
        <v>0</v>
      </c>
      <c r="H85" s="102"/>
      <c r="I85" s="102"/>
      <c r="J85" s="102"/>
      <c r="K85" s="102"/>
    </row>
    <row r="86" spans="1:11" ht="18" hidden="1" customHeight="1" x14ac:dyDescent="0.25">
      <c r="A86" s="1076"/>
      <c r="B86" s="1076"/>
      <c r="C86" s="1076"/>
      <c r="D86" s="412"/>
      <c r="E86" s="412"/>
      <c r="F86" s="414"/>
      <c r="G86" s="417">
        <f t="shared" si="2"/>
        <v>0</v>
      </c>
      <c r="H86" s="102"/>
      <c r="I86" s="102"/>
      <c r="J86" s="102"/>
      <c r="K86" s="102"/>
    </row>
    <row r="87" spans="1:11" ht="18" hidden="1" customHeight="1" x14ac:dyDescent="0.25">
      <c r="A87" s="1076"/>
      <c r="B87" s="1076"/>
      <c r="C87" s="1076"/>
      <c r="D87" s="412"/>
      <c r="E87" s="412"/>
      <c r="F87" s="414"/>
      <c r="G87" s="417">
        <f t="shared" si="2"/>
        <v>0</v>
      </c>
      <c r="H87" s="102"/>
      <c r="I87" s="102"/>
      <c r="J87" s="102"/>
      <c r="K87" s="102"/>
    </row>
    <row r="88" spans="1:11" ht="18" hidden="1" customHeight="1" x14ac:dyDescent="0.25">
      <c r="A88" s="1076"/>
      <c r="B88" s="1076"/>
      <c r="C88" s="1076"/>
      <c r="D88" s="412"/>
      <c r="E88" s="412"/>
      <c r="F88" s="414"/>
      <c r="G88" s="417">
        <f t="shared" si="2"/>
        <v>0</v>
      </c>
      <c r="H88" s="102"/>
      <c r="I88" s="102"/>
      <c r="J88" s="102"/>
      <c r="K88" s="102"/>
    </row>
    <row r="89" spans="1:11" ht="18" hidden="1" customHeight="1" x14ac:dyDescent="0.25">
      <c r="A89" s="1076"/>
      <c r="B89" s="1076"/>
      <c r="C89" s="1076"/>
      <c r="D89" s="412"/>
      <c r="E89" s="412"/>
      <c r="F89" s="414"/>
      <c r="G89" s="417">
        <f t="shared" si="2"/>
        <v>0</v>
      </c>
      <c r="H89" s="102"/>
      <c r="I89" s="102"/>
      <c r="J89" s="102"/>
      <c r="K89" s="102"/>
    </row>
    <row r="90" spans="1:11" ht="18" hidden="1" customHeight="1" x14ac:dyDescent="0.25">
      <c r="A90" s="1076"/>
      <c r="B90" s="1076"/>
      <c r="C90" s="1076"/>
      <c r="D90" s="412"/>
      <c r="E90" s="412"/>
      <c r="F90" s="414"/>
      <c r="G90" s="417">
        <f t="shared" si="2"/>
        <v>0</v>
      </c>
      <c r="H90" s="102"/>
      <c r="I90" s="102"/>
      <c r="J90" s="102"/>
      <c r="K90" s="102"/>
    </row>
    <row r="91" spans="1:11" ht="18" hidden="1" customHeight="1" x14ac:dyDescent="0.25">
      <c r="A91" s="1076"/>
      <c r="B91" s="1076"/>
      <c r="C91" s="1076"/>
      <c r="D91" s="412"/>
      <c r="E91" s="412"/>
      <c r="F91" s="414"/>
      <c r="G91" s="417">
        <f t="shared" si="2"/>
        <v>0</v>
      </c>
      <c r="H91" s="102"/>
      <c r="I91" s="102"/>
      <c r="J91" s="102"/>
      <c r="K91" s="102"/>
    </row>
    <row r="92" spans="1:11" ht="18" hidden="1" customHeight="1" x14ac:dyDescent="0.25">
      <c r="A92" s="1076"/>
      <c r="B92" s="1076"/>
      <c r="C92" s="1076"/>
      <c r="D92" s="412"/>
      <c r="E92" s="412"/>
      <c r="F92" s="414"/>
      <c r="G92" s="417">
        <f t="shared" si="2"/>
        <v>0</v>
      </c>
      <c r="H92" s="102"/>
      <c r="I92" s="102"/>
      <c r="J92" s="102"/>
      <c r="K92" s="102"/>
    </row>
    <row r="93" spans="1:11" ht="18" hidden="1" customHeight="1" x14ac:dyDescent="0.25">
      <c r="A93" s="1076"/>
      <c r="B93" s="1076"/>
      <c r="C93" s="1076"/>
      <c r="D93" s="412"/>
      <c r="E93" s="412"/>
      <c r="F93" s="414"/>
      <c r="G93" s="417">
        <f t="shared" si="2"/>
        <v>0</v>
      </c>
      <c r="H93" s="102"/>
      <c r="I93" s="102"/>
      <c r="J93" s="102"/>
      <c r="K93" s="102"/>
    </row>
    <row r="94" spans="1:11" ht="18" hidden="1" customHeight="1" x14ac:dyDescent="0.25">
      <c r="A94" s="1076"/>
      <c r="B94" s="1076"/>
      <c r="C94" s="1076"/>
      <c r="D94" s="412"/>
      <c r="E94" s="412"/>
      <c r="F94" s="414"/>
      <c r="G94" s="417">
        <f t="shared" si="2"/>
        <v>0</v>
      </c>
      <c r="H94" s="102"/>
      <c r="I94" s="102"/>
      <c r="J94" s="102"/>
      <c r="K94" s="102"/>
    </row>
    <row r="95" spans="1:11" ht="18" hidden="1" customHeight="1" x14ac:dyDescent="0.25">
      <c r="A95" s="1076"/>
      <c r="B95" s="1076"/>
      <c r="C95" s="1076"/>
      <c r="D95" s="412"/>
      <c r="E95" s="412"/>
      <c r="F95" s="414"/>
      <c r="G95" s="417">
        <f t="shared" si="2"/>
        <v>0</v>
      </c>
      <c r="H95" s="102"/>
      <c r="I95" s="102"/>
      <c r="J95" s="102"/>
      <c r="K95" s="102"/>
    </row>
    <row r="96" spans="1:11" ht="18" hidden="1" customHeight="1" x14ac:dyDescent="0.25">
      <c r="A96" s="1076"/>
      <c r="B96" s="1076"/>
      <c r="C96" s="1076"/>
      <c r="D96" s="412"/>
      <c r="E96" s="412"/>
      <c r="F96" s="414"/>
      <c r="G96" s="417">
        <f t="shared" si="2"/>
        <v>0</v>
      </c>
      <c r="H96" s="102"/>
      <c r="I96" s="102"/>
      <c r="J96" s="102"/>
      <c r="K96" s="102"/>
    </row>
    <row r="97" spans="1:11" ht="18" hidden="1" customHeight="1" x14ac:dyDescent="0.25">
      <c r="A97" s="1076"/>
      <c r="B97" s="1076"/>
      <c r="C97" s="1076"/>
      <c r="D97" s="412"/>
      <c r="E97" s="412"/>
      <c r="F97" s="414"/>
      <c r="G97" s="417">
        <f t="shared" si="2"/>
        <v>0</v>
      </c>
      <c r="H97" s="102"/>
      <c r="I97" s="102"/>
      <c r="J97" s="102"/>
      <c r="K97" s="102"/>
    </row>
    <row r="98" spans="1:11" ht="18" hidden="1" customHeight="1" x14ac:dyDescent="0.25">
      <c r="A98" s="1076"/>
      <c r="B98" s="1076"/>
      <c r="C98" s="1076"/>
      <c r="D98" s="412"/>
      <c r="E98" s="412"/>
      <c r="F98" s="414"/>
      <c r="G98" s="417">
        <f t="shared" si="2"/>
        <v>0</v>
      </c>
      <c r="H98" s="102"/>
      <c r="I98" s="102"/>
      <c r="J98" s="102"/>
      <c r="K98" s="102"/>
    </row>
    <row r="99" spans="1:11" ht="18" hidden="1" customHeight="1" x14ac:dyDescent="0.25">
      <c r="A99" s="1076"/>
      <c r="B99" s="1076"/>
      <c r="C99" s="1076"/>
      <c r="D99" s="412"/>
      <c r="E99" s="412"/>
      <c r="F99" s="414"/>
      <c r="G99" s="417">
        <f t="shared" si="2"/>
        <v>0</v>
      </c>
      <c r="H99" s="102"/>
      <c r="I99" s="102"/>
      <c r="J99" s="102"/>
      <c r="K99" s="102"/>
    </row>
    <row r="100" spans="1:11" ht="18" hidden="1" customHeight="1" x14ac:dyDescent="0.25">
      <c r="A100" s="1076"/>
      <c r="B100" s="1076"/>
      <c r="C100" s="1076"/>
      <c r="D100" s="412"/>
      <c r="E100" s="412"/>
      <c r="F100" s="414"/>
      <c r="G100" s="417">
        <f t="shared" si="2"/>
        <v>0</v>
      </c>
      <c r="H100" s="102"/>
      <c r="I100" s="102"/>
      <c r="J100" s="102"/>
      <c r="K100" s="102"/>
    </row>
    <row r="101" spans="1:11" ht="18" hidden="1" customHeight="1" x14ac:dyDescent="0.25">
      <c r="A101" s="1076"/>
      <c r="B101" s="1076"/>
      <c r="C101" s="1076"/>
      <c r="D101" s="412"/>
      <c r="E101" s="412"/>
      <c r="F101" s="414"/>
      <c r="G101" s="417">
        <f t="shared" si="2"/>
        <v>0</v>
      </c>
      <c r="H101" s="102"/>
      <c r="I101" s="102"/>
      <c r="J101" s="102"/>
      <c r="K101" s="102"/>
    </row>
    <row r="102" spans="1:11" ht="18" hidden="1" customHeight="1" x14ac:dyDescent="0.25">
      <c r="A102" s="1076"/>
      <c r="B102" s="1076"/>
      <c r="C102" s="1076"/>
      <c r="D102" s="412"/>
      <c r="E102" s="412"/>
      <c r="F102" s="414"/>
      <c r="G102" s="417">
        <f t="shared" si="2"/>
        <v>0</v>
      </c>
      <c r="H102" s="102"/>
      <c r="I102" s="102"/>
      <c r="J102" s="102"/>
      <c r="K102" s="102"/>
    </row>
    <row r="103" spans="1:11" ht="18" hidden="1" customHeight="1" x14ac:dyDescent="0.25">
      <c r="A103" s="1076"/>
      <c r="B103" s="1076"/>
      <c r="C103" s="1076"/>
      <c r="D103" s="412"/>
      <c r="E103" s="412"/>
      <c r="F103" s="414"/>
      <c r="G103" s="417">
        <f t="shared" si="2"/>
        <v>0</v>
      </c>
      <c r="H103" s="102"/>
      <c r="I103" s="102"/>
      <c r="J103" s="102"/>
      <c r="K103" s="102"/>
    </row>
    <row r="104" spans="1:11" ht="18" hidden="1" customHeight="1" x14ac:dyDescent="0.25">
      <c r="A104" s="1076"/>
      <c r="B104" s="1076"/>
      <c r="C104" s="1076"/>
      <c r="D104" s="412"/>
      <c r="E104" s="412"/>
      <c r="F104" s="414"/>
      <c r="G104" s="417">
        <f t="shared" si="2"/>
        <v>0</v>
      </c>
      <c r="H104" s="102"/>
      <c r="I104" s="102"/>
      <c r="J104" s="102"/>
      <c r="K104" s="102"/>
    </row>
    <row r="105" spans="1:11" ht="18" hidden="1" customHeight="1" x14ac:dyDescent="0.25">
      <c r="A105" s="1076"/>
      <c r="B105" s="1076"/>
      <c r="C105" s="1076"/>
      <c r="D105" s="412"/>
      <c r="E105" s="412"/>
      <c r="F105" s="414"/>
      <c r="G105" s="417">
        <f t="shared" si="2"/>
        <v>0</v>
      </c>
      <c r="H105" s="102"/>
      <c r="I105" s="102"/>
      <c r="J105" s="102"/>
      <c r="K105" s="102"/>
    </row>
    <row r="106" spans="1:11" ht="18" hidden="1" customHeight="1" x14ac:dyDescent="0.25">
      <c r="A106" s="1076"/>
      <c r="B106" s="1076"/>
      <c r="C106" s="1076"/>
      <c r="D106" s="412"/>
      <c r="E106" s="412"/>
      <c r="F106" s="414"/>
      <c r="G106" s="417">
        <f t="shared" si="2"/>
        <v>0</v>
      </c>
      <c r="H106" s="102"/>
      <c r="I106" s="102"/>
      <c r="J106" s="102"/>
      <c r="K106" s="102"/>
    </row>
    <row r="107" spans="1:11" ht="18" hidden="1" customHeight="1" x14ac:dyDescent="0.25">
      <c r="A107" s="1076"/>
      <c r="B107" s="1076"/>
      <c r="C107" s="1076"/>
      <c r="D107" s="412"/>
      <c r="E107" s="412"/>
      <c r="F107" s="414"/>
      <c r="G107" s="417">
        <f t="shared" si="2"/>
        <v>0</v>
      </c>
      <c r="H107" s="102"/>
      <c r="I107" s="102"/>
      <c r="J107" s="102"/>
      <c r="K107" s="102"/>
    </row>
    <row r="108" spans="1:11" ht="18" hidden="1" customHeight="1" x14ac:dyDescent="0.25">
      <c r="A108" s="1076"/>
      <c r="B108" s="1076"/>
      <c r="C108" s="1076"/>
      <c r="D108" s="412"/>
      <c r="E108" s="412"/>
      <c r="F108" s="418"/>
      <c r="G108" s="417">
        <f t="shared" ref="G108:G139" si="3">E108*F108</f>
        <v>0</v>
      </c>
      <c r="H108" s="102"/>
      <c r="I108" s="102"/>
      <c r="J108" s="102"/>
      <c r="K108" s="102"/>
    </row>
    <row r="109" spans="1:11" ht="18" hidden="1" customHeight="1" x14ac:dyDescent="0.25">
      <c r="A109" s="1076"/>
      <c r="B109" s="1076"/>
      <c r="C109" s="1076"/>
      <c r="D109" s="412"/>
      <c r="E109" s="412"/>
      <c r="F109" s="418"/>
      <c r="G109" s="417">
        <f t="shared" si="3"/>
        <v>0</v>
      </c>
      <c r="H109" s="102"/>
      <c r="I109" s="102"/>
      <c r="J109" s="102"/>
      <c r="K109" s="102"/>
    </row>
    <row r="110" spans="1:11" ht="18" hidden="1" customHeight="1" x14ac:dyDescent="0.25">
      <c r="A110" s="1076"/>
      <c r="B110" s="1076"/>
      <c r="C110" s="1076"/>
      <c r="D110" s="412"/>
      <c r="E110" s="412"/>
      <c r="F110" s="418"/>
      <c r="G110" s="417">
        <f t="shared" si="3"/>
        <v>0</v>
      </c>
      <c r="H110" s="102"/>
      <c r="I110" s="102"/>
      <c r="J110" s="102"/>
      <c r="K110" s="102"/>
    </row>
    <row r="111" spans="1:11" ht="18" hidden="1" customHeight="1" x14ac:dyDescent="0.25">
      <c r="A111" s="1076"/>
      <c r="B111" s="1076"/>
      <c r="C111" s="1076"/>
      <c r="D111" s="412"/>
      <c r="E111" s="412"/>
      <c r="F111" s="418"/>
      <c r="G111" s="417">
        <f t="shared" si="3"/>
        <v>0</v>
      </c>
      <c r="H111" s="102"/>
      <c r="I111" s="102"/>
      <c r="J111" s="102"/>
      <c r="K111" s="102"/>
    </row>
    <row r="112" spans="1:11" ht="18" hidden="1" customHeight="1" x14ac:dyDescent="0.25">
      <c r="A112" s="1076"/>
      <c r="B112" s="1076"/>
      <c r="C112" s="1076"/>
      <c r="D112" s="412"/>
      <c r="E112" s="412"/>
      <c r="F112" s="418"/>
      <c r="G112" s="417">
        <f t="shared" si="3"/>
        <v>0</v>
      </c>
      <c r="H112" s="102"/>
      <c r="I112" s="102"/>
      <c r="J112" s="102"/>
      <c r="K112" s="102"/>
    </row>
    <row r="113" spans="1:11" ht="18" hidden="1" customHeight="1" x14ac:dyDescent="0.25">
      <c r="A113" s="1076"/>
      <c r="B113" s="1076"/>
      <c r="C113" s="1076"/>
      <c r="D113" s="412"/>
      <c r="E113" s="412"/>
      <c r="F113" s="418"/>
      <c r="G113" s="417">
        <f t="shared" si="3"/>
        <v>0</v>
      </c>
      <c r="H113" s="102"/>
      <c r="I113" s="102"/>
      <c r="J113" s="102"/>
      <c r="K113" s="102"/>
    </row>
    <row r="114" spans="1:11" ht="18" hidden="1" customHeight="1" x14ac:dyDescent="0.25">
      <c r="A114" s="1076"/>
      <c r="B114" s="1076"/>
      <c r="C114" s="1076"/>
      <c r="D114" s="412"/>
      <c r="E114" s="412"/>
      <c r="F114" s="418"/>
      <c r="G114" s="417">
        <f t="shared" si="3"/>
        <v>0</v>
      </c>
      <c r="H114" s="102"/>
      <c r="I114" s="102"/>
      <c r="J114" s="102"/>
      <c r="K114" s="102"/>
    </row>
    <row r="115" spans="1:11" ht="18" hidden="1" customHeight="1" x14ac:dyDescent="0.25">
      <c r="A115" s="1076"/>
      <c r="B115" s="1076"/>
      <c r="C115" s="1076"/>
      <c r="D115" s="412"/>
      <c r="E115" s="412"/>
      <c r="F115" s="418"/>
      <c r="G115" s="417">
        <f t="shared" si="3"/>
        <v>0</v>
      </c>
      <c r="H115" s="102"/>
      <c r="I115" s="102"/>
      <c r="J115" s="102"/>
      <c r="K115" s="102"/>
    </row>
    <row r="116" spans="1:11" ht="18" hidden="1" customHeight="1" x14ac:dyDescent="0.25">
      <c r="A116" s="1076"/>
      <c r="B116" s="1076"/>
      <c r="C116" s="1076"/>
      <c r="D116" s="412"/>
      <c r="E116" s="412"/>
      <c r="F116" s="418"/>
      <c r="G116" s="417">
        <f t="shared" si="3"/>
        <v>0</v>
      </c>
      <c r="H116" s="102"/>
      <c r="I116" s="102"/>
      <c r="J116" s="102"/>
      <c r="K116" s="102"/>
    </row>
    <row r="117" spans="1:11" ht="18" hidden="1" customHeight="1" x14ac:dyDescent="0.25">
      <c r="A117" s="1076"/>
      <c r="B117" s="1076"/>
      <c r="C117" s="1076"/>
      <c r="D117" s="412"/>
      <c r="E117" s="412"/>
      <c r="F117" s="418"/>
      <c r="G117" s="417">
        <f t="shared" si="3"/>
        <v>0</v>
      </c>
      <c r="H117" s="102"/>
      <c r="I117" s="102"/>
      <c r="J117" s="102"/>
      <c r="K117" s="102"/>
    </row>
    <row r="118" spans="1:11" ht="18" hidden="1" customHeight="1" x14ac:dyDescent="0.25">
      <c r="A118" s="1076"/>
      <c r="B118" s="1076"/>
      <c r="C118" s="1076"/>
      <c r="D118" s="412"/>
      <c r="E118" s="412"/>
      <c r="F118" s="418"/>
      <c r="G118" s="417">
        <f t="shared" si="3"/>
        <v>0</v>
      </c>
      <c r="H118" s="102"/>
      <c r="I118" s="102"/>
      <c r="J118" s="102"/>
      <c r="K118" s="102"/>
    </row>
    <row r="119" spans="1:11" ht="18" hidden="1" customHeight="1" x14ac:dyDescent="0.25">
      <c r="A119" s="1076"/>
      <c r="B119" s="1076"/>
      <c r="C119" s="1076"/>
      <c r="D119" s="412"/>
      <c r="E119" s="412"/>
      <c r="F119" s="418"/>
      <c r="G119" s="417">
        <f t="shared" si="3"/>
        <v>0</v>
      </c>
      <c r="H119" s="102"/>
      <c r="I119" s="102"/>
      <c r="J119" s="102"/>
      <c r="K119" s="102"/>
    </row>
    <row r="120" spans="1:11" ht="18" customHeight="1" x14ac:dyDescent="0.25">
      <c r="A120" s="1075" t="s">
        <v>453</v>
      </c>
      <c r="B120" s="1075"/>
      <c r="C120" s="1075"/>
      <c r="D120" s="1075"/>
      <c r="E120" s="1075"/>
      <c r="F120" s="1075"/>
      <c r="G120" s="419">
        <f>SUM(G44:G119)</f>
        <v>0</v>
      </c>
      <c r="H120" s="419">
        <f>SUM(H44:H119)</f>
        <v>0</v>
      </c>
      <c r="I120" s="419">
        <f>SUM(I44:I119)</f>
        <v>0</v>
      </c>
      <c r="J120" s="419">
        <f>SUM(J44:J119)</f>
        <v>0</v>
      </c>
      <c r="K120" s="419">
        <f>SUM(K44:K119)</f>
        <v>0</v>
      </c>
    </row>
    <row r="121" spans="1:11" ht="18" customHeight="1" x14ac:dyDescent="0.25">
      <c r="A121" s="1074" t="s">
        <v>454</v>
      </c>
      <c r="B121" s="1074"/>
      <c r="C121" s="1074"/>
      <c r="D121" s="1074"/>
      <c r="E121" s="1074"/>
      <c r="F121" s="1074"/>
      <c r="G121" s="1074"/>
      <c r="H121" s="1074"/>
      <c r="I121" s="1074"/>
      <c r="J121" s="1074"/>
      <c r="K121" s="1074"/>
    </row>
    <row r="122" spans="1:11" ht="18" customHeight="1" x14ac:dyDescent="0.25">
      <c r="A122" s="1076"/>
      <c r="B122" s="1076"/>
      <c r="C122" s="1076"/>
      <c r="D122" s="412"/>
      <c r="E122" s="412"/>
      <c r="F122" s="414"/>
      <c r="G122" s="417">
        <f t="shared" ref="G122:G153" si="4">E122*F122</f>
        <v>0</v>
      </c>
      <c r="H122" s="102"/>
      <c r="I122" s="102"/>
      <c r="J122" s="102"/>
      <c r="K122" s="102"/>
    </row>
    <row r="123" spans="1:11" ht="18" customHeight="1" x14ac:dyDescent="0.25">
      <c r="A123" s="1076"/>
      <c r="B123" s="1076"/>
      <c r="C123" s="1076"/>
      <c r="D123" s="412"/>
      <c r="E123" s="412"/>
      <c r="F123" s="414"/>
      <c r="G123" s="417">
        <f t="shared" si="4"/>
        <v>0</v>
      </c>
      <c r="H123" s="102"/>
      <c r="I123" s="102"/>
      <c r="J123" s="102"/>
      <c r="K123" s="102"/>
    </row>
    <row r="124" spans="1:11" ht="18" customHeight="1" x14ac:dyDescent="0.25">
      <c r="A124" s="1076"/>
      <c r="B124" s="1076"/>
      <c r="C124" s="1076"/>
      <c r="D124" s="412"/>
      <c r="E124" s="412"/>
      <c r="F124" s="414"/>
      <c r="G124" s="417">
        <f t="shared" si="4"/>
        <v>0</v>
      </c>
      <c r="H124" s="102"/>
      <c r="I124" s="102"/>
      <c r="J124" s="102"/>
      <c r="K124" s="102"/>
    </row>
    <row r="125" spans="1:11" ht="18" customHeight="1" x14ac:dyDescent="0.25">
      <c r="A125" s="1076"/>
      <c r="B125" s="1076"/>
      <c r="C125" s="1076"/>
      <c r="D125" s="412"/>
      <c r="E125" s="412"/>
      <c r="F125" s="414"/>
      <c r="G125" s="417">
        <f t="shared" si="4"/>
        <v>0</v>
      </c>
      <c r="H125" s="102"/>
      <c r="I125" s="102"/>
      <c r="J125" s="102"/>
      <c r="K125" s="102"/>
    </row>
    <row r="126" spans="1:11" ht="18" customHeight="1" x14ac:dyDescent="0.25">
      <c r="A126" s="1076"/>
      <c r="B126" s="1076"/>
      <c r="C126" s="1076"/>
      <c r="D126" s="412"/>
      <c r="E126" s="412"/>
      <c r="F126" s="414"/>
      <c r="G126" s="417">
        <f t="shared" si="4"/>
        <v>0</v>
      </c>
      <c r="H126" s="102"/>
      <c r="I126" s="102"/>
      <c r="J126" s="102"/>
      <c r="K126" s="102"/>
    </row>
    <row r="127" spans="1:11" ht="18" hidden="1" customHeight="1" x14ac:dyDescent="0.25">
      <c r="A127" s="1076"/>
      <c r="B127" s="1076"/>
      <c r="C127" s="1076"/>
      <c r="D127" s="412"/>
      <c r="E127" s="412"/>
      <c r="F127" s="414"/>
      <c r="G127" s="417">
        <f t="shared" si="4"/>
        <v>0</v>
      </c>
      <c r="H127" s="102"/>
      <c r="I127" s="102"/>
      <c r="J127" s="102"/>
      <c r="K127" s="102"/>
    </row>
    <row r="128" spans="1:11" ht="18" hidden="1" customHeight="1" x14ac:dyDescent="0.25">
      <c r="A128" s="1076"/>
      <c r="B128" s="1076"/>
      <c r="C128" s="1076"/>
      <c r="D128" s="412"/>
      <c r="E128" s="412"/>
      <c r="F128" s="414"/>
      <c r="G128" s="417">
        <f t="shared" si="4"/>
        <v>0</v>
      </c>
      <c r="H128" s="102"/>
      <c r="I128" s="102"/>
      <c r="J128" s="102"/>
      <c r="K128" s="102"/>
    </row>
    <row r="129" spans="1:11" ht="18" hidden="1" customHeight="1" x14ac:dyDescent="0.25">
      <c r="A129" s="1076"/>
      <c r="B129" s="1076"/>
      <c r="C129" s="1076"/>
      <c r="D129" s="412"/>
      <c r="E129" s="412"/>
      <c r="F129" s="414"/>
      <c r="G129" s="417">
        <f t="shared" si="4"/>
        <v>0</v>
      </c>
      <c r="H129" s="102"/>
      <c r="I129" s="102"/>
      <c r="J129" s="102"/>
      <c r="K129" s="102"/>
    </row>
    <row r="130" spans="1:11" ht="18" hidden="1" customHeight="1" x14ac:dyDescent="0.25">
      <c r="A130" s="1076"/>
      <c r="B130" s="1076"/>
      <c r="C130" s="1076"/>
      <c r="D130" s="412"/>
      <c r="E130" s="412"/>
      <c r="F130" s="414"/>
      <c r="G130" s="417">
        <f t="shared" si="4"/>
        <v>0</v>
      </c>
      <c r="H130" s="102"/>
      <c r="I130" s="102"/>
      <c r="J130" s="102"/>
      <c r="K130" s="102"/>
    </row>
    <row r="131" spans="1:11" ht="18" hidden="1" customHeight="1" x14ac:dyDescent="0.25">
      <c r="A131" s="1076"/>
      <c r="B131" s="1076"/>
      <c r="C131" s="1076"/>
      <c r="D131" s="412"/>
      <c r="E131" s="412"/>
      <c r="F131" s="414"/>
      <c r="G131" s="417">
        <f t="shared" si="4"/>
        <v>0</v>
      </c>
      <c r="H131" s="102"/>
      <c r="I131" s="102"/>
      <c r="J131" s="102"/>
      <c r="K131" s="102"/>
    </row>
    <row r="132" spans="1:11" ht="18" hidden="1" customHeight="1" x14ac:dyDescent="0.25">
      <c r="A132" s="1076"/>
      <c r="B132" s="1076"/>
      <c r="C132" s="1076"/>
      <c r="D132" s="412"/>
      <c r="E132" s="412"/>
      <c r="F132" s="414"/>
      <c r="G132" s="417">
        <f t="shared" si="4"/>
        <v>0</v>
      </c>
      <c r="H132" s="102"/>
      <c r="I132" s="102"/>
      <c r="J132" s="102"/>
      <c r="K132" s="102"/>
    </row>
    <row r="133" spans="1:11" ht="18" hidden="1" customHeight="1" x14ac:dyDescent="0.25">
      <c r="A133" s="1076"/>
      <c r="B133" s="1076"/>
      <c r="C133" s="1076"/>
      <c r="D133" s="412"/>
      <c r="E133" s="412"/>
      <c r="F133" s="414"/>
      <c r="G133" s="417">
        <f t="shared" si="4"/>
        <v>0</v>
      </c>
      <c r="H133" s="102"/>
      <c r="I133" s="102"/>
      <c r="J133" s="102"/>
      <c r="K133" s="102"/>
    </row>
    <row r="134" spans="1:11" ht="18" hidden="1" customHeight="1" x14ac:dyDescent="0.25">
      <c r="A134" s="1076"/>
      <c r="B134" s="1076"/>
      <c r="C134" s="1076"/>
      <c r="D134" s="412"/>
      <c r="E134" s="412"/>
      <c r="F134" s="414"/>
      <c r="G134" s="417">
        <f t="shared" si="4"/>
        <v>0</v>
      </c>
      <c r="H134" s="102"/>
      <c r="I134" s="102"/>
      <c r="J134" s="102"/>
      <c r="K134" s="102"/>
    </row>
    <row r="135" spans="1:11" ht="18" hidden="1" customHeight="1" x14ac:dyDescent="0.25">
      <c r="A135" s="1076"/>
      <c r="B135" s="1076"/>
      <c r="C135" s="1076"/>
      <c r="D135" s="412"/>
      <c r="E135" s="412"/>
      <c r="F135" s="414"/>
      <c r="G135" s="417">
        <f t="shared" si="4"/>
        <v>0</v>
      </c>
      <c r="H135" s="102"/>
      <c r="I135" s="102"/>
      <c r="J135" s="102"/>
      <c r="K135" s="102"/>
    </row>
    <row r="136" spans="1:11" ht="18" hidden="1" customHeight="1" x14ac:dyDescent="0.25">
      <c r="A136" s="1076"/>
      <c r="B136" s="1076"/>
      <c r="C136" s="1076"/>
      <c r="D136" s="412"/>
      <c r="E136" s="412"/>
      <c r="F136" s="414"/>
      <c r="G136" s="417">
        <f t="shared" si="4"/>
        <v>0</v>
      </c>
      <c r="H136" s="102"/>
      <c r="I136" s="102"/>
      <c r="J136" s="102"/>
      <c r="K136" s="102"/>
    </row>
    <row r="137" spans="1:11" ht="18" hidden="1" customHeight="1" x14ac:dyDescent="0.25">
      <c r="A137" s="1076"/>
      <c r="B137" s="1076"/>
      <c r="C137" s="1076"/>
      <c r="D137" s="412"/>
      <c r="E137" s="412"/>
      <c r="F137" s="414"/>
      <c r="G137" s="417">
        <f t="shared" si="4"/>
        <v>0</v>
      </c>
      <c r="H137" s="102"/>
      <c r="I137" s="102"/>
      <c r="J137" s="102"/>
      <c r="K137" s="102"/>
    </row>
    <row r="138" spans="1:11" ht="18" hidden="1" customHeight="1" x14ac:dyDescent="0.25">
      <c r="A138" s="1076"/>
      <c r="B138" s="1076"/>
      <c r="C138" s="1076"/>
      <c r="D138" s="412"/>
      <c r="E138" s="412"/>
      <c r="F138" s="414"/>
      <c r="G138" s="417">
        <f t="shared" si="4"/>
        <v>0</v>
      </c>
      <c r="H138" s="102"/>
      <c r="I138" s="102"/>
      <c r="J138" s="102"/>
      <c r="K138" s="102"/>
    </row>
    <row r="139" spans="1:11" ht="18" hidden="1" customHeight="1" x14ac:dyDescent="0.25">
      <c r="A139" s="1076"/>
      <c r="B139" s="1076"/>
      <c r="C139" s="1076"/>
      <c r="D139" s="412"/>
      <c r="E139" s="412"/>
      <c r="F139" s="414"/>
      <c r="G139" s="417">
        <f t="shared" si="4"/>
        <v>0</v>
      </c>
      <c r="H139" s="102"/>
      <c r="I139" s="102"/>
      <c r="J139" s="102"/>
      <c r="K139" s="102"/>
    </row>
    <row r="140" spans="1:11" ht="18" hidden="1" customHeight="1" x14ac:dyDescent="0.25">
      <c r="A140" s="1076"/>
      <c r="B140" s="1076"/>
      <c r="C140" s="1076"/>
      <c r="D140" s="412"/>
      <c r="E140" s="412"/>
      <c r="F140" s="414"/>
      <c r="G140" s="417">
        <f t="shared" si="4"/>
        <v>0</v>
      </c>
      <c r="H140" s="102"/>
      <c r="I140" s="102"/>
      <c r="J140" s="102"/>
      <c r="K140" s="102"/>
    </row>
    <row r="141" spans="1:11" ht="18" hidden="1" customHeight="1" x14ac:dyDescent="0.25">
      <c r="A141" s="1076"/>
      <c r="B141" s="1076"/>
      <c r="C141" s="1076"/>
      <c r="D141" s="412"/>
      <c r="E141" s="412"/>
      <c r="F141" s="414"/>
      <c r="G141" s="417">
        <f t="shared" si="4"/>
        <v>0</v>
      </c>
      <c r="H141" s="102"/>
      <c r="I141" s="102"/>
      <c r="J141" s="102"/>
      <c r="K141" s="102"/>
    </row>
    <row r="142" spans="1:11" ht="18" hidden="1" customHeight="1" x14ac:dyDescent="0.25">
      <c r="A142" s="1076"/>
      <c r="B142" s="1076"/>
      <c r="C142" s="1076"/>
      <c r="D142" s="412"/>
      <c r="E142" s="412"/>
      <c r="F142" s="414"/>
      <c r="G142" s="417">
        <f t="shared" si="4"/>
        <v>0</v>
      </c>
      <c r="H142" s="102"/>
      <c r="I142" s="102"/>
      <c r="J142" s="102"/>
      <c r="K142" s="102"/>
    </row>
    <row r="143" spans="1:11" ht="18" hidden="1" customHeight="1" x14ac:dyDescent="0.25">
      <c r="A143" s="1076"/>
      <c r="B143" s="1076"/>
      <c r="C143" s="1076"/>
      <c r="D143" s="412"/>
      <c r="E143" s="412"/>
      <c r="F143" s="414"/>
      <c r="G143" s="417">
        <f t="shared" si="4"/>
        <v>0</v>
      </c>
      <c r="H143" s="102"/>
      <c r="I143" s="102"/>
      <c r="J143" s="102"/>
      <c r="K143" s="102"/>
    </row>
    <row r="144" spans="1:11" ht="18" hidden="1" customHeight="1" x14ac:dyDescent="0.25">
      <c r="A144" s="1076"/>
      <c r="B144" s="1076"/>
      <c r="C144" s="1076"/>
      <c r="D144" s="412"/>
      <c r="E144" s="412"/>
      <c r="F144" s="414"/>
      <c r="G144" s="417">
        <f t="shared" si="4"/>
        <v>0</v>
      </c>
      <c r="H144" s="102"/>
      <c r="I144" s="102"/>
      <c r="J144" s="102"/>
      <c r="K144" s="102"/>
    </row>
    <row r="145" spans="1:11" ht="18" hidden="1" customHeight="1" x14ac:dyDescent="0.25">
      <c r="A145" s="1076"/>
      <c r="B145" s="1076"/>
      <c r="C145" s="1076"/>
      <c r="D145" s="412"/>
      <c r="E145" s="412"/>
      <c r="F145" s="414"/>
      <c r="G145" s="417">
        <f t="shared" si="4"/>
        <v>0</v>
      </c>
      <c r="H145" s="102"/>
      <c r="I145" s="102"/>
      <c r="J145" s="102"/>
      <c r="K145" s="102"/>
    </row>
    <row r="146" spans="1:11" ht="18" hidden="1" customHeight="1" x14ac:dyDescent="0.25">
      <c r="A146" s="1076"/>
      <c r="B146" s="1076"/>
      <c r="C146" s="1076"/>
      <c r="D146" s="412"/>
      <c r="E146" s="412"/>
      <c r="F146" s="414"/>
      <c r="G146" s="417">
        <f t="shared" si="4"/>
        <v>0</v>
      </c>
      <c r="H146" s="102"/>
      <c r="I146" s="102"/>
      <c r="J146" s="102"/>
      <c r="K146" s="102"/>
    </row>
    <row r="147" spans="1:11" ht="18" hidden="1" customHeight="1" x14ac:dyDescent="0.25">
      <c r="A147" s="1076"/>
      <c r="B147" s="1076"/>
      <c r="C147" s="1076"/>
      <c r="D147" s="412"/>
      <c r="E147" s="412"/>
      <c r="F147" s="414"/>
      <c r="G147" s="417">
        <f t="shared" si="4"/>
        <v>0</v>
      </c>
      <c r="H147" s="102"/>
      <c r="I147" s="102"/>
      <c r="J147" s="102"/>
      <c r="K147" s="102"/>
    </row>
    <row r="148" spans="1:11" ht="18" hidden="1" customHeight="1" x14ac:dyDescent="0.25">
      <c r="A148" s="1076"/>
      <c r="B148" s="1076"/>
      <c r="C148" s="1076"/>
      <c r="D148" s="412"/>
      <c r="E148" s="412"/>
      <c r="F148" s="414"/>
      <c r="G148" s="417">
        <f t="shared" si="4"/>
        <v>0</v>
      </c>
      <c r="H148" s="102"/>
      <c r="I148" s="102"/>
      <c r="J148" s="102"/>
      <c r="K148" s="102"/>
    </row>
    <row r="149" spans="1:11" ht="18" hidden="1" customHeight="1" x14ac:dyDescent="0.25">
      <c r="A149" s="1076"/>
      <c r="B149" s="1076"/>
      <c r="C149" s="1076"/>
      <c r="D149" s="412"/>
      <c r="E149" s="412"/>
      <c r="F149" s="414"/>
      <c r="G149" s="417">
        <f t="shared" si="4"/>
        <v>0</v>
      </c>
      <c r="H149" s="102"/>
      <c r="I149" s="102"/>
      <c r="J149" s="102"/>
      <c r="K149" s="102"/>
    </row>
    <row r="150" spans="1:11" ht="18" hidden="1" customHeight="1" x14ac:dyDescent="0.25">
      <c r="A150" s="1076"/>
      <c r="B150" s="1076"/>
      <c r="C150" s="1076"/>
      <c r="D150" s="412"/>
      <c r="E150" s="412"/>
      <c r="F150" s="414"/>
      <c r="G150" s="417">
        <f t="shared" si="4"/>
        <v>0</v>
      </c>
      <c r="H150" s="102"/>
      <c r="I150" s="102"/>
      <c r="J150" s="102"/>
      <c r="K150" s="102"/>
    </row>
    <row r="151" spans="1:11" ht="18" hidden="1" customHeight="1" x14ac:dyDescent="0.25">
      <c r="A151" s="1076"/>
      <c r="B151" s="1076"/>
      <c r="C151" s="1076"/>
      <c r="D151" s="412"/>
      <c r="E151" s="412"/>
      <c r="F151" s="414"/>
      <c r="G151" s="417">
        <f t="shared" si="4"/>
        <v>0</v>
      </c>
      <c r="H151" s="102"/>
      <c r="I151" s="102"/>
      <c r="J151" s="102"/>
      <c r="K151" s="102"/>
    </row>
    <row r="152" spans="1:11" ht="18" hidden="1" customHeight="1" x14ac:dyDescent="0.25">
      <c r="A152" s="1076"/>
      <c r="B152" s="1076"/>
      <c r="C152" s="1076"/>
      <c r="D152" s="412"/>
      <c r="E152" s="412"/>
      <c r="F152" s="414"/>
      <c r="G152" s="417">
        <f t="shared" si="4"/>
        <v>0</v>
      </c>
      <c r="H152" s="102"/>
      <c r="I152" s="102"/>
      <c r="J152" s="102"/>
      <c r="K152" s="102"/>
    </row>
    <row r="153" spans="1:11" ht="18" hidden="1" customHeight="1" x14ac:dyDescent="0.25">
      <c r="A153" s="1076"/>
      <c r="B153" s="1076"/>
      <c r="C153" s="1076"/>
      <c r="D153" s="412"/>
      <c r="E153" s="412"/>
      <c r="F153" s="414"/>
      <c r="G153" s="417">
        <f t="shared" si="4"/>
        <v>0</v>
      </c>
      <c r="H153" s="102"/>
      <c r="I153" s="102"/>
      <c r="J153" s="102"/>
      <c r="K153" s="102"/>
    </row>
    <row r="154" spans="1:11" ht="18" hidden="1" customHeight="1" x14ac:dyDescent="0.25">
      <c r="A154" s="1076"/>
      <c r="B154" s="1076"/>
      <c r="C154" s="1076"/>
      <c r="D154" s="412"/>
      <c r="E154" s="412"/>
      <c r="F154" s="414"/>
      <c r="G154" s="417">
        <f t="shared" ref="G154:G185" si="5">E154*F154</f>
        <v>0</v>
      </c>
      <c r="H154" s="102"/>
      <c r="I154" s="102"/>
      <c r="J154" s="102"/>
      <c r="K154" s="102"/>
    </row>
    <row r="155" spans="1:11" ht="18" hidden="1" customHeight="1" x14ac:dyDescent="0.25">
      <c r="A155" s="1076"/>
      <c r="B155" s="1076"/>
      <c r="C155" s="1076"/>
      <c r="D155" s="412"/>
      <c r="E155" s="412"/>
      <c r="F155" s="414"/>
      <c r="G155" s="417">
        <f t="shared" si="5"/>
        <v>0</v>
      </c>
      <c r="H155" s="102"/>
      <c r="I155" s="102"/>
      <c r="J155" s="102"/>
      <c r="K155" s="102"/>
    </row>
    <row r="156" spans="1:11" ht="18" hidden="1" customHeight="1" x14ac:dyDescent="0.25">
      <c r="A156" s="1076"/>
      <c r="B156" s="1076"/>
      <c r="C156" s="1076"/>
      <c r="D156" s="412"/>
      <c r="E156" s="412"/>
      <c r="F156" s="414"/>
      <c r="G156" s="417">
        <f t="shared" si="5"/>
        <v>0</v>
      </c>
      <c r="H156" s="102"/>
      <c r="I156" s="102"/>
      <c r="J156" s="102"/>
      <c r="K156" s="102"/>
    </row>
    <row r="157" spans="1:11" ht="18" hidden="1" customHeight="1" x14ac:dyDescent="0.25">
      <c r="A157" s="1076"/>
      <c r="B157" s="1076"/>
      <c r="C157" s="1076"/>
      <c r="D157" s="412"/>
      <c r="E157" s="412"/>
      <c r="F157" s="414"/>
      <c r="G157" s="417">
        <f t="shared" si="5"/>
        <v>0</v>
      </c>
      <c r="H157" s="102"/>
      <c r="I157" s="102"/>
      <c r="J157" s="102"/>
      <c r="K157" s="102"/>
    </row>
    <row r="158" spans="1:11" ht="18" hidden="1" customHeight="1" x14ac:dyDescent="0.25">
      <c r="A158" s="1076"/>
      <c r="B158" s="1076"/>
      <c r="C158" s="1076"/>
      <c r="D158" s="412"/>
      <c r="E158" s="412"/>
      <c r="F158" s="414"/>
      <c r="G158" s="417">
        <f t="shared" si="5"/>
        <v>0</v>
      </c>
      <c r="H158" s="102"/>
      <c r="I158" s="102"/>
      <c r="J158" s="102"/>
      <c r="K158" s="102"/>
    </row>
    <row r="159" spans="1:11" ht="18" hidden="1" customHeight="1" x14ac:dyDescent="0.25">
      <c r="A159" s="1076"/>
      <c r="B159" s="1076"/>
      <c r="C159" s="1076"/>
      <c r="D159" s="412"/>
      <c r="E159" s="412"/>
      <c r="F159" s="414"/>
      <c r="G159" s="417">
        <f t="shared" si="5"/>
        <v>0</v>
      </c>
      <c r="H159" s="102"/>
      <c r="I159" s="102"/>
      <c r="J159" s="102"/>
      <c r="K159" s="102"/>
    </row>
    <row r="160" spans="1:11" ht="18" hidden="1" customHeight="1" x14ac:dyDescent="0.25">
      <c r="A160" s="1076"/>
      <c r="B160" s="1076"/>
      <c r="C160" s="1076"/>
      <c r="D160" s="412"/>
      <c r="E160" s="412"/>
      <c r="F160" s="414"/>
      <c r="G160" s="417">
        <f t="shared" si="5"/>
        <v>0</v>
      </c>
      <c r="H160" s="102"/>
      <c r="I160" s="102"/>
      <c r="J160" s="102"/>
      <c r="K160" s="102"/>
    </row>
    <row r="161" spans="1:12" ht="18" hidden="1" customHeight="1" x14ac:dyDescent="0.25">
      <c r="A161" s="1076"/>
      <c r="B161" s="1076"/>
      <c r="C161" s="1076"/>
      <c r="D161" s="412"/>
      <c r="E161" s="412"/>
      <c r="F161" s="414"/>
      <c r="G161" s="417">
        <f t="shared" si="5"/>
        <v>0</v>
      </c>
      <c r="H161" s="102"/>
      <c r="I161" s="102"/>
      <c r="J161" s="102"/>
      <c r="K161" s="102"/>
    </row>
    <row r="162" spans="1:12" ht="18" hidden="1" customHeight="1" x14ac:dyDescent="0.25">
      <c r="A162" s="1076"/>
      <c r="B162" s="1076"/>
      <c r="C162" s="1076"/>
      <c r="D162" s="412"/>
      <c r="E162" s="412"/>
      <c r="F162" s="414"/>
      <c r="G162" s="417">
        <f t="shared" si="5"/>
        <v>0</v>
      </c>
      <c r="H162" s="102"/>
      <c r="I162" s="102"/>
      <c r="J162" s="102"/>
      <c r="K162" s="102"/>
    </row>
    <row r="163" spans="1:12" ht="18" hidden="1" customHeight="1" x14ac:dyDescent="0.25">
      <c r="A163" s="1076"/>
      <c r="B163" s="1076"/>
      <c r="C163" s="1076"/>
      <c r="D163" s="412"/>
      <c r="E163" s="412"/>
      <c r="F163" s="414"/>
      <c r="G163" s="417">
        <f t="shared" si="5"/>
        <v>0</v>
      </c>
      <c r="H163" s="102"/>
      <c r="I163" s="102"/>
      <c r="J163" s="102"/>
      <c r="K163" s="102"/>
    </row>
    <row r="164" spans="1:12" ht="18" hidden="1" customHeight="1" x14ac:dyDescent="0.25">
      <c r="A164" s="1076"/>
      <c r="B164" s="1076"/>
      <c r="C164" s="1076"/>
      <c r="D164" s="412"/>
      <c r="E164" s="412"/>
      <c r="F164" s="414"/>
      <c r="G164" s="417">
        <f t="shared" si="5"/>
        <v>0</v>
      </c>
      <c r="H164" s="102"/>
      <c r="I164" s="102"/>
      <c r="J164" s="102"/>
      <c r="K164" s="102"/>
    </row>
    <row r="165" spans="1:12" ht="18" hidden="1" customHeight="1" x14ac:dyDescent="0.25">
      <c r="A165" s="1076"/>
      <c r="B165" s="1076"/>
      <c r="C165" s="1076"/>
      <c r="D165" s="412"/>
      <c r="E165" s="412"/>
      <c r="F165" s="414"/>
      <c r="G165" s="417">
        <f t="shared" si="5"/>
        <v>0</v>
      </c>
      <c r="H165" s="102"/>
      <c r="I165" s="102"/>
      <c r="J165" s="102"/>
      <c r="K165" s="102"/>
    </row>
    <row r="166" spans="1:12" ht="18" hidden="1" customHeight="1" x14ac:dyDescent="0.25">
      <c r="A166" s="1076"/>
      <c r="B166" s="1076"/>
      <c r="C166" s="1076"/>
      <c r="D166" s="412"/>
      <c r="E166" s="412"/>
      <c r="F166" s="414"/>
      <c r="G166" s="417">
        <f t="shared" si="5"/>
        <v>0</v>
      </c>
      <c r="H166" s="102"/>
      <c r="I166" s="102"/>
      <c r="J166" s="102"/>
      <c r="K166" s="102"/>
    </row>
    <row r="167" spans="1:12" ht="18" hidden="1" customHeight="1" x14ac:dyDescent="0.25">
      <c r="A167" s="1076"/>
      <c r="B167" s="1076"/>
      <c r="C167" s="1076"/>
      <c r="D167" s="412"/>
      <c r="E167" s="412"/>
      <c r="F167" s="414"/>
      <c r="G167" s="417">
        <f t="shared" si="5"/>
        <v>0</v>
      </c>
      <c r="H167" s="102"/>
      <c r="I167" s="102"/>
      <c r="J167" s="102"/>
      <c r="K167" s="102"/>
    </row>
    <row r="168" spans="1:12" ht="18" hidden="1" customHeight="1" x14ac:dyDescent="0.25">
      <c r="A168" s="1076"/>
      <c r="B168" s="1076"/>
      <c r="C168" s="1076"/>
      <c r="D168" s="412"/>
      <c r="E168" s="412"/>
      <c r="F168" s="414"/>
      <c r="G168" s="417">
        <f t="shared" si="5"/>
        <v>0</v>
      </c>
      <c r="H168" s="102"/>
      <c r="I168" s="102"/>
      <c r="J168" s="102"/>
      <c r="K168" s="102"/>
    </row>
    <row r="169" spans="1:12" ht="18" hidden="1" customHeight="1" x14ac:dyDescent="0.25">
      <c r="A169" s="1076"/>
      <c r="B169" s="1076"/>
      <c r="C169" s="1076"/>
      <c r="D169" s="412"/>
      <c r="E169" s="412"/>
      <c r="F169" s="414"/>
      <c r="G169" s="417">
        <f t="shared" si="5"/>
        <v>0</v>
      </c>
      <c r="H169" s="102"/>
      <c r="I169" s="102"/>
      <c r="J169" s="102"/>
      <c r="K169" s="102"/>
    </row>
    <row r="170" spans="1:12" ht="18" hidden="1" customHeight="1" x14ac:dyDescent="0.25">
      <c r="A170" s="1076"/>
      <c r="B170" s="1076"/>
      <c r="C170" s="1076"/>
      <c r="D170" s="412"/>
      <c r="E170" s="412"/>
      <c r="F170" s="414"/>
      <c r="G170" s="417">
        <f t="shared" si="5"/>
        <v>0</v>
      </c>
      <c r="H170" s="102"/>
      <c r="I170" s="102"/>
      <c r="J170" s="102"/>
      <c r="K170" s="102"/>
    </row>
    <row r="171" spans="1:12" ht="18" hidden="1" customHeight="1" x14ac:dyDescent="0.25">
      <c r="A171" s="1076"/>
      <c r="B171" s="1076"/>
      <c r="C171" s="1076"/>
      <c r="D171" s="412"/>
      <c r="E171" s="412"/>
      <c r="F171" s="414"/>
      <c r="G171" s="417">
        <f t="shared" si="5"/>
        <v>0</v>
      </c>
      <c r="H171" s="102"/>
      <c r="I171" s="102"/>
      <c r="J171" s="102"/>
      <c r="K171" s="102"/>
    </row>
    <row r="172" spans="1:12" ht="18" hidden="1" customHeight="1" x14ac:dyDescent="0.25">
      <c r="A172" s="1076"/>
      <c r="B172" s="1076"/>
      <c r="C172" s="1076"/>
      <c r="D172" s="412"/>
      <c r="E172" s="412"/>
      <c r="F172" s="414"/>
      <c r="G172" s="417">
        <f t="shared" si="5"/>
        <v>0</v>
      </c>
      <c r="H172" s="102"/>
      <c r="I172" s="102"/>
      <c r="J172" s="102"/>
      <c r="K172" s="102"/>
      <c r="L172" s="420"/>
    </row>
    <row r="173" spans="1:12" ht="18" hidden="1" customHeight="1" x14ac:dyDescent="0.25">
      <c r="A173" s="1076"/>
      <c r="B173" s="1076"/>
      <c r="C173" s="1076"/>
      <c r="D173" s="412"/>
      <c r="E173" s="412"/>
      <c r="F173" s="414"/>
      <c r="G173" s="417">
        <f t="shared" si="5"/>
        <v>0</v>
      </c>
      <c r="H173" s="102"/>
      <c r="I173" s="102"/>
      <c r="J173" s="102"/>
      <c r="K173" s="102"/>
    </row>
    <row r="174" spans="1:12" ht="18" hidden="1" customHeight="1" x14ac:dyDescent="0.25">
      <c r="A174" s="1076"/>
      <c r="B174" s="1076"/>
      <c r="C174" s="1076"/>
      <c r="D174" s="412"/>
      <c r="E174" s="412"/>
      <c r="F174" s="414"/>
      <c r="G174" s="417">
        <f t="shared" si="5"/>
        <v>0</v>
      </c>
      <c r="H174" s="102"/>
      <c r="I174" s="102"/>
      <c r="J174" s="102"/>
      <c r="K174" s="102"/>
    </row>
    <row r="175" spans="1:12" ht="18" hidden="1" customHeight="1" x14ac:dyDescent="0.25">
      <c r="A175" s="1076"/>
      <c r="B175" s="1076"/>
      <c r="C175" s="1076"/>
      <c r="D175" s="412"/>
      <c r="E175" s="412"/>
      <c r="F175" s="414"/>
      <c r="G175" s="417">
        <f t="shared" si="5"/>
        <v>0</v>
      </c>
      <c r="H175" s="102"/>
      <c r="I175" s="102"/>
      <c r="J175" s="102"/>
      <c r="K175" s="102"/>
    </row>
    <row r="176" spans="1:12" ht="18" hidden="1" customHeight="1" x14ac:dyDescent="0.25">
      <c r="A176" s="1076"/>
      <c r="B176" s="1076"/>
      <c r="C176" s="1076"/>
      <c r="D176" s="412"/>
      <c r="E176" s="412"/>
      <c r="F176" s="414"/>
      <c r="G176" s="417">
        <f t="shared" si="5"/>
        <v>0</v>
      </c>
      <c r="H176" s="102"/>
      <c r="I176" s="102"/>
      <c r="J176" s="102"/>
      <c r="K176" s="102"/>
    </row>
    <row r="177" spans="1:11" ht="18" customHeight="1" x14ac:dyDescent="0.25">
      <c r="A177" s="1075" t="s">
        <v>455</v>
      </c>
      <c r="B177" s="1075"/>
      <c r="C177" s="1075"/>
      <c r="D177" s="1075"/>
      <c r="E177" s="1075"/>
      <c r="F177" s="1075"/>
      <c r="G177" s="419">
        <f>SUM(G122:G176)</f>
        <v>0</v>
      </c>
      <c r="H177" s="419">
        <f>SUM(H122:H176)</f>
        <v>0</v>
      </c>
      <c r="I177" s="419">
        <f>SUM(I122:I176)</f>
        <v>0</v>
      </c>
      <c r="J177" s="419">
        <f>SUM(J122:J176)</f>
        <v>0</v>
      </c>
      <c r="K177" s="419">
        <f>SUM(K122:K176)</f>
        <v>0</v>
      </c>
    </row>
    <row r="178" spans="1:11" ht="18" customHeight="1" x14ac:dyDescent="0.25">
      <c r="A178" s="1074" t="s">
        <v>456</v>
      </c>
      <c r="B178" s="1074"/>
      <c r="C178" s="1074"/>
      <c r="D178" s="1074"/>
      <c r="E178" s="1074"/>
      <c r="F178" s="1074"/>
      <c r="G178" s="1074"/>
      <c r="H178" s="1074"/>
      <c r="I178" s="1074"/>
      <c r="J178" s="1074"/>
      <c r="K178" s="1074"/>
    </row>
    <row r="179" spans="1:11" ht="18" customHeight="1" x14ac:dyDescent="0.25">
      <c r="A179" s="1076"/>
      <c r="B179" s="1076"/>
      <c r="C179" s="1076"/>
      <c r="D179" s="314"/>
      <c r="E179" s="314"/>
      <c r="F179" s="414"/>
      <c r="G179" s="417">
        <f t="shared" ref="G179:G210" si="6">E179*F179</f>
        <v>0</v>
      </c>
      <c r="H179" s="102"/>
      <c r="I179" s="102"/>
      <c r="J179" s="102"/>
      <c r="K179" s="102"/>
    </row>
    <row r="180" spans="1:11" ht="18" customHeight="1" x14ac:dyDescent="0.25">
      <c r="A180" s="1076"/>
      <c r="B180" s="1076"/>
      <c r="C180" s="1076"/>
      <c r="D180" s="314"/>
      <c r="E180" s="314"/>
      <c r="F180" s="414"/>
      <c r="G180" s="417">
        <f t="shared" si="6"/>
        <v>0</v>
      </c>
      <c r="H180" s="102"/>
      <c r="I180" s="102"/>
      <c r="J180" s="102"/>
      <c r="K180" s="102"/>
    </row>
    <row r="181" spans="1:11" ht="18" customHeight="1" x14ac:dyDescent="0.25">
      <c r="A181" s="1076"/>
      <c r="B181" s="1076"/>
      <c r="C181" s="1076"/>
      <c r="D181" s="314"/>
      <c r="E181" s="314"/>
      <c r="F181" s="414"/>
      <c r="G181" s="417">
        <f t="shared" si="6"/>
        <v>0</v>
      </c>
      <c r="H181" s="102"/>
      <c r="I181" s="102"/>
      <c r="J181" s="102"/>
      <c r="K181" s="102"/>
    </row>
    <row r="182" spans="1:11" ht="18" customHeight="1" x14ac:dyDescent="0.25">
      <c r="A182" s="1076"/>
      <c r="B182" s="1076"/>
      <c r="C182" s="1076"/>
      <c r="D182" s="314"/>
      <c r="E182" s="314"/>
      <c r="F182" s="414"/>
      <c r="G182" s="417">
        <f t="shared" si="6"/>
        <v>0</v>
      </c>
      <c r="H182" s="102"/>
      <c r="I182" s="102"/>
      <c r="J182" s="102"/>
      <c r="K182" s="102"/>
    </row>
    <row r="183" spans="1:11" ht="18" customHeight="1" x14ac:dyDescent="0.25">
      <c r="A183" s="1076"/>
      <c r="B183" s="1076"/>
      <c r="C183" s="1076"/>
      <c r="D183" s="314"/>
      <c r="E183" s="314"/>
      <c r="F183" s="414"/>
      <c r="G183" s="417">
        <f t="shared" si="6"/>
        <v>0</v>
      </c>
      <c r="H183" s="102"/>
      <c r="I183" s="102"/>
      <c r="J183" s="102"/>
      <c r="K183" s="102"/>
    </row>
    <row r="184" spans="1:11" ht="18" hidden="1" customHeight="1" x14ac:dyDescent="0.25">
      <c r="A184" s="1076"/>
      <c r="B184" s="1076"/>
      <c r="C184" s="1076"/>
      <c r="D184" s="314"/>
      <c r="E184" s="314"/>
      <c r="F184" s="414"/>
      <c r="G184" s="417">
        <f t="shared" si="6"/>
        <v>0</v>
      </c>
      <c r="H184" s="102"/>
      <c r="I184" s="102"/>
      <c r="J184" s="102"/>
      <c r="K184" s="102"/>
    </row>
    <row r="185" spans="1:11" ht="18" hidden="1" customHeight="1" x14ac:dyDescent="0.25">
      <c r="A185" s="1076"/>
      <c r="B185" s="1076"/>
      <c r="C185" s="1076"/>
      <c r="D185" s="314"/>
      <c r="E185" s="314"/>
      <c r="F185" s="414"/>
      <c r="G185" s="417">
        <f t="shared" si="6"/>
        <v>0</v>
      </c>
      <c r="H185" s="102"/>
      <c r="I185" s="102"/>
      <c r="J185" s="102"/>
      <c r="K185" s="102"/>
    </row>
    <row r="186" spans="1:11" ht="18" hidden="1" customHeight="1" x14ac:dyDescent="0.25">
      <c r="A186" s="1076"/>
      <c r="B186" s="1076"/>
      <c r="C186" s="1076"/>
      <c r="D186" s="314"/>
      <c r="E186" s="314"/>
      <c r="F186" s="414"/>
      <c r="G186" s="417">
        <f t="shared" si="6"/>
        <v>0</v>
      </c>
      <c r="H186" s="102"/>
      <c r="I186" s="102"/>
      <c r="J186" s="102"/>
      <c r="K186" s="102"/>
    </row>
    <row r="187" spans="1:11" ht="18" hidden="1" customHeight="1" x14ac:dyDescent="0.25">
      <c r="A187" s="1076"/>
      <c r="B187" s="1076"/>
      <c r="C187" s="1076"/>
      <c r="D187" s="314"/>
      <c r="E187" s="314"/>
      <c r="F187" s="414"/>
      <c r="G187" s="417">
        <f t="shared" si="6"/>
        <v>0</v>
      </c>
      <c r="H187" s="102"/>
      <c r="I187" s="102"/>
      <c r="J187" s="102"/>
      <c r="K187" s="102"/>
    </row>
    <row r="188" spans="1:11" ht="18" hidden="1" customHeight="1" x14ac:dyDescent="0.25">
      <c r="A188" s="1076"/>
      <c r="B188" s="1076"/>
      <c r="C188" s="1076"/>
      <c r="D188" s="314"/>
      <c r="E188" s="314"/>
      <c r="F188" s="414"/>
      <c r="G188" s="417">
        <f t="shared" si="6"/>
        <v>0</v>
      </c>
      <c r="H188" s="102"/>
      <c r="I188" s="102"/>
      <c r="J188" s="102"/>
      <c r="K188" s="102"/>
    </row>
    <row r="189" spans="1:11" ht="18" hidden="1" customHeight="1" x14ac:dyDescent="0.25">
      <c r="A189" s="1076"/>
      <c r="B189" s="1076"/>
      <c r="C189" s="1076"/>
      <c r="D189" s="314"/>
      <c r="E189" s="314"/>
      <c r="F189" s="414"/>
      <c r="G189" s="417">
        <f t="shared" si="6"/>
        <v>0</v>
      </c>
      <c r="H189" s="102"/>
      <c r="I189" s="102"/>
      <c r="J189" s="102"/>
      <c r="K189" s="102"/>
    </row>
    <row r="190" spans="1:11" ht="18" hidden="1" customHeight="1" x14ac:dyDescent="0.25">
      <c r="A190" s="1076"/>
      <c r="B190" s="1076"/>
      <c r="C190" s="1076"/>
      <c r="D190" s="314"/>
      <c r="E190" s="314"/>
      <c r="F190" s="414"/>
      <c r="G190" s="417">
        <f t="shared" si="6"/>
        <v>0</v>
      </c>
      <c r="H190" s="102"/>
      <c r="I190" s="102"/>
      <c r="J190" s="102"/>
      <c r="K190" s="102"/>
    </row>
    <row r="191" spans="1:11" ht="18" hidden="1" customHeight="1" x14ac:dyDescent="0.25">
      <c r="A191" s="1076"/>
      <c r="B191" s="1076"/>
      <c r="C191" s="1076"/>
      <c r="D191" s="314"/>
      <c r="E191" s="314"/>
      <c r="F191" s="414"/>
      <c r="G191" s="417">
        <f t="shared" si="6"/>
        <v>0</v>
      </c>
      <c r="H191" s="102"/>
      <c r="I191" s="102"/>
      <c r="J191" s="102"/>
      <c r="K191" s="102"/>
    </row>
    <row r="192" spans="1:11" ht="18" hidden="1" customHeight="1" x14ac:dyDescent="0.25">
      <c r="A192" s="1076"/>
      <c r="B192" s="1076"/>
      <c r="C192" s="1076"/>
      <c r="D192" s="314"/>
      <c r="E192" s="314"/>
      <c r="F192" s="414"/>
      <c r="G192" s="417">
        <f t="shared" si="6"/>
        <v>0</v>
      </c>
      <c r="H192" s="102"/>
      <c r="I192" s="102"/>
      <c r="J192" s="102"/>
      <c r="K192" s="102"/>
    </row>
    <row r="193" spans="1:11" ht="18" hidden="1" customHeight="1" x14ac:dyDescent="0.25">
      <c r="A193" s="1076"/>
      <c r="B193" s="1076"/>
      <c r="C193" s="1076"/>
      <c r="D193" s="314"/>
      <c r="E193" s="314"/>
      <c r="F193" s="414"/>
      <c r="G193" s="417">
        <f t="shared" si="6"/>
        <v>0</v>
      </c>
      <c r="H193" s="102"/>
      <c r="I193" s="102"/>
      <c r="J193" s="102"/>
      <c r="K193" s="102"/>
    </row>
    <row r="194" spans="1:11" ht="18" hidden="1" customHeight="1" x14ac:dyDescent="0.25">
      <c r="A194" s="1076"/>
      <c r="B194" s="1076"/>
      <c r="C194" s="1076"/>
      <c r="D194" s="314"/>
      <c r="E194" s="314"/>
      <c r="F194" s="414"/>
      <c r="G194" s="417">
        <f t="shared" si="6"/>
        <v>0</v>
      </c>
      <c r="H194" s="102"/>
      <c r="I194" s="102"/>
      <c r="J194" s="102"/>
      <c r="K194" s="102"/>
    </row>
    <row r="195" spans="1:11" ht="18" hidden="1" customHeight="1" x14ac:dyDescent="0.25">
      <c r="A195" s="1076"/>
      <c r="B195" s="1076"/>
      <c r="C195" s="1076"/>
      <c r="D195" s="314"/>
      <c r="E195" s="314"/>
      <c r="F195" s="414"/>
      <c r="G195" s="417">
        <f t="shared" si="6"/>
        <v>0</v>
      </c>
      <c r="H195" s="102"/>
      <c r="I195" s="102"/>
      <c r="J195" s="102"/>
      <c r="K195" s="102"/>
    </row>
    <row r="196" spans="1:11" ht="18" hidden="1" customHeight="1" x14ac:dyDescent="0.25">
      <c r="A196" s="1076"/>
      <c r="B196" s="1076"/>
      <c r="C196" s="1076"/>
      <c r="D196" s="314"/>
      <c r="E196" s="314"/>
      <c r="F196" s="414"/>
      <c r="G196" s="417">
        <f t="shared" si="6"/>
        <v>0</v>
      </c>
      <c r="H196" s="102"/>
      <c r="I196" s="102"/>
      <c r="J196" s="102"/>
      <c r="K196" s="102"/>
    </row>
    <row r="197" spans="1:11" ht="18" hidden="1" customHeight="1" x14ac:dyDescent="0.25">
      <c r="A197" s="1076"/>
      <c r="B197" s="1076"/>
      <c r="C197" s="1076"/>
      <c r="D197" s="314"/>
      <c r="E197" s="314"/>
      <c r="F197" s="414"/>
      <c r="G197" s="417">
        <f t="shared" si="6"/>
        <v>0</v>
      </c>
      <c r="H197" s="102"/>
      <c r="I197" s="102"/>
      <c r="J197" s="102"/>
      <c r="K197" s="102"/>
    </row>
    <row r="198" spans="1:11" ht="18" hidden="1" customHeight="1" x14ac:dyDescent="0.25">
      <c r="A198" s="1076"/>
      <c r="B198" s="1076"/>
      <c r="C198" s="1076"/>
      <c r="D198" s="314"/>
      <c r="E198" s="314"/>
      <c r="F198" s="414"/>
      <c r="G198" s="417">
        <f t="shared" si="6"/>
        <v>0</v>
      </c>
      <c r="H198" s="102"/>
      <c r="I198" s="102"/>
      <c r="J198" s="102"/>
      <c r="K198" s="102"/>
    </row>
    <row r="199" spans="1:11" ht="18" hidden="1" customHeight="1" x14ac:dyDescent="0.25">
      <c r="A199" s="1076"/>
      <c r="B199" s="1076"/>
      <c r="C199" s="1076"/>
      <c r="D199" s="314"/>
      <c r="E199" s="314"/>
      <c r="F199" s="414"/>
      <c r="G199" s="417">
        <f t="shared" si="6"/>
        <v>0</v>
      </c>
      <c r="H199" s="102"/>
      <c r="I199" s="102"/>
      <c r="J199" s="102"/>
      <c r="K199" s="102"/>
    </row>
    <row r="200" spans="1:11" ht="18" hidden="1" customHeight="1" x14ac:dyDescent="0.25">
      <c r="A200" s="1076"/>
      <c r="B200" s="1076"/>
      <c r="C200" s="1076"/>
      <c r="D200" s="314"/>
      <c r="E200" s="314"/>
      <c r="F200" s="414"/>
      <c r="G200" s="417">
        <f t="shared" si="6"/>
        <v>0</v>
      </c>
      <c r="H200" s="102"/>
      <c r="I200" s="102"/>
      <c r="J200" s="102"/>
      <c r="K200" s="102"/>
    </row>
    <row r="201" spans="1:11" ht="18" hidden="1" customHeight="1" x14ac:dyDescent="0.25">
      <c r="A201" s="1076"/>
      <c r="B201" s="1076"/>
      <c r="C201" s="1076"/>
      <c r="D201" s="314"/>
      <c r="E201" s="314"/>
      <c r="F201" s="414"/>
      <c r="G201" s="417">
        <f t="shared" si="6"/>
        <v>0</v>
      </c>
      <c r="H201" s="102"/>
      <c r="I201" s="102"/>
      <c r="J201" s="102"/>
      <c r="K201" s="102"/>
    </row>
    <row r="202" spans="1:11" ht="18" hidden="1" customHeight="1" x14ac:dyDescent="0.25">
      <c r="A202" s="1076"/>
      <c r="B202" s="1076"/>
      <c r="C202" s="1076"/>
      <c r="D202" s="314"/>
      <c r="E202" s="314"/>
      <c r="F202" s="414"/>
      <c r="G202" s="417">
        <f t="shared" si="6"/>
        <v>0</v>
      </c>
      <c r="H202" s="102"/>
      <c r="I202" s="102"/>
      <c r="J202" s="102"/>
      <c r="K202" s="102"/>
    </row>
    <row r="203" spans="1:11" ht="18" hidden="1" customHeight="1" x14ac:dyDescent="0.25">
      <c r="A203" s="1076"/>
      <c r="B203" s="1076"/>
      <c r="C203" s="1076"/>
      <c r="D203" s="314"/>
      <c r="E203" s="314"/>
      <c r="F203" s="414"/>
      <c r="G203" s="417">
        <f t="shared" si="6"/>
        <v>0</v>
      </c>
      <c r="H203" s="102"/>
      <c r="I203" s="102"/>
      <c r="J203" s="102"/>
      <c r="K203" s="102"/>
    </row>
    <row r="204" spans="1:11" ht="18" hidden="1" customHeight="1" x14ac:dyDescent="0.25">
      <c r="A204" s="1076"/>
      <c r="B204" s="1076"/>
      <c r="C204" s="1076"/>
      <c r="D204" s="314"/>
      <c r="E204" s="314"/>
      <c r="F204" s="414"/>
      <c r="G204" s="417">
        <f t="shared" si="6"/>
        <v>0</v>
      </c>
      <c r="H204" s="102"/>
      <c r="I204" s="102"/>
      <c r="J204" s="102"/>
      <c r="K204" s="102"/>
    </row>
    <row r="205" spans="1:11" ht="18" hidden="1" customHeight="1" x14ac:dyDescent="0.25">
      <c r="A205" s="1076"/>
      <c r="B205" s="1076"/>
      <c r="C205" s="1076"/>
      <c r="D205" s="314"/>
      <c r="E205" s="314"/>
      <c r="F205" s="414"/>
      <c r="G205" s="417">
        <f t="shared" si="6"/>
        <v>0</v>
      </c>
      <c r="H205" s="102"/>
      <c r="I205" s="102"/>
      <c r="J205" s="102"/>
      <c r="K205" s="102"/>
    </row>
    <row r="206" spans="1:11" ht="18" hidden="1" customHeight="1" x14ac:dyDescent="0.25">
      <c r="A206" s="1076"/>
      <c r="B206" s="1076"/>
      <c r="C206" s="1076"/>
      <c r="D206" s="314"/>
      <c r="E206" s="314"/>
      <c r="F206" s="414"/>
      <c r="G206" s="417">
        <f t="shared" si="6"/>
        <v>0</v>
      </c>
      <c r="H206" s="102"/>
      <c r="I206" s="102"/>
      <c r="J206" s="102"/>
      <c r="K206" s="102"/>
    </row>
    <row r="207" spans="1:11" ht="18" hidden="1" customHeight="1" x14ac:dyDescent="0.25">
      <c r="A207" s="1076"/>
      <c r="B207" s="1076"/>
      <c r="C207" s="1076"/>
      <c r="D207" s="314"/>
      <c r="E207" s="314"/>
      <c r="F207" s="414"/>
      <c r="G207" s="417">
        <f t="shared" si="6"/>
        <v>0</v>
      </c>
      <c r="H207" s="102"/>
      <c r="I207" s="102"/>
      <c r="J207" s="102"/>
      <c r="K207" s="102"/>
    </row>
    <row r="208" spans="1:11" ht="18" hidden="1" customHeight="1" x14ac:dyDescent="0.25">
      <c r="A208" s="1076"/>
      <c r="B208" s="1076"/>
      <c r="C208" s="1076"/>
      <c r="D208" s="314"/>
      <c r="E208" s="314"/>
      <c r="F208" s="414"/>
      <c r="G208" s="417">
        <f t="shared" si="6"/>
        <v>0</v>
      </c>
      <c r="H208" s="102"/>
      <c r="I208" s="102"/>
      <c r="J208" s="102"/>
      <c r="K208" s="102"/>
    </row>
    <row r="209" spans="1:11" ht="18" hidden="1" customHeight="1" x14ac:dyDescent="0.25">
      <c r="A209" s="1076"/>
      <c r="B209" s="1076"/>
      <c r="C209" s="1076"/>
      <c r="D209" s="314"/>
      <c r="E209" s="314"/>
      <c r="F209" s="414"/>
      <c r="G209" s="417">
        <f t="shared" si="6"/>
        <v>0</v>
      </c>
      <c r="H209" s="102"/>
      <c r="I209" s="102"/>
      <c r="J209" s="102"/>
      <c r="K209" s="102"/>
    </row>
    <row r="210" spans="1:11" ht="18" hidden="1" customHeight="1" x14ac:dyDescent="0.25">
      <c r="A210" s="1076"/>
      <c r="B210" s="1076"/>
      <c r="C210" s="1076"/>
      <c r="D210" s="314"/>
      <c r="E210" s="314"/>
      <c r="F210" s="414"/>
      <c r="G210" s="417">
        <f t="shared" si="6"/>
        <v>0</v>
      </c>
      <c r="H210" s="102"/>
      <c r="I210" s="102"/>
      <c r="J210" s="102"/>
      <c r="K210" s="102"/>
    </row>
    <row r="211" spans="1:11" ht="18" hidden="1" customHeight="1" x14ac:dyDescent="0.25">
      <c r="A211" s="1076"/>
      <c r="B211" s="1076"/>
      <c r="C211" s="1076"/>
      <c r="D211" s="314"/>
      <c r="E211" s="314"/>
      <c r="F211" s="414"/>
      <c r="G211" s="417">
        <f t="shared" ref="G211:G242" si="7">E211*F211</f>
        <v>0</v>
      </c>
      <c r="H211" s="102"/>
      <c r="I211" s="102"/>
      <c r="J211" s="102"/>
      <c r="K211" s="102"/>
    </row>
    <row r="212" spans="1:11" ht="18" hidden="1" customHeight="1" x14ac:dyDescent="0.25">
      <c r="A212" s="1076"/>
      <c r="B212" s="1076"/>
      <c r="C212" s="1076"/>
      <c r="D212" s="314"/>
      <c r="E212" s="314"/>
      <c r="F212" s="414"/>
      <c r="G212" s="417">
        <f t="shared" si="7"/>
        <v>0</v>
      </c>
      <c r="H212" s="102"/>
      <c r="I212" s="102"/>
      <c r="J212" s="102"/>
      <c r="K212" s="102"/>
    </row>
    <row r="213" spans="1:11" ht="18" hidden="1" customHeight="1" x14ac:dyDescent="0.25">
      <c r="A213" s="1076"/>
      <c r="B213" s="1076"/>
      <c r="C213" s="1076"/>
      <c r="D213" s="314"/>
      <c r="E213" s="314"/>
      <c r="F213" s="414"/>
      <c r="G213" s="417">
        <f t="shared" si="7"/>
        <v>0</v>
      </c>
      <c r="H213" s="102"/>
      <c r="I213" s="102"/>
      <c r="J213" s="102"/>
      <c r="K213" s="102"/>
    </row>
    <row r="214" spans="1:11" ht="18" hidden="1" customHeight="1" x14ac:dyDescent="0.25">
      <c r="A214" s="1076"/>
      <c r="B214" s="1076"/>
      <c r="C214" s="1076"/>
      <c r="D214" s="314"/>
      <c r="E214" s="314"/>
      <c r="F214" s="414"/>
      <c r="G214" s="417">
        <f t="shared" si="7"/>
        <v>0</v>
      </c>
      <c r="H214" s="102"/>
      <c r="I214" s="102"/>
      <c r="J214" s="102"/>
      <c r="K214" s="102"/>
    </row>
    <row r="215" spans="1:11" ht="18" hidden="1" customHeight="1" x14ac:dyDescent="0.25">
      <c r="A215" s="1076"/>
      <c r="B215" s="1076"/>
      <c r="C215" s="1076"/>
      <c r="D215" s="314"/>
      <c r="E215" s="314"/>
      <c r="F215" s="414"/>
      <c r="G215" s="417">
        <f t="shared" si="7"/>
        <v>0</v>
      </c>
      <c r="H215" s="102"/>
      <c r="I215" s="102"/>
      <c r="J215" s="102"/>
      <c r="K215" s="102"/>
    </row>
    <row r="216" spans="1:11" ht="18" hidden="1" customHeight="1" x14ac:dyDescent="0.25">
      <c r="A216" s="1076"/>
      <c r="B216" s="1076"/>
      <c r="C216" s="1076"/>
      <c r="D216" s="314"/>
      <c r="E216" s="314"/>
      <c r="F216" s="414"/>
      <c r="G216" s="417">
        <f t="shared" si="7"/>
        <v>0</v>
      </c>
      <c r="H216" s="102"/>
      <c r="I216" s="102"/>
      <c r="J216" s="102"/>
      <c r="K216" s="102"/>
    </row>
    <row r="217" spans="1:11" ht="18" hidden="1" customHeight="1" x14ac:dyDescent="0.25">
      <c r="A217" s="1076"/>
      <c r="B217" s="1076"/>
      <c r="C217" s="1076"/>
      <c r="D217" s="314"/>
      <c r="E217" s="314"/>
      <c r="F217" s="414"/>
      <c r="G217" s="417">
        <f t="shared" si="7"/>
        <v>0</v>
      </c>
      <c r="H217" s="102"/>
      <c r="I217" s="102"/>
      <c r="J217" s="102"/>
      <c r="K217" s="102"/>
    </row>
    <row r="218" spans="1:11" ht="18" hidden="1" customHeight="1" x14ac:dyDescent="0.25">
      <c r="A218" s="1076"/>
      <c r="B218" s="1076"/>
      <c r="C218" s="1076"/>
      <c r="D218" s="314"/>
      <c r="E218" s="314"/>
      <c r="F218" s="414"/>
      <c r="G218" s="417">
        <f t="shared" si="7"/>
        <v>0</v>
      </c>
      <c r="H218" s="102"/>
      <c r="I218" s="102"/>
      <c r="J218" s="102"/>
      <c r="K218" s="102"/>
    </row>
    <row r="219" spans="1:11" ht="18" hidden="1" customHeight="1" x14ac:dyDescent="0.25">
      <c r="A219" s="1076"/>
      <c r="B219" s="1076"/>
      <c r="C219" s="1076"/>
      <c r="D219" s="314"/>
      <c r="E219" s="314"/>
      <c r="F219" s="414"/>
      <c r="G219" s="417">
        <f t="shared" si="7"/>
        <v>0</v>
      </c>
      <c r="H219" s="102"/>
      <c r="I219" s="102"/>
      <c r="J219" s="102"/>
      <c r="K219" s="102"/>
    </row>
    <row r="220" spans="1:11" ht="18" hidden="1" customHeight="1" x14ac:dyDescent="0.25">
      <c r="A220" s="1076"/>
      <c r="B220" s="1076"/>
      <c r="C220" s="1076"/>
      <c r="D220" s="314"/>
      <c r="E220" s="314"/>
      <c r="F220" s="414"/>
      <c r="G220" s="417">
        <f t="shared" si="7"/>
        <v>0</v>
      </c>
      <c r="H220" s="102"/>
      <c r="I220" s="102"/>
      <c r="J220" s="102"/>
      <c r="K220" s="102"/>
    </row>
    <row r="221" spans="1:11" ht="18" hidden="1" customHeight="1" x14ac:dyDescent="0.25">
      <c r="A221" s="1076"/>
      <c r="B221" s="1076"/>
      <c r="C221" s="1076"/>
      <c r="D221" s="314"/>
      <c r="E221" s="314"/>
      <c r="F221" s="414"/>
      <c r="G221" s="417">
        <f t="shared" si="7"/>
        <v>0</v>
      </c>
      <c r="H221" s="102"/>
      <c r="I221" s="102"/>
      <c r="J221" s="102"/>
      <c r="K221" s="102"/>
    </row>
    <row r="222" spans="1:11" ht="18" hidden="1" customHeight="1" x14ac:dyDescent="0.25">
      <c r="A222" s="1076"/>
      <c r="B222" s="1076"/>
      <c r="C222" s="1076"/>
      <c r="D222" s="314"/>
      <c r="E222" s="314"/>
      <c r="F222" s="414"/>
      <c r="G222" s="417">
        <f t="shared" si="7"/>
        <v>0</v>
      </c>
      <c r="H222" s="102"/>
      <c r="I222" s="102"/>
      <c r="J222" s="102"/>
      <c r="K222" s="102"/>
    </row>
    <row r="223" spans="1:11" ht="18" hidden="1" customHeight="1" x14ac:dyDescent="0.25">
      <c r="A223" s="1076"/>
      <c r="B223" s="1076"/>
      <c r="C223" s="1076"/>
      <c r="D223" s="314"/>
      <c r="E223" s="314"/>
      <c r="F223" s="414"/>
      <c r="G223" s="417">
        <f t="shared" si="7"/>
        <v>0</v>
      </c>
      <c r="H223" s="102"/>
      <c r="I223" s="102"/>
      <c r="J223" s="102"/>
      <c r="K223" s="102"/>
    </row>
    <row r="224" spans="1:11" ht="18" hidden="1" customHeight="1" x14ac:dyDescent="0.25">
      <c r="A224" s="1076"/>
      <c r="B224" s="1076"/>
      <c r="C224" s="1076"/>
      <c r="D224" s="314"/>
      <c r="E224" s="314"/>
      <c r="F224" s="414"/>
      <c r="G224" s="417">
        <f t="shared" si="7"/>
        <v>0</v>
      </c>
      <c r="H224" s="102"/>
      <c r="I224" s="102"/>
      <c r="J224" s="102"/>
      <c r="K224" s="102"/>
    </row>
    <row r="225" spans="1:12" ht="18" hidden="1" customHeight="1" x14ac:dyDescent="0.25">
      <c r="A225" s="1076"/>
      <c r="B225" s="1076"/>
      <c r="C225" s="1076"/>
      <c r="D225" s="314"/>
      <c r="E225" s="314"/>
      <c r="F225" s="414"/>
      <c r="G225" s="417">
        <f t="shared" si="7"/>
        <v>0</v>
      </c>
      <c r="H225" s="102"/>
      <c r="I225" s="102"/>
      <c r="J225" s="102"/>
      <c r="K225" s="102"/>
    </row>
    <row r="226" spans="1:12" ht="18" hidden="1" customHeight="1" x14ac:dyDescent="0.25">
      <c r="A226" s="1076"/>
      <c r="B226" s="1076"/>
      <c r="C226" s="1076"/>
      <c r="D226" s="314"/>
      <c r="E226" s="314"/>
      <c r="F226" s="414"/>
      <c r="G226" s="417">
        <f t="shared" si="7"/>
        <v>0</v>
      </c>
      <c r="H226" s="102"/>
      <c r="I226" s="102"/>
      <c r="J226" s="102"/>
      <c r="K226" s="102"/>
    </row>
    <row r="227" spans="1:12" ht="18" hidden="1" customHeight="1" x14ac:dyDescent="0.25">
      <c r="A227" s="1076"/>
      <c r="B227" s="1076"/>
      <c r="C227" s="1076"/>
      <c r="D227" s="314"/>
      <c r="E227" s="314"/>
      <c r="F227" s="414"/>
      <c r="G227" s="417">
        <f t="shared" si="7"/>
        <v>0</v>
      </c>
      <c r="H227" s="102"/>
      <c r="I227" s="102"/>
      <c r="J227" s="102"/>
      <c r="K227" s="102"/>
    </row>
    <row r="228" spans="1:12" ht="18" hidden="1" customHeight="1" x14ac:dyDescent="0.25">
      <c r="A228" s="1076"/>
      <c r="B228" s="1076"/>
      <c r="C228" s="1076"/>
      <c r="D228" s="314"/>
      <c r="E228" s="314"/>
      <c r="F228" s="414"/>
      <c r="G228" s="417">
        <f t="shared" si="7"/>
        <v>0</v>
      </c>
      <c r="H228" s="102"/>
      <c r="I228" s="102"/>
      <c r="J228" s="102"/>
      <c r="K228" s="102"/>
    </row>
    <row r="229" spans="1:12" ht="18" hidden="1" customHeight="1" x14ac:dyDescent="0.25">
      <c r="A229" s="1076"/>
      <c r="B229" s="1076"/>
      <c r="C229" s="1076"/>
      <c r="D229" s="314"/>
      <c r="E229" s="314"/>
      <c r="F229" s="414"/>
      <c r="G229" s="417">
        <f t="shared" si="7"/>
        <v>0</v>
      </c>
      <c r="H229" s="102"/>
      <c r="I229" s="102"/>
      <c r="J229" s="102"/>
      <c r="K229" s="102"/>
    </row>
    <row r="230" spans="1:12" ht="18" hidden="1" customHeight="1" x14ac:dyDescent="0.25">
      <c r="A230" s="1076"/>
      <c r="B230" s="1076"/>
      <c r="C230" s="1076"/>
      <c r="D230" s="314"/>
      <c r="E230" s="314"/>
      <c r="F230" s="414"/>
      <c r="G230" s="417">
        <f t="shared" si="7"/>
        <v>0</v>
      </c>
      <c r="H230" s="102"/>
      <c r="I230" s="102"/>
      <c r="J230" s="102"/>
      <c r="K230" s="102"/>
    </row>
    <row r="231" spans="1:12" ht="18" hidden="1" customHeight="1" x14ac:dyDescent="0.25">
      <c r="A231" s="1076"/>
      <c r="B231" s="1076"/>
      <c r="C231" s="1076"/>
      <c r="D231" s="314"/>
      <c r="E231" s="314"/>
      <c r="F231" s="414"/>
      <c r="G231" s="417">
        <f t="shared" si="7"/>
        <v>0</v>
      </c>
      <c r="H231" s="102"/>
      <c r="I231" s="102"/>
      <c r="J231" s="102"/>
      <c r="K231" s="102"/>
    </row>
    <row r="232" spans="1:12" ht="18" hidden="1" customHeight="1" x14ac:dyDescent="0.25">
      <c r="A232" s="1076"/>
      <c r="B232" s="1076"/>
      <c r="C232" s="1076"/>
      <c r="D232" s="314"/>
      <c r="E232" s="314"/>
      <c r="F232" s="414"/>
      <c r="G232" s="417">
        <f t="shared" si="7"/>
        <v>0</v>
      </c>
      <c r="H232" s="102"/>
      <c r="I232" s="102"/>
      <c r="J232" s="102"/>
      <c r="K232" s="102"/>
    </row>
    <row r="233" spans="1:12" ht="18" customHeight="1" x14ac:dyDescent="0.25">
      <c r="A233" s="1075" t="s">
        <v>457</v>
      </c>
      <c r="B233" s="1075"/>
      <c r="C233" s="1075"/>
      <c r="D233" s="1075"/>
      <c r="E233" s="1075"/>
      <c r="F233" s="1075"/>
      <c r="G233" s="419">
        <f>SUM(G179:G232)</f>
        <v>0</v>
      </c>
      <c r="H233" s="419">
        <f>SUM(H179:H232)</f>
        <v>0</v>
      </c>
      <c r="I233" s="419">
        <f>SUM(I179:I232)</f>
        <v>0</v>
      </c>
      <c r="J233" s="419">
        <f>SUM(J179:J232)</f>
        <v>0</v>
      </c>
      <c r="K233" s="419">
        <f>SUM(K179:K232)</f>
        <v>0</v>
      </c>
    </row>
    <row r="234" spans="1:12" ht="18" customHeight="1" x14ac:dyDescent="0.25">
      <c r="A234" s="1077"/>
      <c r="B234" s="1077"/>
      <c r="C234" s="1077"/>
      <c r="D234" s="1077"/>
      <c r="E234" s="1077"/>
      <c r="F234" s="1077"/>
      <c r="G234" s="1077"/>
    </row>
    <row r="235" spans="1:12" ht="18" customHeight="1" x14ac:dyDescent="0.25">
      <c r="A235" s="1078" t="s">
        <v>458</v>
      </c>
      <c r="B235" s="1078"/>
      <c r="C235" s="1078"/>
      <c r="D235" s="1078"/>
      <c r="E235" s="1078"/>
      <c r="F235" s="1078"/>
      <c r="G235" s="421" t="s">
        <v>459</v>
      </c>
      <c r="H235" s="1079"/>
      <c r="I235" s="1079"/>
      <c r="J235" s="1079"/>
      <c r="K235" s="1079"/>
    </row>
    <row r="236" spans="1:12" ht="18" customHeight="1" x14ac:dyDescent="0.25">
      <c r="A236" s="1080" t="str">
        <f>IF(G235="Si","SUBTOTAL (antes de AU e IVA)", "SUBTOTAL (antes de administración)")</f>
        <v>SUBTOTAL (antes de administración)</v>
      </c>
      <c r="B236" s="1080"/>
      <c r="C236" s="1080"/>
      <c r="D236" s="1080"/>
      <c r="E236" s="1080"/>
      <c r="F236" s="1080"/>
      <c r="G236" s="422">
        <f>G41+G120+G177+G233</f>
        <v>0</v>
      </c>
      <c r="H236" s="422">
        <f>H41+H120+H177+H233</f>
        <v>0</v>
      </c>
      <c r="I236" s="422">
        <f>I41+I120+I177+I233</f>
        <v>0</v>
      </c>
      <c r="J236" s="422">
        <f>J41+J120+J177+J233</f>
        <v>0</v>
      </c>
      <c r="K236" s="423">
        <f>K41+K120+K177+K233</f>
        <v>0</v>
      </c>
    </row>
    <row r="237" spans="1:12" ht="18" customHeight="1" x14ac:dyDescent="0.25">
      <c r="A237" s="1081" t="str">
        <f>IF(G235="Si","Administración","Gastos de administración")</f>
        <v>Gastos de administración</v>
      </c>
      <c r="B237" s="1081"/>
      <c r="C237" s="1081"/>
      <c r="D237" s="1081"/>
      <c r="E237" s="1081"/>
      <c r="F237" s="424"/>
      <c r="G237" s="414">
        <f>G236*F237</f>
        <v>0</v>
      </c>
      <c r="H237" s="418"/>
      <c r="I237" s="418"/>
      <c r="J237" s="418"/>
      <c r="K237" s="425"/>
      <c r="L237" s="420" t="s">
        <v>397</v>
      </c>
    </row>
    <row r="238" spans="1:12" ht="18" customHeight="1" x14ac:dyDescent="0.25">
      <c r="A238" s="1081" t="str">
        <f>IF(G235="Si","Utilidad","")</f>
        <v/>
      </c>
      <c r="B238" s="1081"/>
      <c r="C238" s="1081"/>
      <c r="D238" s="1081"/>
      <c r="E238" s="1081"/>
      <c r="F238" s="424"/>
      <c r="G238" s="414">
        <f>G236*F238</f>
        <v>0</v>
      </c>
      <c r="H238" s="418"/>
      <c r="I238" s="418"/>
      <c r="J238" s="418"/>
      <c r="K238" s="425"/>
    </row>
    <row r="239" spans="1:12" ht="18" customHeight="1" x14ac:dyDescent="0.25">
      <c r="A239" s="1081" t="str">
        <f>IF(G235="Si","IVA","")</f>
        <v/>
      </c>
      <c r="B239" s="1081"/>
      <c r="C239" s="1081"/>
      <c r="D239" s="1081"/>
      <c r="E239" s="1081"/>
      <c r="F239" s="424"/>
      <c r="G239" s="414">
        <f>F239*(G236+G237+G238)</f>
        <v>0</v>
      </c>
      <c r="H239" s="418"/>
      <c r="I239" s="418"/>
      <c r="J239" s="418"/>
      <c r="K239" s="425"/>
      <c r="L239" s="132" t="s">
        <v>400</v>
      </c>
    </row>
    <row r="240" spans="1:12" ht="18" customHeight="1" x14ac:dyDescent="0.25">
      <c r="A240" s="1082" t="str">
        <f>IF(G235="Si","TOTAL (incluido AU e IVA)", "TOTAL (incluido administración)")</f>
        <v>TOTAL (incluido administración)</v>
      </c>
      <c r="B240" s="1082"/>
      <c r="C240" s="1082"/>
      <c r="D240" s="1082"/>
      <c r="E240" s="1082"/>
      <c r="F240" s="1082"/>
      <c r="G240" s="426">
        <f>SUM(G236:G239)</f>
        <v>0</v>
      </c>
      <c r="H240" s="427">
        <f>SUM(H236:H239)</f>
        <v>0</v>
      </c>
      <c r="I240" s="427">
        <f>SUM(I236:I239)</f>
        <v>0</v>
      </c>
      <c r="J240" s="427">
        <f>SUM(J236:J239)</f>
        <v>0</v>
      </c>
      <c r="K240" s="428">
        <f>SUM(K236:K239)</f>
        <v>0</v>
      </c>
    </row>
    <row r="241" spans="1:11" ht="42" customHeight="1" x14ac:dyDescent="0.25">
      <c r="A241" s="429" t="s">
        <v>460</v>
      </c>
      <c r="B241" s="430"/>
      <c r="C241" s="431" t="s">
        <v>113</v>
      </c>
      <c r="D241" s="430"/>
      <c r="E241" s="431" t="str">
        <f>IF(G235="Si","Costo unitario (antes de AU e IVA)", "Costo unitario (antes de administración)")</f>
        <v>Costo unitario (antes de administración)</v>
      </c>
      <c r="F241" s="432">
        <f>IFERROR(G236/B241,0)</f>
        <v>0</v>
      </c>
      <c r="G241" s="1083" t="s">
        <v>461</v>
      </c>
      <c r="H241" s="1083"/>
      <c r="I241" s="1083"/>
      <c r="J241" s="1083"/>
      <c r="K241" s="1083"/>
    </row>
    <row r="242" spans="1:11" ht="42" customHeight="1" x14ac:dyDescent="0.25">
      <c r="A242" s="433" t="s">
        <v>460</v>
      </c>
      <c r="B242" s="434"/>
      <c r="C242" s="435" t="s">
        <v>113</v>
      </c>
      <c r="D242" s="434"/>
      <c r="E242" s="435" t="str">
        <f>IF(G235="Si","Costo unitario (AU e IVA incluido)", "Costo unitario (administración incluida)")</f>
        <v>Costo unitario (administración incluida)</v>
      </c>
      <c r="F242" s="436">
        <f>IFERROR(G240/B242,0)</f>
        <v>0</v>
      </c>
      <c r="G242" s="1083"/>
      <c r="H242" s="1083"/>
      <c r="I242" s="1083"/>
      <c r="J242" s="1083"/>
      <c r="K242" s="1083"/>
    </row>
    <row r="243" spans="1:11" ht="18" customHeight="1" x14ac:dyDescent="0.25">
      <c r="A243" s="1084"/>
      <c r="B243" s="1084"/>
      <c r="C243" s="1084"/>
      <c r="D243" s="1084"/>
      <c r="E243" s="1084"/>
      <c r="F243" s="1084"/>
      <c r="G243" s="1084"/>
      <c r="H243" s="1084"/>
      <c r="I243" s="1084"/>
      <c r="J243" s="1084"/>
      <c r="K243" s="1084"/>
    </row>
    <row r="244" spans="1:11" ht="42.75" customHeight="1" x14ac:dyDescent="0.25">
      <c r="A244" s="437" t="s">
        <v>460</v>
      </c>
      <c r="B244" s="438"/>
      <c r="C244" s="439" t="s">
        <v>113</v>
      </c>
      <c r="D244" s="438"/>
      <c r="E244" s="439" t="str">
        <f>IF(G235="Si","Costo unitario sin MO (antes de AU e IVA)", "Costo unitario sin MO (antes de administración)")</f>
        <v>Costo unitario sin MO (antes de administración)</v>
      </c>
      <c r="F244" s="440">
        <f>IFERROR((G236-G41)/B244,0)</f>
        <v>0</v>
      </c>
      <c r="G244" s="1085" t="s">
        <v>461</v>
      </c>
      <c r="H244" s="1085"/>
      <c r="I244" s="1085"/>
      <c r="J244" s="1085"/>
      <c r="K244" s="1085"/>
    </row>
    <row r="245" spans="1:11" ht="43.5" customHeight="1" x14ac:dyDescent="0.25">
      <c r="A245" s="433" t="s">
        <v>460</v>
      </c>
      <c r="B245" s="434"/>
      <c r="C245" s="435" t="s">
        <v>113</v>
      </c>
      <c r="D245" s="434"/>
      <c r="E245" s="435" t="str">
        <f>IF(G235="Si","Costo unitario sin MO (AU e IVA incluido)", "Costo unitario sin MO(administración incluida)")</f>
        <v>Costo unitario sin MO(administración incluida)</v>
      </c>
      <c r="F245" s="436">
        <f>IFERROR((G240-G41)/B245,0)</f>
        <v>0</v>
      </c>
      <c r="G245" s="1085"/>
      <c r="H245" s="1085"/>
      <c r="I245" s="1085"/>
      <c r="J245" s="1085"/>
      <c r="K245" s="1085"/>
    </row>
  </sheetData>
  <sheetProtection algorithmName="SHA-512" hashValue="xHr+rnAkl4wlBNEJoOyJ+IKh67Z3LO6E4RECdRNpWBHrFT8uwckuqRUIA787eQy7qiAd1PaN5uEBzHyJ9CNvFw==" saltValue="DrVdTi6bahEuy2k/QYjD/w==" spinCount="100000" sheet="1" formatCells="0" formatColumns="0" formatRows="0" insertRows="0" autoFilter="0" pivotTables="0"/>
  <mergeCells count="221">
    <mergeCell ref="A240:F240"/>
    <mergeCell ref="G241:K242"/>
    <mergeCell ref="A243:K243"/>
    <mergeCell ref="G244:K245"/>
    <mergeCell ref="A232:C232"/>
    <mergeCell ref="A233:F233"/>
    <mergeCell ref="A234:G234"/>
    <mergeCell ref="A235:F235"/>
    <mergeCell ref="H235:K235"/>
    <mergeCell ref="A236:F236"/>
    <mergeCell ref="A237:E237"/>
    <mergeCell ref="A238:E238"/>
    <mergeCell ref="A239:E239"/>
    <mergeCell ref="A223:C223"/>
    <mergeCell ref="A224:C224"/>
    <mergeCell ref="A225:C225"/>
    <mergeCell ref="A226:C226"/>
    <mergeCell ref="A227:C227"/>
    <mergeCell ref="A228:C228"/>
    <mergeCell ref="A229:C229"/>
    <mergeCell ref="A230:C230"/>
    <mergeCell ref="A231:C231"/>
    <mergeCell ref="A214:C214"/>
    <mergeCell ref="A215:C215"/>
    <mergeCell ref="A216:C216"/>
    <mergeCell ref="A217:C217"/>
    <mergeCell ref="A218:C218"/>
    <mergeCell ref="A219:C219"/>
    <mergeCell ref="A220:C220"/>
    <mergeCell ref="A221:C221"/>
    <mergeCell ref="A222:C222"/>
    <mergeCell ref="A205:C205"/>
    <mergeCell ref="A206:C206"/>
    <mergeCell ref="A207:C207"/>
    <mergeCell ref="A208:C208"/>
    <mergeCell ref="A209:C209"/>
    <mergeCell ref="A210:C210"/>
    <mergeCell ref="A211:C211"/>
    <mergeCell ref="A212:C212"/>
    <mergeCell ref="A213:C213"/>
    <mergeCell ref="A196:C196"/>
    <mergeCell ref="A197:C197"/>
    <mergeCell ref="A198:C198"/>
    <mergeCell ref="A199:C199"/>
    <mergeCell ref="A200:C200"/>
    <mergeCell ref="A201:C201"/>
    <mergeCell ref="A202:C202"/>
    <mergeCell ref="A203:C203"/>
    <mergeCell ref="A204:C204"/>
    <mergeCell ref="A187:C187"/>
    <mergeCell ref="A188:C188"/>
    <mergeCell ref="A189:C189"/>
    <mergeCell ref="A190:C190"/>
    <mergeCell ref="A191:C191"/>
    <mergeCell ref="A192:C192"/>
    <mergeCell ref="A193:C193"/>
    <mergeCell ref="A194:C194"/>
    <mergeCell ref="A195:C195"/>
    <mergeCell ref="A178:K178"/>
    <mergeCell ref="A179:C179"/>
    <mergeCell ref="A180:C180"/>
    <mergeCell ref="A181:C181"/>
    <mergeCell ref="A182:C182"/>
    <mergeCell ref="A183:C183"/>
    <mergeCell ref="A184:C184"/>
    <mergeCell ref="A185:C185"/>
    <mergeCell ref="A186:C186"/>
    <mergeCell ref="A169:C169"/>
    <mergeCell ref="A170:C170"/>
    <mergeCell ref="A171:C171"/>
    <mergeCell ref="A172:C172"/>
    <mergeCell ref="A173:C173"/>
    <mergeCell ref="A174:C174"/>
    <mergeCell ref="A175:C175"/>
    <mergeCell ref="A176:C176"/>
    <mergeCell ref="A177:F177"/>
    <mergeCell ref="A160:C160"/>
    <mergeCell ref="A161:C161"/>
    <mergeCell ref="A162:C162"/>
    <mergeCell ref="A163:C163"/>
    <mergeCell ref="A164:C164"/>
    <mergeCell ref="A165:C165"/>
    <mergeCell ref="A166:C166"/>
    <mergeCell ref="A167:C167"/>
    <mergeCell ref="A168:C168"/>
    <mergeCell ref="A151:C151"/>
    <mergeCell ref="A152:C152"/>
    <mergeCell ref="A153:C153"/>
    <mergeCell ref="A154:C154"/>
    <mergeCell ref="A155:C155"/>
    <mergeCell ref="A156:C156"/>
    <mergeCell ref="A157:C157"/>
    <mergeCell ref="A158:C158"/>
    <mergeCell ref="A159:C159"/>
    <mergeCell ref="A142:C142"/>
    <mergeCell ref="A143:C143"/>
    <mergeCell ref="A144:C144"/>
    <mergeCell ref="A145:C145"/>
    <mergeCell ref="A146:C146"/>
    <mergeCell ref="A147:C147"/>
    <mergeCell ref="A148:C148"/>
    <mergeCell ref="A149:C149"/>
    <mergeCell ref="A150:C150"/>
    <mergeCell ref="A133:C133"/>
    <mergeCell ref="A134:C134"/>
    <mergeCell ref="A135:C135"/>
    <mergeCell ref="A136:C136"/>
    <mergeCell ref="A137:C137"/>
    <mergeCell ref="A138:C138"/>
    <mergeCell ref="A139:C139"/>
    <mergeCell ref="A140:C140"/>
    <mergeCell ref="A141:C141"/>
    <mergeCell ref="A124:C124"/>
    <mergeCell ref="A125:C125"/>
    <mergeCell ref="A126:C126"/>
    <mergeCell ref="A127:C127"/>
    <mergeCell ref="A128:C128"/>
    <mergeCell ref="A129:C129"/>
    <mergeCell ref="A130:C130"/>
    <mergeCell ref="A131:C131"/>
    <mergeCell ref="A132:C132"/>
    <mergeCell ref="A115:C115"/>
    <mergeCell ref="A116:C116"/>
    <mergeCell ref="A117:C117"/>
    <mergeCell ref="A118:C118"/>
    <mergeCell ref="A119:C119"/>
    <mergeCell ref="A120:F120"/>
    <mergeCell ref="A121:K121"/>
    <mergeCell ref="A122:C122"/>
    <mergeCell ref="A123:C123"/>
    <mergeCell ref="A106:C106"/>
    <mergeCell ref="A107:C107"/>
    <mergeCell ref="A108:C108"/>
    <mergeCell ref="A109:C109"/>
    <mergeCell ref="A110:C110"/>
    <mergeCell ref="A111:C111"/>
    <mergeCell ref="A112:C112"/>
    <mergeCell ref="A113:C113"/>
    <mergeCell ref="A114:C114"/>
    <mergeCell ref="A97:C97"/>
    <mergeCell ref="A98:C98"/>
    <mergeCell ref="A99:C99"/>
    <mergeCell ref="A100:C100"/>
    <mergeCell ref="A101:C101"/>
    <mergeCell ref="A102:C102"/>
    <mergeCell ref="A103:C103"/>
    <mergeCell ref="A104:C104"/>
    <mergeCell ref="A105:C105"/>
    <mergeCell ref="A88:C88"/>
    <mergeCell ref="A89:C89"/>
    <mergeCell ref="A90:C90"/>
    <mergeCell ref="A91:C91"/>
    <mergeCell ref="A92:C92"/>
    <mergeCell ref="A93:C93"/>
    <mergeCell ref="A94:C94"/>
    <mergeCell ref="A95:C95"/>
    <mergeCell ref="A96:C96"/>
    <mergeCell ref="A79:C79"/>
    <mergeCell ref="A80:C80"/>
    <mergeCell ref="A81:C81"/>
    <mergeCell ref="A82:C82"/>
    <mergeCell ref="A83:C83"/>
    <mergeCell ref="A84:C84"/>
    <mergeCell ref="A85:C85"/>
    <mergeCell ref="A86:C86"/>
    <mergeCell ref="A87:C87"/>
    <mergeCell ref="A70:C70"/>
    <mergeCell ref="A71:C71"/>
    <mergeCell ref="A72:C72"/>
    <mergeCell ref="A73:C73"/>
    <mergeCell ref="A74:C74"/>
    <mergeCell ref="A75:C75"/>
    <mergeCell ref="A76:C76"/>
    <mergeCell ref="A77:C77"/>
    <mergeCell ref="A78:C78"/>
    <mergeCell ref="A61:C61"/>
    <mergeCell ref="A62:C62"/>
    <mergeCell ref="A63:C63"/>
    <mergeCell ref="A64:C64"/>
    <mergeCell ref="A65:C65"/>
    <mergeCell ref="A66:C66"/>
    <mergeCell ref="A67:C67"/>
    <mergeCell ref="A68:C68"/>
    <mergeCell ref="A69:C69"/>
    <mergeCell ref="A52:C52"/>
    <mergeCell ref="A53:C53"/>
    <mergeCell ref="A54:C54"/>
    <mergeCell ref="A55:C55"/>
    <mergeCell ref="A56:C56"/>
    <mergeCell ref="A57:C57"/>
    <mergeCell ref="A58:C58"/>
    <mergeCell ref="A59:C59"/>
    <mergeCell ref="A60:C60"/>
    <mergeCell ref="A43:K43"/>
    <mergeCell ref="A44:C44"/>
    <mergeCell ref="A45:C45"/>
    <mergeCell ref="A46:C46"/>
    <mergeCell ref="A47:C47"/>
    <mergeCell ref="A48:C48"/>
    <mergeCell ref="A49:C49"/>
    <mergeCell ref="A50:C50"/>
    <mergeCell ref="A51:C51"/>
    <mergeCell ref="A10:E10"/>
    <mergeCell ref="F10:K10"/>
    <mergeCell ref="A12:G13"/>
    <mergeCell ref="H12:K12"/>
    <mergeCell ref="H13:I13"/>
    <mergeCell ref="J13:K13"/>
    <mergeCell ref="A15:K15"/>
    <mergeCell ref="A41:F41"/>
    <mergeCell ref="A42:C42"/>
    <mergeCell ref="B1:F1"/>
    <mergeCell ref="B2:F2"/>
    <mergeCell ref="A5:E5"/>
    <mergeCell ref="F5:K5"/>
    <mergeCell ref="A6:E6"/>
    <mergeCell ref="F6:K6"/>
    <mergeCell ref="A8:E8"/>
    <mergeCell ref="F8:K8"/>
    <mergeCell ref="A9:E9"/>
    <mergeCell ref="F9:K9"/>
  </mergeCells>
  <dataValidations count="1">
    <dataValidation type="list" allowBlank="1" showInputMessage="1" showErrorMessage="1" sqref="G235" xr:uid="{00000000-0002-0000-0700-000000000000}">
      <formula1>"Si,No"</formula1>
      <formula2>0</formula2>
    </dataValidation>
  </dataValidations>
  <hyperlinks>
    <hyperlink ref="L237" location="gtosadm" display="Gastos de administración" xr:uid="{00000000-0004-0000-0700-000000000000}"/>
    <hyperlink ref="L239" location="IVA!A1" display="Info IVA" xr:uid="{00000000-0004-0000-0700-000001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264"/>
  <sheetViews>
    <sheetView showGridLines="0" zoomScale="90" zoomScaleNormal="90" workbookViewId="0">
      <selection activeCell="G3" sqref="G3"/>
    </sheetView>
  </sheetViews>
  <sheetFormatPr baseColWidth="10" defaultColWidth="11.33203125" defaultRowHeight="18" customHeight="1" x14ac:dyDescent="0.25"/>
  <cols>
    <col min="1" max="1" width="22.6640625" style="375" customWidth="1"/>
    <col min="2" max="2" width="11.77734375" style="375" customWidth="1"/>
    <col min="3" max="3" width="14.109375" style="375" customWidth="1"/>
    <col min="4" max="4" width="18.77734375" style="375" customWidth="1"/>
    <col min="5" max="5" width="26.33203125" style="376" customWidth="1"/>
    <col min="6" max="11" width="18.77734375" style="140" customWidth="1"/>
    <col min="12" max="12" width="22.109375" style="140" customWidth="1"/>
    <col min="13" max="13" width="16.109375" style="140" customWidth="1"/>
    <col min="14" max="14" width="14.77734375" style="140" customWidth="1"/>
    <col min="15" max="16384" width="11.33203125" style="140"/>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18" customHeight="1" x14ac:dyDescent="0.25">
      <c r="E2" s="1086" t="s">
        <v>462</v>
      </c>
      <c r="F2" s="1086"/>
      <c r="G2" s="1086"/>
      <c r="H2" s="1086"/>
      <c r="I2" s="441"/>
      <c r="J2" s="378"/>
      <c r="K2" s="378"/>
    </row>
    <row r="3" spans="1:11" ht="5.25" customHeight="1" x14ac:dyDescent="0.25"/>
    <row r="4" spans="1:11" ht="5.25" customHeight="1" x14ac:dyDescent="0.25">
      <c r="A4" s="405"/>
      <c r="B4" s="405"/>
      <c r="C4" s="405"/>
      <c r="D4" s="136"/>
      <c r="E4" s="136"/>
      <c r="F4" s="136"/>
      <c r="G4" s="136"/>
      <c r="H4" s="136"/>
      <c r="I4" s="136"/>
      <c r="J4" s="136"/>
      <c r="K4" s="136"/>
    </row>
    <row r="5" spans="1:11" ht="24" customHeight="1" x14ac:dyDescent="0.25">
      <c r="A5" s="1071" t="s">
        <v>104</v>
      </c>
      <c r="B5" s="1071"/>
      <c r="C5" s="1071"/>
      <c r="D5" s="1071"/>
      <c r="E5" s="1071"/>
      <c r="F5" s="1011">
        <f>'Plan Ejecución'!AE4</f>
        <v>0</v>
      </c>
      <c r="G5" s="1011"/>
      <c r="H5" s="1011"/>
      <c r="I5" s="1011"/>
      <c r="J5" s="1011"/>
      <c r="K5" s="1011"/>
    </row>
    <row r="6" spans="1:11" ht="38.25" customHeight="1" x14ac:dyDescent="0.25">
      <c r="A6" s="1071" t="s">
        <v>105</v>
      </c>
      <c r="B6" s="1071"/>
      <c r="C6" s="1071"/>
      <c r="D6" s="1071"/>
      <c r="E6" s="1071"/>
      <c r="F6" s="1065">
        <f>'Plan Ejecución'!AE5</f>
        <v>0</v>
      </c>
      <c r="G6" s="1065"/>
      <c r="H6" s="1065"/>
      <c r="I6" s="1065"/>
      <c r="J6" s="1065"/>
      <c r="K6" s="1065"/>
    </row>
    <row r="7" spans="1:11" ht="18" customHeight="1" x14ac:dyDescent="0.25">
      <c r="A7" s="135"/>
      <c r="B7" s="135"/>
      <c r="C7" s="135"/>
      <c r="D7" s="135"/>
      <c r="E7" s="135"/>
    </row>
    <row r="8" spans="1:11" s="136" customFormat="1" ht="18" customHeight="1" x14ac:dyDescent="0.25">
      <c r="A8" s="1031" t="s">
        <v>441</v>
      </c>
      <c r="B8" s="1031"/>
      <c r="C8" s="1031"/>
      <c r="D8" s="1031"/>
      <c r="E8" s="1031"/>
      <c r="F8" s="11"/>
      <c r="G8" s="11"/>
      <c r="H8" s="11"/>
      <c r="I8" s="11"/>
      <c r="J8" s="11"/>
      <c r="K8" s="11"/>
    </row>
    <row r="9" spans="1:11" s="136" customFormat="1" ht="18" customHeight="1" x14ac:dyDescent="0.25">
      <c r="A9" s="1031" t="s">
        <v>442</v>
      </c>
      <c r="B9" s="1031"/>
      <c r="C9" s="1031"/>
      <c r="D9" s="1031"/>
      <c r="E9" s="1031"/>
      <c r="F9" s="11"/>
      <c r="G9" s="11"/>
      <c r="H9" s="11"/>
      <c r="I9" s="11"/>
      <c r="J9" s="11"/>
      <c r="K9" s="11"/>
    </row>
    <row r="10" spans="1:11" ht="18" customHeight="1" x14ac:dyDescent="0.25">
      <c r="A10" s="1031" t="s">
        <v>443</v>
      </c>
      <c r="B10" s="1031"/>
      <c r="C10" s="1031"/>
      <c r="D10" s="1031"/>
      <c r="E10" s="1031"/>
      <c r="F10" s="11"/>
      <c r="G10" s="11"/>
      <c r="H10" s="11"/>
      <c r="I10" s="11"/>
      <c r="J10" s="11"/>
      <c r="K10" s="11"/>
    </row>
    <row r="11" spans="1:11" ht="18" customHeight="1" x14ac:dyDescent="0.25">
      <c r="A11" s="382"/>
      <c r="B11" s="382"/>
      <c r="C11" s="382"/>
      <c r="D11" s="382"/>
      <c r="E11" s="442"/>
      <c r="F11" s="408"/>
      <c r="G11" s="408"/>
      <c r="H11" s="443"/>
      <c r="I11" s="443"/>
      <c r="J11" s="443"/>
      <c r="K11" s="443"/>
    </row>
    <row r="12" spans="1:11" ht="18" customHeight="1" x14ac:dyDescent="0.25">
      <c r="A12" s="1087" t="s">
        <v>449</v>
      </c>
      <c r="B12" s="1087"/>
      <c r="C12" s="1087"/>
      <c r="D12" s="1087"/>
      <c r="E12" s="1087"/>
      <c r="F12" s="1087"/>
      <c r="G12" s="1087"/>
      <c r="H12" s="1088" t="s">
        <v>422</v>
      </c>
      <c r="I12" s="1088"/>
      <c r="J12" s="1088"/>
      <c r="K12" s="1088"/>
    </row>
    <row r="13" spans="1:11" ht="18" customHeight="1" x14ac:dyDescent="0.25">
      <c r="A13" s="1087"/>
      <c r="B13" s="1087"/>
      <c r="C13" s="1087"/>
      <c r="D13" s="1087"/>
      <c r="E13" s="1087"/>
      <c r="F13" s="1087"/>
      <c r="G13" s="1087"/>
      <c r="H13" s="1089" t="s">
        <v>424</v>
      </c>
      <c r="I13" s="1089"/>
      <c r="J13" s="1090" t="s">
        <v>425</v>
      </c>
      <c r="K13" s="1090"/>
    </row>
    <row r="14" spans="1:11" ht="18" customHeight="1" x14ac:dyDescent="0.25">
      <c r="A14" s="1091" t="s">
        <v>463</v>
      </c>
      <c r="B14" s="1091"/>
      <c r="C14" s="1091"/>
      <c r="D14" s="1091"/>
      <c r="E14" s="1091"/>
      <c r="F14" s="1091"/>
      <c r="G14" s="1091"/>
      <c r="H14" s="1091"/>
      <c r="I14" s="1091"/>
      <c r="J14" s="1091"/>
      <c r="K14" s="1091"/>
    </row>
    <row r="15" spans="1:11" ht="27" customHeight="1" x14ac:dyDescent="0.25">
      <c r="A15" s="307" t="s">
        <v>380</v>
      </c>
      <c r="B15" s="308" t="s">
        <v>381</v>
      </c>
      <c r="C15" s="308" t="s">
        <v>382</v>
      </c>
      <c r="D15" s="308" t="s">
        <v>113</v>
      </c>
      <c r="E15" s="308" t="s">
        <v>383</v>
      </c>
      <c r="F15" s="410" t="s">
        <v>384</v>
      </c>
      <c r="G15" s="410" t="s">
        <v>385</v>
      </c>
      <c r="H15" s="409" t="s">
        <v>426</v>
      </c>
      <c r="I15" s="409" t="s">
        <v>427</v>
      </c>
      <c r="J15" s="409" t="s">
        <v>426</v>
      </c>
      <c r="K15" s="444" t="s">
        <v>427</v>
      </c>
    </row>
    <row r="16" spans="1:11" ht="18" customHeight="1" x14ac:dyDescent="0.25">
      <c r="A16" s="1092" t="s">
        <v>378</v>
      </c>
      <c r="B16" s="1092"/>
      <c r="C16" s="1092"/>
      <c r="D16" s="1092"/>
      <c r="E16" s="1092"/>
      <c r="F16" s="1092"/>
      <c r="G16" s="1092"/>
      <c r="H16" s="1092"/>
      <c r="I16" s="1092"/>
      <c r="J16" s="1092"/>
      <c r="K16" s="1092"/>
    </row>
    <row r="17" spans="1:14" ht="24" customHeight="1" x14ac:dyDescent="0.25">
      <c r="A17" s="445"/>
      <c r="B17" s="412"/>
      <c r="C17" s="413"/>
      <c r="D17" s="412"/>
      <c r="E17" s="412"/>
      <c r="F17" s="414"/>
      <c r="G17" s="414">
        <f t="shared" ref="G17:G27" si="0">B17*C17*E17*F17</f>
        <v>0</v>
      </c>
      <c r="H17" s="414"/>
      <c r="I17" s="414"/>
      <c r="J17" s="414"/>
      <c r="K17" s="446"/>
      <c r="M17" s="447"/>
      <c r="N17" s="447"/>
    </row>
    <row r="18" spans="1:14" ht="18" customHeight="1" x14ac:dyDescent="0.25">
      <c r="A18" s="445"/>
      <c r="B18" s="412"/>
      <c r="C18" s="413"/>
      <c r="D18" s="412"/>
      <c r="E18" s="412"/>
      <c r="F18" s="414"/>
      <c r="G18" s="414">
        <f t="shared" si="0"/>
        <v>0</v>
      </c>
      <c r="H18" s="414"/>
      <c r="I18" s="414"/>
      <c r="J18" s="414"/>
      <c r="K18" s="446"/>
    </row>
    <row r="19" spans="1:14" ht="18" customHeight="1" x14ac:dyDescent="0.25">
      <c r="A19" s="445"/>
      <c r="B19" s="412"/>
      <c r="C19" s="413"/>
      <c r="D19" s="412"/>
      <c r="E19" s="412"/>
      <c r="F19" s="414"/>
      <c r="G19" s="414">
        <f t="shared" si="0"/>
        <v>0</v>
      </c>
      <c r="H19" s="414"/>
      <c r="I19" s="414"/>
      <c r="J19" s="414"/>
      <c r="K19" s="446"/>
    </row>
    <row r="20" spans="1:14" ht="18" hidden="1" customHeight="1" x14ac:dyDescent="0.25">
      <c r="A20" s="445"/>
      <c r="B20" s="412"/>
      <c r="C20" s="413"/>
      <c r="D20" s="412"/>
      <c r="E20" s="412"/>
      <c r="F20" s="414"/>
      <c r="G20" s="414">
        <f t="shared" si="0"/>
        <v>0</v>
      </c>
      <c r="H20" s="414"/>
      <c r="I20" s="414"/>
      <c r="J20" s="414"/>
      <c r="K20" s="446"/>
    </row>
    <row r="21" spans="1:14" ht="18" hidden="1" customHeight="1" x14ac:dyDescent="0.25">
      <c r="A21" s="445"/>
      <c r="B21" s="412"/>
      <c r="C21" s="413"/>
      <c r="D21" s="412"/>
      <c r="E21" s="412"/>
      <c r="F21" s="414"/>
      <c r="G21" s="414">
        <f t="shared" si="0"/>
        <v>0</v>
      </c>
      <c r="H21" s="414"/>
      <c r="I21" s="414"/>
      <c r="J21" s="414"/>
      <c r="K21" s="446"/>
    </row>
    <row r="22" spans="1:14" ht="18" hidden="1" customHeight="1" x14ac:dyDescent="0.25">
      <c r="A22" s="445"/>
      <c r="B22" s="412"/>
      <c r="C22" s="413"/>
      <c r="D22" s="412"/>
      <c r="E22" s="412"/>
      <c r="F22" s="414"/>
      <c r="G22" s="414">
        <f t="shared" si="0"/>
        <v>0</v>
      </c>
      <c r="H22" s="414"/>
      <c r="I22" s="414"/>
      <c r="J22" s="414"/>
      <c r="K22" s="446"/>
    </row>
    <row r="23" spans="1:14" ht="18" hidden="1" customHeight="1" x14ac:dyDescent="0.25">
      <c r="A23" s="445"/>
      <c r="B23" s="412"/>
      <c r="C23" s="413"/>
      <c r="D23" s="412"/>
      <c r="E23" s="412"/>
      <c r="F23" s="414"/>
      <c r="G23" s="414">
        <f t="shared" si="0"/>
        <v>0</v>
      </c>
      <c r="H23" s="414"/>
      <c r="I23" s="414"/>
      <c r="J23" s="414"/>
      <c r="K23" s="446"/>
    </row>
    <row r="24" spans="1:14" ht="18" hidden="1" customHeight="1" x14ac:dyDescent="0.25">
      <c r="A24" s="445"/>
      <c r="B24" s="412"/>
      <c r="C24" s="413"/>
      <c r="D24" s="412"/>
      <c r="E24" s="412"/>
      <c r="F24" s="414"/>
      <c r="G24" s="414">
        <f t="shared" si="0"/>
        <v>0</v>
      </c>
      <c r="H24" s="414"/>
      <c r="I24" s="414"/>
      <c r="J24" s="414"/>
      <c r="K24" s="446"/>
    </row>
    <row r="25" spans="1:14" ht="18" hidden="1" customHeight="1" x14ac:dyDescent="0.25">
      <c r="A25" s="448"/>
      <c r="B25" s="415"/>
      <c r="C25" s="413"/>
      <c r="D25" s="415"/>
      <c r="E25" s="415"/>
      <c r="F25" s="414"/>
      <c r="G25" s="414">
        <f t="shared" si="0"/>
        <v>0</v>
      </c>
      <c r="H25" s="414"/>
      <c r="I25" s="414"/>
      <c r="J25" s="414"/>
      <c r="K25" s="446"/>
    </row>
    <row r="26" spans="1:14" ht="18" hidden="1" customHeight="1" x14ac:dyDescent="0.25">
      <c r="A26" s="448"/>
      <c r="B26" s="415"/>
      <c r="C26" s="413"/>
      <c r="D26" s="415"/>
      <c r="E26" s="415"/>
      <c r="F26" s="414"/>
      <c r="G26" s="414">
        <f t="shared" si="0"/>
        <v>0</v>
      </c>
      <c r="H26" s="414"/>
      <c r="I26" s="414"/>
      <c r="J26" s="414"/>
      <c r="K26" s="446"/>
    </row>
    <row r="27" spans="1:14" ht="18" hidden="1" customHeight="1" x14ac:dyDescent="0.25">
      <c r="A27" s="448"/>
      <c r="B27" s="415"/>
      <c r="C27" s="413"/>
      <c r="D27" s="415"/>
      <c r="E27" s="415"/>
      <c r="F27" s="414"/>
      <c r="G27" s="414">
        <f t="shared" si="0"/>
        <v>0</v>
      </c>
      <c r="H27" s="414"/>
      <c r="I27" s="414"/>
      <c r="J27" s="414"/>
      <c r="K27" s="446"/>
    </row>
    <row r="28" spans="1:14" ht="18" customHeight="1" x14ac:dyDescent="0.25">
      <c r="A28" s="1093" t="s">
        <v>450</v>
      </c>
      <c r="B28" s="1093"/>
      <c r="C28" s="1093"/>
      <c r="D28" s="1093"/>
      <c r="E28" s="1093"/>
      <c r="F28" s="1093"/>
      <c r="G28" s="416">
        <f>SUM(G17:G27)</f>
        <v>0</v>
      </c>
      <c r="H28" s="416">
        <f>SUM(H17:H27)</f>
        <v>0</v>
      </c>
      <c r="I28" s="416">
        <f>SUM(I17:I27)</f>
        <v>0</v>
      </c>
      <c r="J28" s="416">
        <f>SUM(J17:J27)</f>
        <v>0</v>
      </c>
      <c r="K28" s="449">
        <f>SUM(K17:K27)</f>
        <v>0</v>
      </c>
    </row>
    <row r="29" spans="1:14" ht="27.75" customHeight="1" x14ac:dyDescent="0.25">
      <c r="A29" s="1044" t="s">
        <v>380</v>
      </c>
      <c r="B29" s="1044"/>
      <c r="C29" s="1044"/>
      <c r="D29" s="333" t="s">
        <v>113</v>
      </c>
      <c r="E29" s="333" t="s">
        <v>383</v>
      </c>
      <c r="F29" s="333" t="s">
        <v>444</v>
      </c>
      <c r="G29" s="450" t="s">
        <v>445</v>
      </c>
      <c r="H29" s="409" t="s">
        <v>426</v>
      </c>
      <c r="I29" s="409" t="s">
        <v>427</v>
      </c>
      <c r="J29" s="409" t="s">
        <v>426</v>
      </c>
      <c r="K29" s="444" t="s">
        <v>427</v>
      </c>
    </row>
    <row r="30" spans="1:14" ht="18" customHeight="1" x14ac:dyDescent="0.25">
      <c r="A30" s="1092" t="s">
        <v>464</v>
      </c>
      <c r="B30" s="1092"/>
      <c r="C30" s="1092"/>
      <c r="D30" s="1092"/>
      <c r="E30" s="1092"/>
      <c r="F30" s="1092"/>
      <c r="G30" s="1092"/>
      <c r="H30" s="1092"/>
      <c r="I30" s="1092"/>
      <c r="J30" s="1092"/>
      <c r="K30" s="1092"/>
    </row>
    <row r="31" spans="1:14" ht="18" customHeight="1" x14ac:dyDescent="0.25">
      <c r="A31" s="1094"/>
      <c r="B31" s="1094"/>
      <c r="C31" s="1094"/>
      <c r="D31" s="314"/>
      <c r="E31" s="314"/>
      <c r="F31" s="414"/>
      <c r="G31" s="414">
        <f t="shared" ref="G31:G44" si="1">E31*F31</f>
        <v>0</v>
      </c>
      <c r="H31" s="418"/>
      <c r="I31" s="418"/>
      <c r="J31" s="451"/>
      <c r="K31" s="452"/>
    </row>
    <row r="32" spans="1:14" ht="18" customHeight="1" x14ac:dyDescent="0.25">
      <c r="A32" s="1094"/>
      <c r="B32" s="1094"/>
      <c r="C32" s="1094"/>
      <c r="D32" s="314"/>
      <c r="E32" s="314"/>
      <c r="F32" s="414"/>
      <c r="G32" s="414">
        <f t="shared" si="1"/>
        <v>0</v>
      </c>
      <c r="H32" s="418"/>
      <c r="I32" s="418"/>
      <c r="J32" s="451"/>
      <c r="K32" s="452"/>
    </row>
    <row r="33" spans="1:12" ht="18" customHeight="1" x14ac:dyDescent="0.25">
      <c r="A33" s="1094"/>
      <c r="B33" s="1094"/>
      <c r="C33" s="1094"/>
      <c r="D33" s="314"/>
      <c r="E33" s="314"/>
      <c r="F33" s="414"/>
      <c r="G33" s="414">
        <f t="shared" si="1"/>
        <v>0</v>
      </c>
      <c r="H33" s="418"/>
      <c r="I33" s="418"/>
      <c r="J33" s="451"/>
      <c r="K33" s="452"/>
    </row>
    <row r="34" spans="1:12" ht="18" hidden="1" customHeight="1" x14ac:dyDescent="0.25">
      <c r="A34" s="1094"/>
      <c r="B34" s="1094"/>
      <c r="C34" s="1094"/>
      <c r="D34" s="314"/>
      <c r="E34" s="314"/>
      <c r="F34" s="414"/>
      <c r="G34" s="414">
        <f t="shared" si="1"/>
        <v>0</v>
      </c>
      <c r="H34" s="418"/>
      <c r="I34" s="418"/>
      <c r="J34" s="451"/>
      <c r="K34" s="452"/>
    </row>
    <row r="35" spans="1:12" ht="18" hidden="1" customHeight="1" x14ac:dyDescent="0.25">
      <c r="A35" s="1094"/>
      <c r="B35" s="1094"/>
      <c r="C35" s="1094"/>
      <c r="D35" s="314"/>
      <c r="E35" s="314"/>
      <c r="F35" s="414"/>
      <c r="G35" s="414">
        <f t="shared" si="1"/>
        <v>0</v>
      </c>
      <c r="H35" s="418"/>
      <c r="I35" s="418"/>
      <c r="J35" s="451"/>
      <c r="K35" s="452"/>
    </row>
    <row r="36" spans="1:12" ht="18" hidden="1" customHeight="1" x14ac:dyDescent="0.25">
      <c r="A36" s="1094"/>
      <c r="B36" s="1094"/>
      <c r="C36" s="1094"/>
      <c r="D36" s="314"/>
      <c r="E36" s="314"/>
      <c r="F36" s="414"/>
      <c r="G36" s="414">
        <f t="shared" si="1"/>
        <v>0</v>
      </c>
      <c r="H36" s="418"/>
      <c r="I36" s="418"/>
      <c r="J36" s="451"/>
      <c r="K36" s="452"/>
    </row>
    <row r="37" spans="1:12" ht="18" hidden="1" customHeight="1" x14ac:dyDescent="0.25">
      <c r="A37" s="1094"/>
      <c r="B37" s="1094"/>
      <c r="C37" s="1094"/>
      <c r="D37" s="314"/>
      <c r="E37" s="314"/>
      <c r="F37" s="414"/>
      <c r="G37" s="414">
        <f t="shared" si="1"/>
        <v>0</v>
      </c>
      <c r="H37" s="418"/>
      <c r="I37" s="418"/>
      <c r="J37" s="451"/>
      <c r="K37" s="452"/>
    </row>
    <row r="38" spans="1:12" ht="18" hidden="1" customHeight="1" x14ac:dyDescent="0.25">
      <c r="A38" s="1094"/>
      <c r="B38" s="1094"/>
      <c r="C38" s="1094"/>
      <c r="D38" s="314"/>
      <c r="E38" s="314"/>
      <c r="F38" s="414"/>
      <c r="G38" s="414">
        <f t="shared" si="1"/>
        <v>0</v>
      </c>
      <c r="H38" s="418"/>
      <c r="I38" s="418"/>
      <c r="J38" s="451"/>
      <c r="K38" s="452"/>
    </row>
    <row r="39" spans="1:12" ht="18" hidden="1" customHeight="1" x14ac:dyDescent="0.25">
      <c r="A39" s="1094"/>
      <c r="B39" s="1094"/>
      <c r="C39" s="1094"/>
      <c r="D39" s="314"/>
      <c r="E39" s="314"/>
      <c r="F39" s="414"/>
      <c r="G39" s="414">
        <f t="shared" si="1"/>
        <v>0</v>
      </c>
      <c r="H39" s="418"/>
      <c r="I39" s="418"/>
      <c r="J39" s="451"/>
      <c r="K39" s="452"/>
    </row>
    <row r="40" spans="1:12" ht="18" hidden="1" customHeight="1" x14ac:dyDescent="0.25">
      <c r="A40" s="1094"/>
      <c r="B40" s="1094"/>
      <c r="C40" s="1094"/>
      <c r="D40" s="314"/>
      <c r="E40" s="314"/>
      <c r="F40" s="414"/>
      <c r="G40" s="414">
        <f t="shared" si="1"/>
        <v>0</v>
      </c>
      <c r="H40" s="418"/>
      <c r="I40" s="418"/>
      <c r="J40" s="451"/>
      <c r="K40" s="452"/>
    </row>
    <row r="41" spans="1:12" ht="18" hidden="1" customHeight="1" x14ac:dyDescent="0.25">
      <c r="A41" s="1094"/>
      <c r="B41" s="1094"/>
      <c r="C41" s="1094"/>
      <c r="D41" s="314"/>
      <c r="E41" s="314"/>
      <c r="F41" s="414"/>
      <c r="G41" s="414">
        <f t="shared" si="1"/>
        <v>0</v>
      </c>
      <c r="H41" s="418"/>
      <c r="I41" s="418"/>
      <c r="J41" s="451"/>
      <c r="K41" s="452"/>
    </row>
    <row r="42" spans="1:12" ht="18" hidden="1" customHeight="1" x14ac:dyDescent="0.25">
      <c r="A42" s="1094"/>
      <c r="B42" s="1094"/>
      <c r="C42" s="1094"/>
      <c r="D42" s="314"/>
      <c r="E42" s="314"/>
      <c r="F42" s="414"/>
      <c r="G42" s="414">
        <f t="shared" si="1"/>
        <v>0</v>
      </c>
      <c r="H42" s="418"/>
      <c r="I42" s="418"/>
      <c r="J42" s="451"/>
      <c r="K42" s="452"/>
    </row>
    <row r="43" spans="1:12" ht="18" hidden="1" customHeight="1" x14ac:dyDescent="0.25">
      <c r="A43" s="1094"/>
      <c r="B43" s="1094"/>
      <c r="C43" s="1094"/>
      <c r="D43" s="314"/>
      <c r="E43" s="314"/>
      <c r="F43" s="414"/>
      <c r="G43" s="414">
        <f t="shared" si="1"/>
        <v>0</v>
      </c>
      <c r="H43" s="418"/>
      <c r="I43" s="418"/>
      <c r="J43" s="451"/>
      <c r="K43" s="452"/>
    </row>
    <row r="44" spans="1:12" ht="18" hidden="1" customHeight="1" x14ac:dyDescent="0.25">
      <c r="A44" s="1094"/>
      <c r="B44" s="1094"/>
      <c r="C44" s="1094"/>
      <c r="D44" s="314"/>
      <c r="E44" s="314"/>
      <c r="F44" s="414"/>
      <c r="G44" s="414">
        <f t="shared" si="1"/>
        <v>0</v>
      </c>
      <c r="H44" s="418"/>
      <c r="I44" s="418"/>
      <c r="J44" s="451"/>
      <c r="K44" s="452"/>
    </row>
    <row r="45" spans="1:12" ht="18" customHeight="1" x14ac:dyDescent="0.25">
      <c r="A45" s="1093" t="s">
        <v>457</v>
      </c>
      <c r="B45" s="1093"/>
      <c r="C45" s="1093"/>
      <c r="D45" s="1093"/>
      <c r="E45" s="1093"/>
      <c r="F45" s="1093"/>
      <c r="G45" s="416">
        <f>SUM(G31:G44)</f>
        <v>0</v>
      </c>
      <c r="H45" s="416">
        <f>SUM(H31:H44)</f>
        <v>0</v>
      </c>
      <c r="I45" s="416">
        <f>SUM(I31:I44)</f>
        <v>0</v>
      </c>
      <c r="J45" s="416">
        <f>SUM(J31:J44)</f>
        <v>0</v>
      </c>
      <c r="K45" s="449">
        <f>SUM(K31:K44)</f>
        <v>0</v>
      </c>
    </row>
    <row r="46" spans="1:12" ht="18" customHeight="1" x14ac:dyDescent="0.25">
      <c r="A46" s="1095" t="s">
        <v>465</v>
      </c>
      <c r="B46" s="1095"/>
      <c r="C46" s="1095"/>
      <c r="D46" s="1095"/>
      <c r="E46" s="1095"/>
      <c r="F46" s="1095"/>
      <c r="G46" s="453">
        <f>G28+G45</f>
        <v>0</v>
      </c>
      <c r="H46" s="453">
        <f>H28+H45</f>
        <v>0</v>
      </c>
      <c r="I46" s="453">
        <f>I28+I45</f>
        <v>0</v>
      </c>
      <c r="J46" s="453">
        <f>J28+J45</f>
        <v>0</v>
      </c>
      <c r="K46" s="454">
        <f>K28+K45</f>
        <v>0</v>
      </c>
    </row>
    <row r="47" spans="1:12" ht="18" customHeight="1" x14ac:dyDescent="0.25">
      <c r="A47" s="1096" t="s">
        <v>458</v>
      </c>
      <c r="B47" s="1096"/>
      <c r="C47" s="1096"/>
      <c r="D47" s="1096"/>
      <c r="E47" s="1096"/>
      <c r="F47" s="1096"/>
      <c r="G47" s="455" t="s">
        <v>466</v>
      </c>
      <c r="H47" s="1097"/>
      <c r="I47" s="1097"/>
      <c r="J47" s="1097"/>
      <c r="K47" s="1097"/>
    </row>
    <row r="48" spans="1:12" ht="18" customHeight="1" x14ac:dyDescent="0.25">
      <c r="A48" s="1098" t="str">
        <f>IF(G47="Si","Administración","Gastos de administración")</f>
        <v>Administración</v>
      </c>
      <c r="B48" s="1098"/>
      <c r="C48" s="1098"/>
      <c r="D48" s="1098"/>
      <c r="E48" s="1098"/>
      <c r="F48" s="456"/>
      <c r="G48" s="457">
        <v>0</v>
      </c>
      <c r="H48" s="414">
        <f>G48</f>
        <v>0</v>
      </c>
      <c r="I48" s="414"/>
      <c r="J48" s="414"/>
      <c r="K48" s="446"/>
      <c r="L48" s="420" t="s">
        <v>397</v>
      </c>
    </row>
    <row r="49" spans="1:12" ht="18" customHeight="1" x14ac:dyDescent="0.25">
      <c r="A49" s="1081" t="str">
        <f>IF(G47="Si","Utilidad","")</f>
        <v>Utilidad</v>
      </c>
      <c r="B49" s="1081"/>
      <c r="C49" s="1081"/>
      <c r="D49" s="1081"/>
      <c r="E49" s="1081"/>
      <c r="F49" s="456"/>
      <c r="G49" s="457">
        <v>0</v>
      </c>
      <c r="H49" s="414"/>
      <c r="I49" s="414"/>
      <c r="J49" s="414"/>
      <c r="K49" s="446"/>
    </row>
    <row r="50" spans="1:12" ht="18" customHeight="1" x14ac:dyDescent="0.25">
      <c r="A50" s="1081" t="str">
        <f>IF(G47="Si","IVA","")</f>
        <v>IVA</v>
      </c>
      <c r="B50" s="1081"/>
      <c r="C50" s="1081"/>
      <c r="D50" s="1081"/>
      <c r="E50" s="1081"/>
      <c r="F50" s="456"/>
      <c r="G50" s="457">
        <v>0</v>
      </c>
      <c r="H50" s="414"/>
      <c r="I50" s="414"/>
      <c r="J50" s="414"/>
      <c r="K50" s="446"/>
      <c r="L50" s="132" t="s">
        <v>400</v>
      </c>
    </row>
    <row r="51" spans="1:12" ht="18" customHeight="1" x14ac:dyDescent="0.25">
      <c r="A51" s="1099" t="str">
        <f>IF(G47="Si","TOTAL (después de AU e IVA)", "TOTAL (después de administración)")</f>
        <v>TOTAL (después de AU e IVA)</v>
      </c>
      <c r="B51" s="1099"/>
      <c r="C51" s="1099"/>
      <c r="D51" s="1099"/>
      <c r="E51" s="1099"/>
      <c r="F51" s="1099"/>
      <c r="G51" s="458">
        <f>SUM(G48:G50)+G46</f>
        <v>0</v>
      </c>
      <c r="H51" s="459">
        <f>SUM(H48:H50)+H46</f>
        <v>0</v>
      </c>
      <c r="I51" s="459">
        <f>SUM(I48:I50)+I46</f>
        <v>0</v>
      </c>
      <c r="J51" s="459">
        <f>SUM(J48:J50)+J46</f>
        <v>0</v>
      </c>
      <c r="K51" s="460">
        <f>SUM(K48:K50)+K46</f>
        <v>0</v>
      </c>
    </row>
    <row r="52" spans="1:12" ht="45.75" customHeight="1" x14ac:dyDescent="0.25">
      <c r="A52" s="461" t="s">
        <v>460</v>
      </c>
      <c r="B52" s="462"/>
      <c r="C52" s="463" t="s">
        <v>113</v>
      </c>
      <c r="D52" s="462"/>
      <c r="E52" s="463" t="s">
        <v>467</v>
      </c>
      <c r="F52" s="464">
        <f>IFERROR(G46/B52,0)</f>
        <v>0</v>
      </c>
      <c r="G52" s="1100" t="s">
        <v>468</v>
      </c>
      <c r="H52" s="1100"/>
      <c r="I52" s="1100"/>
      <c r="J52" s="1100"/>
      <c r="K52" s="1100"/>
    </row>
    <row r="53" spans="1:12" ht="12" customHeight="1" x14ac:dyDescent="0.25">
      <c r="A53" s="1084"/>
      <c r="B53" s="1084"/>
      <c r="C53" s="1084"/>
      <c r="D53" s="1084"/>
      <c r="E53" s="1084"/>
      <c r="F53" s="1084"/>
      <c r="G53" s="1084"/>
      <c r="H53" s="1084"/>
      <c r="I53" s="1084"/>
      <c r="J53" s="1084"/>
      <c r="K53" s="1084"/>
    </row>
    <row r="54" spans="1:12" ht="53.25" customHeight="1" x14ac:dyDescent="0.25">
      <c r="A54" s="461" t="s">
        <v>460</v>
      </c>
      <c r="B54" s="462"/>
      <c r="C54" s="463" t="s">
        <v>113</v>
      </c>
      <c r="D54" s="462"/>
      <c r="E54" s="463" t="s">
        <v>469</v>
      </c>
      <c r="F54" s="464">
        <f>IFERROR((G46-G28)/B54,0)</f>
        <v>0</v>
      </c>
      <c r="G54" s="1100" t="s">
        <v>468</v>
      </c>
      <c r="H54" s="1100"/>
      <c r="I54" s="1100"/>
      <c r="J54" s="1100"/>
      <c r="K54" s="1100"/>
    </row>
    <row r="55" spans="1:12" ht="18" customHeight="1" x14ac:dyDescent="0.25">
      <c r="A55" s="1077"/>
      <c r="B55" s="1077"/>
      <c r="C55" s="1077"/>
      <c r="D55" s="1077"/>
      <c r="E55" s="1077"/>
      <c r="F55" s="1077"/>
      <c r="G55" s="1077"/>
      <c r="H55" s="1077"/>
      <c r="I55" s="1077"/>
      <c r="J55" s="1077"/>
      <c r="K55" s="1077"/>
    </row>
    <row r="56" spans="1:12" ht="18" customHeight="1" x14ac:dyDescent="0.25">
      <c r="A56" s="1091" t="s">
        <v>470</v>
      </c>
      <c r="B56" s="1091"/>
      <c r="C56" s="1091"/>
      <c r="D56" s="1091"/>
      <c r="E56" s="1091"/>
      <c r="F56" s="1091"/>
      <c r="G56" s="1091"/>
      <c r="H56" s="1091"/>
      <c r="I56" s="1091"/>
      <c r="J56" s="1091"/>
      <c r="K56" s="1091"/>
    </row>
    <row r="57" spans="1:12" ht="30" customHeight="1" x14ac:dyDescent="0.25">
      <c r="A57" s="307" t="s">
        <v>380</v>
      </c>
      <c r="B57" s="308" t="s">
        <v>381</v>
      </c>
      <c r="C57" s="308" t="s">
        <v>382</v>
      </c>
      <c r="D57" s="308" t="s">
        <v>113</v>
      </c>
      <c r="E57" s="308" t="s">
        <v>383</v>
      </c>
      <c r="F57" s="410" t="s">
        <v>384</v>
      </c>
      <c r="G57" s="410" t="s">
        <v>385</v>
      </c>
      <c r="H57" s="409" t="s">
        <v>426</v>
      </c>
      <c r="I57" s="409" t="s">
        <v>427</v>
      </c>
      <c r="J57" s="409" t="s">
        <v>426</v>
      </c>
      <c r="K57" s="444" t="s">
        <v>427</v>
      </c>
    </row>
    <row r="58" spans="1:12" ht="18" customHeight="1" x14ac:dyDescent="0.25">
      <c r="A58" s="1092" t="s">
        <v>378</v>
      </c>
      <c r="B58" s="1092"/>
      <c r="C58" s="1092"/>
      <c r="D58" s="1092"/>
      <c r="E58" s="1092"/>
      <c r="F58" s="1092"/>
      <c r="G58" s="1092"/>
      <c r="H58" s="1092"/>
      <c r="I58" s="1092"/>
      <c r="J58" s="1092"/>
      <c r="K58" s="1092"/>
    </row>
    <row r="59" spans="1:12" ht="24.75" customHeight="1" x14ac:dyDescent="0.25">
      <c r="A59" s="445"/>
      <c r="B59" s="412"/>
      <c r="C59" s="413"/>
      <c r="D59" s="412"/>
      <c r="E59" s="412"/>
      <c r="F59" s="414"/>
      <c r="G59" s="414">
        <f t="shared" ref="G59:G69" si="2">B59*C59*E59*F59</f>
        <v>0</v>
      </c>
      <c r="H59" s="414"/>
      <c r="I59" s="414"/>
      <c r="J59" s="414"/>
      <c r="K59" s="446"/>
    </row>
    <row r="60" spans="1:12" ht="18" customHeight="1" x14ac:dyDescent="0.25">
      <c r="A60" s="445"/>
      <c r="B60" s="412"/>
      <c r="C60" s="413"/>
      <c r="D60" s="412"/>
      <c r="E60" s="412"/>
      <c r="F60" s="414"/>
      <c r="G60" s="414">
        <f t="shared" si="2"/>
        <v>0</v>
      </c>
      <c r="H60" s="414"/>
      <c r="I60" s="414"/>
      <c r="J60" s="414"/>
      <c r="K60" s="446"/>
    </row>
    <row r="61" spans="1:12" ht="18" customHeight="1" x14ac:dyDescent="0.25">
      <c r="A61" s="445"/>
      <c r="B61" s="412"/>
      <c r="C61" s="413"/>
      <c r="D61" s="412"/>
      <c r="E61" s="412"/>
      <c r="F61" s="414"/>
      <c r="G61" s="414">
        <f t="shared" si="2"/>
        <v>0</v>
      </c>
      <c r="H61" s="414"/>
      <c r="I61" s="414"/>
      <c r="J61" s="414"/>
      <c r="K61" s="446"/>
    </row>
    <row r="62" spans="1:12" ht="18" hidden="1" customHeight="1" x14ac:dyDescent="0.25">
      <c r="A62" s="445"/>
      <c r="B62" s="412"/>
      <c r="C62" s="413"/>
      <c r="D62" s="412"/>
      <c r="E62" s="412"/>
      <c r="F62" s="414"/>
      <c r="G62" s="414">
        <f t="shared" si="2"/>
        <v>0</v>
      </c>
      <c r="H62" s="414"/>
      <c r="I62" s="414"/>
      <c r="J62" s="414"/>
      <c r="K62" s="446"/>
    </row>
    <row r="63" spans="1:12" ht="18" hidden="1" customHeight="1" x14ac:dyDescent="0.25">
      <c r="A63" s="445"/>
      <c r="B63" s="412"/>
      <c r="C63" s="413"/>
      <c r="D63" s="412"/>
      <c r="E63" s="412"/>
      <c r="F63" s="414"/>
      <c r="G63" s="414">
        <f t="shared" si="2"/>
        <v>0</v>
      </c>
      <c r="H63" s="414"/>
      <c r="I63" s="414"/>
      <c r="J63" s="414"/>
      <c r="K63" s="446"/>
    </row>
    <row r="64" spans="1:12" ht="18" hidden="1" customHeight="1" x14ac:dyDescent="0.25">
      <c r="A64" s="445"/>
      <c r="B64" s="412"/>
      <c r="C64" s="413"/>
      <c r="D64" s="412"/>
      <c r="E64" s="412"/>
      <c r="F64" s="414"/>
      <c r="G64" s="414">
        <f t="shared" si="2"/>
        <v>0</v>
      </c>
      <c r="H64" s="414"/>
      <c r="I64" s="414"/>
      <c r="J64" s="414"/>
      <c r="K64" s="446"/>
    </row>
    <row r="65" spans="1:11" ht="18" hidden="1" customHeight="1" x14ac:dyDescent="0.25">
      <c r="A65" s="445"/>
      <c r="B65" s="412"/>
      <c r="C65" s="413"/>
      <c r="D65" s="412"/>
      <c r="E65" s="412"/>
      <c r="F65" s="414"/>
      <c r="G65" s="414">
        <f t="shared" si="2"/>
        <v>0</v>
      </c>
      <c r="H65" s="414"/>
      <c r="I65" s="414"/>
      <c r="J65" s="414"/>
      <c r="K65" s="446"/>
    </row>
    <row r="66" spans="1:11" ht="18" hidden="1" customHeight="1" x14ac:dyDescent="0.25">
      <c r="A66" s="445"/>
      <c r="B66" s="412"/>
      <c r="C66" s="413"/>
      <c r="D66" s="412"/>
      <c r="E66" s="412"/>
      <c r="F66" s="414"/>
      <c r="G66" s="414">
        <f t="shared" si="2"/>
        <v>0</v>
      </c>
      <c r="H66" s="414"/>
      <c r="I66" s="414"/>
      <c r="J66" s="414"/>
      <c r="K66" s="446"/>
    </row>
    <row r="67" spans="1:11" ht="18" hidden="1" customHeight="1" x14ac:dyDescent="0.25">
      <c r="A67" s="448"/>
      <c r="B67" s="415"/>
      <c r="C67" s="413"/>
      <c r="D67" s="415"/>
      <c r="E67" s="415"/>
      <c r="F67" s="414"/>
      <c r="G67" s="414">
        <f t="shared" si="2"/>
        <v>0</v>
      </c>
      <c r="H67" s="414"/>
      <c r="I67" s="414"/>
      <c r="J67" s="414"/>
      <c r="K67" s="446"/>
    </row>
    <row r="68" spans="1:11" ht="18" hidden="1" customHeight="1" x14ac:dyDescent="0.25">
      <c r="A68" s="448"/>
      <c r="B68" s="415"/>
      <c r="C68" s="413"/>
      <c r="D68" s="415"/>
      <c r="E68" s="415"/>
      <c r="F68" s="414"/>
      <c r="G68" s="414">
        <f t="shared" si="2"/>
        <v>0</v>
      </c>
      <c r="H68" s="414"/>
      <c r="I68" s="414"/>
      <c r="J68" s="414"/>
      <c r="K68" s="446"/>
    </row>
    <row r="69" spans="1:11" ht="18" hidden="1" customHeight="1" x14ac:dyDescent="0.25">
      <c r="A69" s="448"/>
      <c r="B69" s="415"/>
      <c r="C69" s="413"/>
      <c r="D69" s="415"/>
      <c r="E69" s="415"/>
      <c r="F69" s="414"/>
      <c r="G69" s="414">
        <f t="shared" si="2"/>
        <v>0</v>
      </c>
      <c r="H69" s="414"/>
      <c r="I69" s="414"/>
      <c r="J69" s="414"/>
      <c r="K69" s="446"/>
    </row>
    <row r="70" spans="1:11" ht="18" customHeight="1" x14ac:dyDescent="0.25">
      <c r="A70" s="1093" t="s">
        <v>450</v>
      </c>
      <c r="B70" s="1093"/>
      <c r="C70" s="1093"/>
      <c r="D70" s="1093"/>
      <c r="E70" s="1093"/>
      <c r="F70" s="1093"/>
      <c r="G70" s="416">
        <f>SUM(G59:G69)</f>
        <v>0</v>
      </c>
      <c r="H70" s="416">
        <f>SUM(H59:H69)</f>
        <v>0</v>
      </c>
      <c r="I70" s="416">
        <f>SUM(I59:I69)</f>
        <v>0</v>
      </c>
      <c r="J70" s="416">
        <f>SUM(J59:J69)</f>
        <v>0</v>
      </c>
      <c r="K70" s="449">
        <f>SUM(K59:K69)</f>
        <v>0</v>
      </c>
    </row>
    <row r="71" spans="1:11" ht="28.5" customHeight="1" x14ac:dyDescent="0.25">
      <c r="A71" s="1044" t="s">
        <v>380</v>
      </c>
      <c r="B71" s="1044"/>
      <c r="C71" s="1044"/>
      <c r="D71" s="333" t="s">
        <v>113</v>
      </c>
      <c r="E71" s="333" t="s">
        <v>383</v>
      </c>
      <c r="F71" s="333" t="s">
        <v>444</v>
      </c>
      <c r="G71" s="450" t="s">
        <v>445</v>
      </c>
      <c r="H71" s="409" t="s">
        <v>426</v>
      </c>
      <c r="I71" s="409" t="s">
        <v>427</v>
      </c>
      <c r="J71" s="409" t="s">
        <v>426</v>
      </c>
      <c r="K71" s="444" t="s">
        <v>427</v>
      </c>
    </row>
    <row r="72" spans="1:11" ht="18" customHeight="1" x14ac:dyDescent="0.25">
      <c r="A72" s="1092" t="s">
        <v>464</v>
      </c>
      <c r="B72" s="1092"/>
      <c r="C72" s="1092"/>
      <c r="D72" s="1092"/>
      <c r="E72" s="1092"/>
      <c r="F72" s="1092"/>
      <c r="G72" s="1092"/>
      <c r="H72" s="1092"/>
      <c r="I72" s="1092"/>
      <c r="J72" s="1092"/>
      <c r="K72" s="1092"/>
    </row>
    <row r="73" spans="1:11" ht="18" customHeight="1" x14ac:dyDescent="0.25">
      <c r="A73" s="1094"/>
      <c r="B73" s="1094"/>
      <c r="C73" s="1094"/>
      <c r="D73" s="314"/>
      <c r="E73" s="314"/>
      <c r="F73" s="414"/>
      <c r="G73" s="414">
        <f t="shared" ref="G73:G86" si="3">E73*F73</f>
        <v>0</v>
      </c>
      <c r="H73" s="418"/>
      <c r="I73" s="418"/>
      <c r="J73" s="451"/>
      <c r="K73" s="452"/>
    </row>
    <row r="74" spans="1:11" ht="18" customHeight="1" x14ac:dyDescent="0.25">
      <c r="A74" s="1094"/>
      <c r="B74" s="1094"/>
      <c r="C74" s="1094"/>
      <c r="D74" s="314"/>
      <c r="E74" s="314"/>
      <c r="F74" s="414"/>
      <c r="G74" s="414">
        <f t="shared" si="3"/>
        <v>0</v>
      </c>
      <c r="H74" s="418"/>
      <c r="I74" s="418"/>
      <c r="J74" s="451"/>
      <c r="K74" s="452"/>
    </row>
    <row r="75" spans="1:11" ht="18" customHeight="1" x14ac:dyDescent="0.25">
      <c r="A75" s="1094"/>
      <c r="B75" s="1094"/>
      <c r="C75" s="1094"/>
      <c r="D75" s="314"/>
      <c r="E75" s="314"/>
      <c r="F75" s="414"/>
      <c r="G75" s="414">
        <f t="shared" si="3"/>
        <v>0</v>
      </c>
      <c r="H75" s="418"/>
      <c r="I75" s="418"/>
      <c r="J75" s="451"/>
      <c r="K75" s="452"/>
    </row>
    <row r="76" spans="1:11" ht="18" hidden="1" customHeight="1" x14ac:dyDescent="0.25">
      <c r="A76" s="1094"/>
      <c r="B76" s="1094"/>
      <c r="C76" s="1094"/>
      <c r="D76" s="314"/>
      <c r="E76" s="314"/>
      <c r="F76" s="414"/>
      <c r="G76" s="414">
        <f t="shared" si="3"/>
        <v>0</v>
      </c>
      <c r="H76" s="418"/>
      <c r="I76" s="418"/>
      <c r="J76" s="451"/>
      <c r="K76" s="452"/>
    </row>
    <row r="77" spans="1:11" ht="18" hidden="1" customHeight="1" x14ac:dyDescent="0.25">
      <c r="A77" s="1094"/>
      <c r="B77" s="1094"/>
      <c r="C77" s="1094"/>
      <c r="D77" s="314"/>
      <c r="E77" s="314"/>
      <c r="F77" s="414"/>
      <c r="G77" s="414">
        <f t="shared" si="3"/>
        <v>0</v>
      </c>
      <c r="H77" s="418"/>
      <c r="I77" s="418"/>
      <c r="J77" s="451"/>
      <c r="K77" s="452"/>
    </row>
    <row r="78" spans="1:11" ht="18" hidden="1" customHeight="1" x14ac:dyDescent="0.25">
      <c r="A78" s="1094"/>
      <c r="B78" s="1094"/>
      <c r="C78" s="1094"/>
      <c r="D78" s="314"/>
      <c r="E78" s="314"/>
      <c r="F78" s="414"/>
      <c r="G78" s="414">
        <f t="shared" si="3"/>
        <v>0</v>
      </c>
      <c r="H78" s="418"/>
      <c r="I78" s="418"/>
      <c r="J78" s="451"/>
      <c r="K78" s="452"/>
    </row>
    <row r="79" spans="1:11" ht="18" hidden="1" customHeight="1" x14ac:dyDescent="0.25">
      <c r="A79" s="1094"/>
      <c r="B79" s="1094"/>
      <c r="C79" s="1094"/>
      <c r="D79" s="314"/>
      <c r="E79" s="314"/>
      <c r="F79" s="414"/>
      <c r="G79" s="414">
        <f t="shared" si="3"/>
        <v>0</v>
      </c>
      <c r="H79" s="418"/>
      <c r="I79" s="418"/>
      <c r="J79" s="451"/>
      <c r="K79" s="452"/>
    </row>
    <row r="80" spans="1:11" ht="18" hidden="1" customHeight="1" x14ac:dyDescent="0.25">
      <c r="A80" s="1094"/>
      <c r="B80" s="1094"/>
      <c r="C80" s="1094"/>
      <c r="D80" s="314"/>
      <c r="E80" s="314"/>
      <c r="F80" s="414"/>
      <c r="G80" s="414">
        <f t="shared" si="3"/>
        <v>0</v>
      </c>
      <c r="H80" s="418"/>
      <c r="I80" s="418"/>
      <c r="J80" s="451"/>
      <c r="K80" s="452"/>
    </row>
    <row r="81" spans="1:12" ht="18" hidden="1" customHeight="1" x14ac:dyDescent="0.25">
      <c r="A81" s="1094"/>
      <c r="B81" s="1094"/>
      <c r="C81" s="1094"/>
      <c r="D81" s="314"/>
      <c r="E81" s="314"/>
      <c r="F81" s="414"/>
      <c r="G81" s="414">
        <f t="shared" si="3"/>
        <v>0</v>
      </c>
      <c r="H81" s="418"/>
      <c r="I81" s="418"/>
      <c r="J81" s="451"/>
      <c r="K81" s="452"/>
    </row>
    <row r="82" spans="1:12" ht="18" hidden="1" customHeight="1" x14ac:dyDescent="0.25">
      <c r="A82" s="1094"/>
      <c r="B82" s="1094"/>
      <c r="C82" s="1094"/>
      <c r="D82" s="314"/>
      <c r="E82" s="314"/>
      <c r="F82" s="414"/>
      <c r="G82" s="414">
        <f t="shared" si="3"/>
        <v>0</v>
      </c>
      <c r="H82" s="418"/>
      <c r="I82" s="418"/>
      <c r="J82" s="451"/>
      <c r="K82" s="452"/>
    </row>
    <row r="83" spans="1:12" ht="18" hidden="1" customHeight="1" x14ac:dyDescent="0.25">
      <c r="A83" s="1094"/>
      <c r="B83" s="1094"/>
      <c r="C83" s="1094"/>
      <c r="D83" s="314"/>
      <c r="E83" s="314"/>
      <c r="F83" s="414"/>
      <c r="G83" s="414">
        <f t="shared" si="3"/>
        <v>0</v>
      </c>
      <c r="H83" s="418"/>
      <c r="I83" s="418"/>
      <c r="J83" s="451"/>
      <c r="K83" s="452"/>
    </row>
    <row r="84" spans="1:12" ht="18" hidden="1" customHeight="1" x14ac:dyDescent="0.25">
      <c r="A84" s="1094"/>
      <c r="B84" s="1094"/>
      <c r="C84" s="1094"/>
      <c r="D84" s="314"/>
      <c r="E84" s="314"/>
      <c r="F84" s="414"/>
      <c r="G84" s="414">
        <f t="shared" si="3"/>
        <v>0</v>
      </c>
      <c r="H84" s="418"/>
      <c r="I84" s="418"/>
      <c r="J84" s="451"/>
      <c r="K84" s="452"/>
    </row>
    <row r="85" spans="1:12" ht="18" hidden="1" customHeight="1" x14ac:dyDescent="0.25">
      <c r="A85" s="1094"/>
      <c r="B85" s="1094"/>
      <c r="C85" s="1094"/>
      <c r="D85" s="314"/>
      <c r="E85" s="314"/>
      <c r="F85" s="414"/>
      <c r="G85" s="414">
        <f t="shared" si="3"/>
        <v>0</v>
      </c>
      <c r="H85" s="418"/>
      <c r="I85" s="418"/>
      <c r="J85" s="451"/>
      <c r="K85" s="452"/>
    </row>
    <row r="86" spans="1:12" ht="18" hidden="1" customHeight="1" x14ac:dyDescent="0.25">
      <c r="A86" s="1094"/>
      <c r="B86" s="1094"/>
      <c r="C86" s="1094"/>
      <c r="D86" s="314"/>
      <c r="E86" s="314"/>
      <c r="F86" s="414"/>
      <c r="G86" s="414">
        <f t="shared" si="3"/>
        <v>0</v>
      </c>
      <c r="H86" s="418"/>
      <c r="I86" s="418"/>
      <c r="J86" s="451"/>
      <c r="K86" s="452"/>
    </row>
    <row r="87" spans="1:12" ht="18" customHeight="1" x14ac:dyDescent="0.25">
      <c r="A87" s="1093" t="s">
        <v>457</v>
      </c>
      <c r="B87" s="1093"/>
      <c r="C87" s="1093"/>
      <c r="D87" s="1093"/>
      <c r="E87" s="1093"/>
      <c r="F87" s="1093"/>
      <c r="G87" s="416">
        <f>SUM(G73:G86)</f>
        <v>0</v>
      </c>
      <c r="H87" s="416">
        <f>SUM(H73:H86)</f>
        <v>0</v>
      </c>
      <c r="I87" s="416">
        <f>SUM(I73:I86)</f>
        <v>0</v>
      </c>
      <c r="J87" s="416">
        <f>SUM(J73:J86)</f>
        <v>0</v>
      </c>
      <c r="K87" s="449">
        <f>SUM(K73:K86)</f>
        <v>0</v>
      </c>
    </row>
    <row r="88" spans="1:12" ht="18" customHeight="1" x14ac:dyDescent="0.25">
      <c r="A88" s="1095" t="s">
        <v>465</v>
      </c>
      <c r="B88" s="1095"/>
      <c r="C88" s="1095"/>
      <c r="D88" s="1095"/>
      <c r="E88" s="1095"/>
      <c r="F88" s="1095"/>
      <c r="G88" s="453">
        <f>G70+G87</f>
        <v>0</v>
      </c>
      <c r="H88" s="453">
        <f>H70+H87</f>
        <v>0</v>
      </c>
      <c r="I88" s="453">
        <f>I70+I87</f>
        <v>0</v>
      </c>
      <c r="J88" s="453">
        <f>J70+J87</f>
        <v>0</v>
      </c>
      <c r="K88" s="454">
        <f>K70+K87</f>
        <v>0</v>
      </c>
    </row>
    <row r="89" spans="1:12" ht="18" customHeight="1" x14ac:dyDescent="0.25">
      <c r="A89" s="1096" t="s">
        <v>458</v>
      </c>
      <c r="B89" s="1096"/>
      <c r="C89" s="1096"/>
      <c r="D89" s="1096"/>
      <c r="E89" s="1096"/>
      <c r="F89" s="1096"/>
      <c r="G89" s="455" t="s">
        <v>459</v>
      </c>
      <c r="H89" s="1097"/>
      <c r="I89" s="1097"/>
      <c r="J89" s="1097"/>
      <c r="K89" s="1097"/>
    </row>
    <row r="90" spans="1:12" ht="18" customHeight="1" x14ac:dyDescent="0.25">
      <c r="A90" s="1098" t="str">
        <f>IF(G89="Si","Administración","Gastos de administración")</f>
        <v>Gastos de administración</v>
      </c>
      <c r="B90" s="1098"/>
      <c r="C90" s="1098"/>
      <c r="D90" s="1098"/>
      <c r="E90" s="1098"/>
      <c r="F90" s="456"/>
      <c r="G90" s="457">
        <v>0</v>
      </c>
      <c r="H90" s="414">
        <f>G90</f>
        <v>0</v>
      </c>
      <c r="I90" s="414"/>
      <c r="J90" s="414"/>
      <c r="K90" s="446"/>
      <c r="L90" s="420" t="s">
        <v>397</v>
      </c>
    </row>
    <row r="91" spans="1:12" ht="18" customHeight="1" x14ac:dyDescent="0.25">
      <c r="A91" s="1081" t="str">
        <f>IF(G89="Si","Utilidad","")</f>
        <v/>
      </c>
      <c r="B91" s="1081"/>
      <c r="C91" s="1081"/>
      <c r="D91" s="1081"/>
      <c r="E91" s="1081"/>
      <c r="F91" s="456"/>
      <c r="G91" s="457">
        <v>0</v>
      </c>
      <c r="H91" s="414"/>
      <c r="I91" s="414"/>
      <c r="J91" s="414"/>
      <c r="K91" s="446"/>
    </row>
    <row r="92" spans="1:12" ht="18" customHeight="1" x14ac:dyDescent="0.25">
      <c r="A92" s="1081" t="str">
        <f>IF(G89="Si","IVA","")</f>
        <v/>
      </c>
      <c r="B92" s="1081"/>
      <c r="C92" s="1081"/>
      <c r="D92" s="1081"/>
      <c r="E92" s="1081"/>
      <c r="F92" s="456"/>
      <c r="G92" s="457">
        <v>0</v>
      </c>
      <c r="H92" s="414"/>
      <c r="I92" s="414"/>
      <c r="J92" s="414"/>
      <c r="K92" s="446"/>
      <c r="L92" s="132" t="s">
        <v>400</v>
      </c>
    </row>
    <row r="93" spans="1:12" ht="18" customHeight="1" x14ac:dyDescent="0.25">
      <c r="A93" s="1099" t="str">
        <f>IF(G89="Si","TOTAL (después de AU e IVA)", "TOTAL (después de administración)")</f>
        <v>TOTAL (después de administración)</v>
      </c>
      <c r="B93" s="1099"/>
      <c r="C93" s="1099"/>
      <c r="D93" s="1099"/>
      <c r="E93" s="1099"/>
      <c r="F93" s="1099"/>
      <c r="G93" s="458">
        <f>SUM(G90:G92)+G88</f>
        <v>0</v>
      </c>
      <c r="H93" s="459">
        <f>SUM(H90:H92)+H88</f>
        <v>0</v>
      </c>
      <c r="I93" s="459">
        <f>SUM(I90:I92)+I88</f>
        <v>0</v>
      </c>
      <c r="J93" s="459">
        <f>SUM(J90:J92)+J88</f>
        <v>0</v>
      </c>
      <c r="K93" s="460">
        <f>SUM(K90:K92)+K88</f>
        <v>0</v>
      </c>
    </row>
    <row r="94" spans="1:12" ht="42" customHeight="1" x14ac:dyDescent="0.25">
      <c r="A94" s="461" t="s">
        <v>460</v>
      </c>
      <c r="B94" s="462"/>
      <c r="C94" s="463" t="s">
        <v>113</v>
      </c>
      <c r="D94" s="462"/>
      <c r="E94" s="463" t="s">
        <v>467</v>
      </c>
      <c r="F94" s="464">
        <f>IFERROR(G88/B94,0)</f>
        <v>0</v>
      </c>
      <c r="G94" s="1100" t="s">
        <v>468</v>
      </c>
      <c r="H94" s="1100"/>
      <c r="I94" s="1100"/>
      <c r="J94" s="1100"/>
      <c r="K94" s="1100"/>
    </row>
    <row r="95" spans="1:12" ht="30.75" customHeight="1" x14ac:dyDescent="0.25">
      <c r="A95" s="1084"/>
      <c r="B95" s="1084"/>
      <c r="C95" s="1084"/>
      <c r="D95" s="1084"/>
      <c r="E95" s="1084"/>
      <c r="F95" s="1084"/>
      <c r="G95" s="1084"/>
      <c r="H95" s="1084"/>
      <c r="I95" s="1084"/>
      <c r="J95" s="1084"/>
      <c r="K95" s="1084"/>
    </row>
    <row r="96" spans="1:12" ht="51.75" customHeight="1" x14ac:dyDescent="0.25">
      <c r="A96" s="461" t="s">
        <v>460</v>
      </c>
      <c r="B96" s="462"/>
      <c r="C96" s="463" t="s">
        <v>113</v>
      </c>
      <c r="D96" s="462"/>
      <c r="E96" s="463" t="s">
        <v>469</v>
      </c>
      <c r="F96" s="464">
        <f>IFERROR((G88-G70)/B96,0)</f>
        <v>0</v>
      </c>
      <c r="G96" s="1100" t="s">
        <v>468</v>
      </c>
      <c r="H96" s="1100"/>
      <c r="I96" s="1100"/>
      <c r="J96" s="1100"/>
      <c r="K96" s="1100"/>
    </row>
    <row r="97" spans="1:11" ht="18" customHeight="1" x14ac:dyDescent="0.25">
      <c r="A97" s="1077"/>
      <c r="B97" s="1077"/>
      <c r="C97" s="1077"/>
      <c r="D97" s="1077"/>
      <c r="E97" s="1077"/>
      <c r="F97" s="1077"/>
      <c r="G97" s="1077"/>
      <c r="H97" s="1077"/>
      <c r="I97" s="1077"/>
      <c r="J97" s="1077"/>
      <c r="K97" s="1077"/>
    </row>
    <row r="98" spans="1:11" ht="18" customHeight="1" x14ac:dyDescent="0.25">
      <c r="A98" s="1091" t="s">
        <v>471</v>
      </c>
      <c r="B98" s="1091"/>
      <c r="C98" s="1091"/>
      <c r="D98" s="1091"/>
      <c r="E98" s="1091"/>
      <c r="F98" s="1091"/>
      <c r="G98" s="1091"/>
      <c r="H98" s="1091"/>
      <c r="I98" s="1091"/>
      <c r="J98" s="1091"/>
      <c r="K98" s="1091"/>
    </row>
    <row r="99" spans="1:11" ht="31.5" customHeight="1" x14ac:dyDescent="0.25">
      <c r="A99" s="307" t="s">
        <v>380</v>
      </c>
      <c r="B99" s="308" t="s">
        <v>381</v>
      </c>
      <c r="C99" s="308" t="s">
        <v>382</v>
      </c>
      <c r="D99" s="308" t="s">
        <v>113</v>
      </c>
      <c r="E99" s="308" t="s">
        <v>383</v>
      </c>
      <c r="F99" s="410" t="s">
        <v>384</v>
      </c>
      <c r="G99" s="410" t="s">
        <v>385</v>
      </c>
      <c r="H99" s="409" t="s">
        <v>426</v>
      </c>
      <c r="I99" s="409" t="s">
        <v>427</v>
      </c>
      <c r="J99" s="409" t="s">
        <v>426</v>
      </c>
      <c r="K99" s="444" t="s">
        <v>427</v>
      </c>
    </row>
    <row r="100" spans="1:11" ht="18" customHeight="1" x14ac:dyDescent="0.25">
      <c r="A100" s="1092" t="s">
        <v>378</v>
      </c>
      <c r="B100" s="1092"/>
      <c r="C100" s="1092"/>
      <c r="D100" s="1092"/>
      <c r="E100" s="1092"/>
      <c r="F100" s="1092"/>
      <c r="G100" s="1092"/>
      <c r="H100" s="1092"/>
      <c r="I100" s="1092"/>
      <c r="J100" s="1092"/>
      <c r="K100" s="1092"/>
    </row>
    <row r="101" spans="1:11" ht="18" customHeight="1" x14ac:dyDescent="0.25">
      <c r="A101" s="445"/>
      <c r="B101" s="412"/>
      <c r="C101" s="413"/>
      <c r="D101" s="412"/>
      <c r="E101" s="412"/>
      <c r="F101" s="414"/>
      <c r="G101" s="414">
        <f t="shared" ref="G101:G111" si="4">B101*C101*E101*F101</f>
        <v>0</v>
      </c>
      <c r="H101" s="414"/>
      <c r="I101" s="414"/>
      <c r="J101" s="414"/>
      <c r="K101" s="446"/>
    </row>
    <row r="102" spans="1:11" ht="18" customHeight="1" x14ac:dyDescent="0.25">
      <c r="A102" s="445"/>
      <c r="B102" s="412"/>
      <c r="C102" s="413"/>
      <c r="D102" s="412"/>
      <c r="E102" s="412"/>
      <c r="F102" s="414"/>
      <c r="G102" s="414">
        <f t="shared" si="4"/>
        <v>0</v>
      </c>
      <c r="H102" s="414"/>
      <c r="I102" s="414"/>
      <c r="J102" s="414"/>
      <c r="K102" s="446"/>
    </row>
    <row r="103" spans="1:11" ht="18" customHeight="1" x14ac:dyDescent="0.25">
      <c r="A103" s="445"/>
      <c r="B103" s="412"/>
      <c r="C103" s="413"/>
      <c r="D103" s="412"/>
      <c r="E103" s="412"/>
      <c r="F103" s="414"/>
      <c r="G103" s="414">
        <f t="shared" si="4"/>
        <v>0</v>
      </c>
      <c r="H103" s="414"/>
      <c r="I103" s="414"/>
      <c r="J103" s="414"/>
      <c r="K103" s="446"/>
    </row>
    <row r="104" spans="1:11" ht="18" hidden="1" customHeight="1" x14ac:dyDescent="0.25">
      <c r="A104" s="445"/>
      <c r="B104" s="412"/>
      <c r="C104" s="413"/>
      <c r="D104" s="412"/>
      <c r="E104" s="412"/>
      <c r="F104" s="414"/>
      <c r="G104" s="414">
        <f t="shared" si="4"/>
        <v>0</v>
      </c>
      <c r="H104" s="414"/>
      <c r="I104" s="414"/>
      <c r="J104" s="414"/>
      <c r="K104" s="446"/>
    </row>
    <row r="105" spans="1:11" ht="18" hidden="1" customHeight="1" x14ac:dyDescent="0.25">
      <c r="A105" s="445"/>
      <c r="B105" s="412"/>
      <c r="C105" s="413"/>
      <c r="D105" s="412"/>
      <c r="E105" s="412"/>
      <c r="F105" s="414"/>
      <c r="G105" s="414">
        <f t="shared" si="4"/>
        <v>0</v>
      </c>
      <c r="H105" s="414"/>
      <c r="I105" s="414"/>
      <c r="J105" s="414"/>
      <c r="K105" s="446"/>
    </row>
    <row r="106" spans="1:11" ht="18" hidden="1" customHeight="1" x14ac:dyDescent="0.25">
      <c r="A106" s="445"/>
      <c r="B106" s="412"/>
      <c r="C106" s="413"/>
      <c r="D106" s="412"/>
      <c r="E106" s="412"/>
      <c r="F106" s="414"/>
      <c r="G106" s="414">
        <f t="shared" si="4"/>
        <v>0</v>
      </c>
      <c r="H106" s="414"/>
      <c r="I106" s="414"/>
      <c r="J106" s="414"/>
      <c r="K106" s="446"/>
    </row>
    <row r="107" spans="1:11" ht="18" hidden="1" customHeight="1" x14ac:dyDescent="0.25">
      <c r="A107" s="445"/>
      <c r="B107" s="412"/>
      <c r="C107" s="413"/>
      <c r="D107" s="412"/>
      <c r="E107" s="412"/>
      <c r="F107" s="414"/>
      <c r="G107" s="414">
        <f t="shared" si="4"/>
        <v>0</v>
      </c>
      <c r="H107" s="414"/>
      <c r="I107" s="414"/>
      <c r="J107" s="414"/>
      <c r="K107" s="446"/>
    </row>
    <row r="108" spans="1:11" ht="18" hidden="1" customHeight="1" x14ac:dyDescent="0.25">
      <c r="A108" s="445"/>
      <c r="B108" s="412"/>
      <c r="C108" s="413"/>
      <c r="D108" s="412"/>
      <c r="E108" s="412"/>
      <c r="F108" s="414"/>
      <c r="G108" s="414">
        <f t="shared" si="4"/>
        <v>0</v>
      </c>
      <c r="H108" s="414"/>
      <c r="I108" s="414"/>
      <c r="J108" s="414"/>
      <c r="K108" s="446"/>
    </row>
    <row r="109" spans="1:11" ht="18" hidden="1" customHeight="1" x14ac:dyDescent="0.25">
      <c r="A109" s="448"/>
      <c r="B109" s="415"/>
      <c r="C109" s="413"/>
      <c r="D109" s="415"/>
      <c r="E109" s="415"/>
      <c r="F109" s="414"/>
      <c r="G109" s="414">
        <f t="shared" si="4"/>
        <v>0</v>
      </c>
      <c r="H109" s="414"/>
      <c r="I109" s="414"/>
      <c r="J109" s="414"/>
      <c r="K109" s="446"/>
    </row>
    <row r="110" spans="1:11" ht="18" hidden="1" customHeight="1" x14ac:dyDescent="0.25">
      <c r="A110" s="448"/>
      <c r="B110" s="415"/>
      <c r="C110" s="413"/>
      <c r="D110" s="415"/>
      <c r="E110" s="415"/>
      <c r="F110" s="414"/>
      <c r="G110" s="414">
        <f t="shared" si="4"/>
        <v>0</v>
      </c>
      <c r="H110" s="414"/>
      <c r="I110" s="414"/>
      <c r="J110" s="414"/>
      <c r="K110" s="446"/>
    </row>
    <row r="111" spans="1:11" ht="18" hidden="1" customHeight="1" x14ac:dyDescent="0.25">
      <c r="A111" s="448"/>
      <c r="B111" s="415"/>
      <c r="C111" s="413"/>
      <c r="D111" s="415"/>
      <c r="E111" s="415"/>
      <c r="F111" s="414"/>
      <c r="G111" s="414">
        <f t="shared" si="4"/>
        <v>0</v>
      </c>
      <c r="H111" s="414"/>
      <c r="I111" s="414"/>
      <c r="J111" s="414"/>
      <c r="K111" s="446"/>
    </row>
    <row r="112" spans="1:11" ht="17.25" customHeight="1" x14ac:dyDescent="0.25">
      <c r="A112" s="1093" t="s">
        <v>450</v>
      </c>
      <c r="B112" s="1093"/>
      <c r="C112" s="1093"/>
      <c r="D112" s="1093"/>
      <c r="E112" s="1093"/>
      <c r="F112" s="1093"/>
      <c r="G112" s="416">
        <f>SUM(G101:G111)</f>
        <v>0</v>
      </c>
      <c r="H112" s="416">
        <f>SUM(H101:H111)</f>
        <v>0</v>
      </c>
      <c r="I112" s="416">
        <f>SUM(I101:I111)</f>
        <v>0</v>
      </c>
      <c r="J112" s="416">
        <f>SUM(J101:J111)</f>
        <v>0</v>
      </c>
      <c r="K112" s="449">
        <f>SUM(K101:K111)</f>
        <v>0</v>
      </c>
    </row>
    <row r="113" spans="1:11" ht="24.75" customHeight="1" x14ac:dyDescent="0.25">
      <c r="A113" s="1044" t="s">
        <v>380</v>
      </c>
      <c r="B113" s="1044"/>
      <c r="C113" s="1044"/>
      <c r="D113" s="333" t="s">
        <v>113</v>
      </c>
      <c r="E113" s="333" t="s">
        <v>383</v>
      </c>
      <c r="F113" s="333" t="s">
        <v>444</v>
      </c>
      <c r="G113" s="450" t="s">
        <v>445</v>
      </c>
      <c r="H113" s="409" t="s">
        <v>426</v>
      </c>
      <c r="I113" s="409" t="s">
        <v>427</v>
      </c>
      <c r="J113" s="409" t="s">
        <v>426</v>
      </c>
      <c r="K113" s="444" t="s">
        <v>427</v>
      </c>
    </row>
    <row r="114" spans="1:11" ht="18" customHeight="1" x14ac:dyDescent="0.25">
      <c r="A114" s="1092" t="s">
        <v>464</v>
      </c>
      <c r="B114" s="1092"/>
      <c r="C114" s="1092"/>
      <c r="D114" s="1092"/>
      <c r="E114" s="1092"/>
      <c r="F114" s="1092"/>
      <c r="G114" s="1092"/>
      <c r="H114" s="1092"/>
      <c r="I114" s="1092"/>
      <c r="J114" s="1092"/>
      <c r="K114" s="1092"/>
    </row>
    <row r="115" spans="1:11" ht="18" customHeight="1" x14ac:dyDescent="0.25">
      <c r="A115" s="1094"/>
      <c r="B115" s="1094"/>
      <c r="C115" s="1094"/>
      <c r="D115" s="314"/>
      <c r="E115" s="314"/>
      <c r="F115" s="414"/>
      <c r="G115" s="414">
        <f t="shared" ref="G115:G128" si="5">E115*F115</f>
        <v>0</v>
      </c>
      <c r="H115" s="418"/>
      <c r="I115" s="418"/>
      <c r="J115" s="451"/>
      <c r="K115" s="452"/>
    </row>
    <row r="116" spans="1:11" ht="18" customHeight="1" x14ac:dyDescent="0.25">
      <c r="A116" s="1094"/>
      <c r="B116" s="1094"/>
      <c r="C116" s="1094"/>
      <c r="D116" s="314"/>
      <c r="E116" s="314"/>
      <c r="F116" s="414"/>
      <c r="G116" s="414">
        <f t="shared" si="5"/>
        <v>0</v>
      </c>
      <c r="H116" s="418"/>
      <c r="I116" s="418"/>
      <c r="J116" s="451"/>
      <c r="K116" s="452"/>
    </row>
    <row r="117" spans="1:11" ht="18" customHeight="1" x14ac:dyDescent="0.25">
      <c r="A117" s="1094"/>
      <c r="B117" s="1094"/>
      <c r="C117" s="1094"/>
      <c r="D117" s="314"/>
      <c r="E117" s="314"/>
      <c r="F117" s="414"/>
      <c r="G117" s="414">
        <f t="shared" si="5"/>
        <v>0</v>
      </c>
      <c r="H117" s="418"/>
      <c r="I117" s="418"/>
      <c r="J117" s="451"/>
      <c r="K117" s="452"/>
    </row>
    <row r="118" spans="1:11" ht="18" hidden="1" customHeight="1" x14ac:dyDescent="0.25">
      <c r="A118" s="1094"/>
      <c r="B118" s="1094"/>
      <c r="C118" s="1094"/>
      <c r="D118" s="314"/>
      <c r="E118" s="314"/>
      <c r="F118" s="414"/>
      <c r="G118" s="414">
        <f t="shared" si="5"/>
        <v>0</v>
      </c>
      <c r="H118" s="418"/>
      <c r="I118" s="418"/>
      <c r="J118" s="451"/>
      <c r="K118" s="452"/>
    </row>
    <row r="119" spans="1:11" ht="18" hidden="1" customHeight="1" x14ac:dyDescent="0.25">
      <c r="A119" s="1094"/>
      <c r="B119" s="1094"/>
      <c r="C119" s="1094"/>
      <c r="D119" s="314"/>
      <c r="E119" s="314"/>
      <c r="F119" s="414"/>
      <c r="G119" s="414">
        <f t="shared" si="5"/>
        <v>0</v>
      </c>
      <c r="H119" s="418"/>
      <c r="I119" s="418"/>
      <c r="J119" s="451"/>
      <c r="K119" s="452"/>
    </row>
    <row r="120" spans="1:11" ht="18" hidden="1" customHeight="1" x14ac:dyDescent="0.25">
      <c r="A120" s="1094"/>
      <c r="B120" s="1094"/>
      <c r="C120" s="1094"/>
      <c r="D120" s="314"/>
      <c r="E120" s="314"/>
      <c r="F120" s="414"/>
      <c r="G120" s="414">
        <f t="shared" si="5"/>
        <v>0</v>
      </c>
      <c r="H120" s="418"/>
      <c r="I120" s="418"/>
      <c r="J120" s="451"/>
      <c r="K120" s="452"/>
    </row>
    <row r="121" spans="1:11" ht="18" hidden="1" customHeight="1" x14ac:dyDescent="0.25">
      <c r="A121" s="1094"/>
      <c r="B121" s="1094"/>
      <c r="C121" s="1094"/>
      <c r="D121" s="314"/>
      <c r="E121" s="314"/>
      <c r="F121" s="414"/>
      <c r="G121" s="414">
        <f t="shared" si="5"/>
        <v>0</v>
      </c>
      <c r="H121" s="418"/>
      <c r="I121" s="418"/>
      <c r="J121" s="451"/>
      <c r="K121" s="452"/>
    </row>
    <row r="122" spans="1:11" ht="18" hidden="1" customHeight="1" x14ac:dyDescent="0.25">
      <c r="A122" s="1094"/>
      <c r="B122" s="1094"/>
      <c r="C122" s="1094"/>
      <c r="D122" s="314"/>
      <c r="E122" s="314"/>
      <c r="F122" s="414"/>
      <c r="G122" s="414">
        <f t="shared" si="5"/>
        <v>0</v>
      </c>
      <c r="H122" s="418"/>
      <c r="I122" s="418"/>
      <c r="J122" s="451"/>
      <c r="K122" s="452"/>
    </row>
    <row r="123" spans="1:11" ht="18" hidden="1" customHeight="1" x14ac:dyDescent="0.25">
      <c r="A123" s="1094"/>
      <c r="B123" s="1094"/>
      <c r="C123" s="1094"/>
      <c r="D123" s="314"/>
      <c r="E123" s="314"/>
      <c r="F123" s="414"/>
      <c r="G123" s="414">
        <f t="shared" si="5"/>
        <v>0</v>
      </c>
      <c r="H123" s="418"/>
      <c r="I123" s="418"/>
      <c r="J123" s="451"/>
      <c r="K123" s="452"/>
    </row>
    <row r="124" spans="1:11" ht="18" hidden="1" customHeight="1" x14ac:dyDescent="0.25">
      <c r="A124" s="1094"/>
      <c r="B124" s="1094"/>
      <c r="C124" s="1094"/>
      <c r="D124" s="314"/>
      <c r="E124" s="314"/>
      <c r="F124" s="414"/>
      <c r="G124" s="414">
        <f t="shared" si="5"/>
        <v>0</v>
      </c>
      <c r="H124" s="418"/>
      <c r="I124" s="418"/>
      <c r="J124" s="451"/>
      <c r="K124" s="452"/>
    </row>
    <row r="125" spans="1:11" ht="18" hidden="1" customHeight="1" x14ac:dyDescent="0.25">
      <c r="A125" s="1094"/>
      <c r="B125" s="1094"/>
      <c r="C125" s="1094"/>
      <c r="D125" s="314"/>
      <c r="E125" s="314"/>
      <c r="F125" s="414"/>
      <c r="G125" s="414">
        <f t="shared" si="5"/>
        <v>0</v>
      </c>
      <c r="H125" s="418"/>
      <c r="I125" s="418"/>
      <c r="J125" s="451"/>
      <c r="K125" s="452"/>
    </row>
    <row r="126" spans="1:11" ht="18" hidden="1" customHeight="1" x14ac:dyDescent="0.25">
      <c r="A126" s="1094"/>
      <c r="B126" s="1094"/>
      <c r="C126" s="1094"/>
      <c r="D126" s="314"/>
      <c r="E126" s="314"/>
      <c r="F126" s="414"/>
      <c r="G126" s="414">
        <f t="shared" si="5"/>
        <v>0</v>
      </c>
      <c r="H126" s="418"/>
      <c r="I126" s="418"/>
      <c r="J126" s="451"/>
      <c r="K126" s="452"/>
    </row>
    <row r="127" spans="1:11" ht="18" hidden="1" customHeight="1" x14ac:dyDescent="0.25">
      <c r="A127" s="1094"/>
      <c r="B127" s="1094"/>
      <c r="C127" s="1094"/>
      <c r="D127" s="314"/>
      <c r="E127" s="314"/>
      <c r="F127" s="414"/>
      <c r="G127" s="414">
        <f t="shared" si="5"/>
        <v>0</v>
      </c>
      <c r="H127" s="418"/>
      <c r="I127" s="418"/>
      <c r="J127" s="451"/>
      <c r="K127" s="452"/>
    </row>
    <row r="128" spans="1:11" ht="18" hidden="1" customHeight="1" x14ac:dyDescent="0.25">
      <c r="A128" s="1094"/>
      <c r="B128" s="1094"/>
      <c r="C128" s="1094"/>
      <c r="D128" s="314"/>
      <c r="E128" s="314"/>
      <c r="F128" s="414"/>
      <c r="G128" s="414">
        <f t="shared" si="5"/>
        <v>0</v>
      </c>
      <c r="H128" s="418"/>
      <c r="I128" s="418"/>
      <c r="J128" s="451"/>
      <c r="K128" s="452"/>
    </row>
    <row r="129" spans="1:12" ht="18" customHeight="1" x14ac:dyDescent="0.25">
      <c r="A129" s="1093" t="s">
        <v>457</v>
      </c>
      <c r="B129" s="1093"/>
      <c r="C129" s="1093"/>
      <c r="D129" s="1093"/>
      <c r="E129" s="1093"/>
      <c r="F129" s="1093"/>
      <c r="G129" s="416">
        <f>SUM(G115:G128)</f>
        <v>0</v>
      </c>
      <c r="H129" s="416">
        <f>SUM(H115:H128)</f>
        <v>0</v>
      </c>
      <c r="I129" s="416">
        <f>SUM(I115:I128)</f>
        <v>0</v>
      </c>
      <c r="J129" s="416">
        <f>SUM(J115:J128)</f>
        <v>0</v>
      </c>
      <c r="K129" s="449">
        <f>SUM(K115:K128)</f>
        <v>0</v>
      </c>
    </row>
    <row r="130" spans="1:12" ht="18" customHeight="1" x14ac:dyDescent="0.25">
      <c r="A130" s="1095" t="s">
        <v>465</v>
      </c>
      <c r="B130" s="1095"/>
      <c r="C130" s="1095"/>
      <c r="D130" s="1095"/>
      <c r="E130" s="1095"/>
      <c r="F130" s="1095"/>
      <c r="G130" s="453">
        <f>G112+G129</f>
        <v>0</v>
      </c>
      <c r="H130" s="453">
        <f>H112+H129</f>
        <v>0</v>
      </c>
      <c r="I130" s="453">
        <f>I112+I129</f>
        <v>0</v>
      </c>
      <c r="J130" s="453">
        <f>J112+J129</f>
        <v>0</v>
      </c>
      <c r="K130" s="454">
        <f>K112+K129</f>
        <v>0</v>
      </c>
    </row>
    <row r="131" spans="1:12" ht="18" customHeight="1" x14ac:dyDescent="0.25">
      <c r="A131" s="1096" t="s">
        <v>458</v>
      </c>
      <c r="B131" s="1096"/>
      <c r="C131" s="1096"/>
      <c r="D131" s="1096"/>
      <c r="E131" s="1096"/>
      <c r="F131" s="1096"/>
      <c r="G131" s="455" t="s">
        <v>466</v>
      </c>
      <c r="H131" s="1097"/>
      <c r="I131" s="1097"/>
      <c r="J131" s="1097"/>
      <c r="K131" s="1097"/>
    </row>
    <row r="132" spans="1:12" ht="18" customHeight="1" x14ac:dyDescent="0.25">
      <c r="A132" s="1098" t="str">
        <f>IF(G131="Si","Administración","Gastos de administración")</f>
        <v>Administración</v>
      </c>
      <c r="B132" s="1098"/>
      <c r="C132" s="1098"/>
      <c r="D132" s="1098"/>
      <c r="E132" s="1098"/>
      <c r="F132" s="456"/>
      <c r="G132" s="457">
        <v>0</v>
      </c>
      <c r="H132" s="414">
        <f>G132</f>
        <v>0</v>
      </c>
      <c r="I132" s="414"/>
      <c r="J132" s="414"/>
      <c r="K132" s="446"/>
      <c r="L132" s="420" t="s">
        <v>397</v>
      </c>
    </row>
    <row r="133" spans="1:12" ht="18" customHeight="1" x14ac:dyDescent="0.25">
      <c r="A133" s="1081" t="str">
        <f>IF(G131="Si","Utilidad","")</f>
        <v>Utilidad</v>
      </c>
      <c r="B133" s="1081"/>
      <c r="C133" s="1081"/>
      <c r="D133" s="1081"/>
      <c r="E133" s="1081"/>
      <c r="F133" s="456"/>
      <c r="G133" s="457">
        <v>0</v>
      </c>
      <c r="H133" s="414"/>
      <c r="I133" s="414"/>
      <c r="J133" s="414"/>
      <c r="K133" s="446"/>
    </row>
    <row r="134" spans="1:12" ht="18" customHeight="1" x14ac:dyDescent="0.25">
      <c r="A134" s="1081" t="str">
        <f>IF(G131="Si","IVA","")</f>
        <v>IVA</v>
      </c>
      <c r="B134" s="1081"/>
      <c r="C134" s="1081"/>
      <c r="D134" s="1081"/>
      <c r="E134" s="1081"/>
      <c r="F134" s="456"/>
      <c r="G134" s="457">
        <v>0</v>
      </c>
      <c r="H134" s="414"/>
      <c r="I134" s="414"/>
      <c r="J134" s="414"/>
      <c r="K134" s="446"/>
      <c r="L134" s="132" t="s">
        <v>400</v>
      </c>
    </row>
    <row r="135" spans="1:12" ht="18" customHeight="1" x14ac:dyDescent="0.25">
      <c r="A135" s="1099" t="str">
        <f>IF(G131="Si","TOTAL (después de AU e IVA)", "TOTAL (después de administración)")</f>
        <v>TOTAL (después de AU e IVA)</v>
      </c>
      <c r="B135" s="1099"/>
      <c r="C135" s="1099"/>
      <c r="D135" s="1099"/>
      <c r="E135" s="1099"/>
      <c r="F135" s="1099"/>
      <c r="G135" s="458">
        <f>SUM(G132:G134)+G130</f>
        <v>0</v>
      </c>
      <c r="H135" s="459">
        <f>SUM(H132:H134)+H130</f>
        <v>0</v>
      </c>
      <c r="I135" s="459">
        <f>SUM(I132:I134)+I130</f>
        <v>0</v>
      </c>
      <c r="J135" s="459">
        <f>SUM(J132:J134)+J130</f>
        <v>0</v>
      </c>
      <c r="K135" s="460">
        <f>SUM(K132:K134)+K130</f>
        <v>0</v>
      </c>
    </row>
    <row r="136" spans="1:12" ht="40.5" customHeight="1" x14ac:dyDescent="0.25">
      <c r="A136" s="461" t="s">
        <v>460</v>
      </c>
      <c r="B136" s="462"/>
      <c r="C136" s="463" t="s">
        <v>113</v>
      </c>
      <c r="D136" s="462"/>
      <c r="E136" s="463" t="s">
        <v>467</v>
      </c>
      <c r="F136" s="464">
        <f>IFERROR(G130/B136,0)</f>
        <v>0</v>
      </c>
      <c r="G136" s="1100" t="s">
        <v>468</v>
      </c>
      <c r="H136" s="1100"/>
      <c r="I136" s="1100"/>
      <c r="J136" s="1100"/>
      <c r="K136" s="1100"/>
    </row>
    <row r="137" spans="1:12" ht="36" customHeight="1" x14ac:dyDescent="0.25">
      <c r="A137" s="1084"/>
      <c r="B137" s="1084"/>
      <c r="C137" s="1084"/>
      <c r="D137" s="1084"/>
      <c r="E137" s="1084"/>
      <c r="F137" s="1084"/>
      <c r="G137" s="1084"/>
      <c r="H137" s="1084"/>
      <c r="I137" s="1084"/>
      <c r="J137" s="1084"/>
      <c r="K137" s="1084"/>
    </row>
    <row r="138" spans="1:12" ht="56.25" customHeight="1" x14ac:dyDescent="0.25">
      <c r="A138" s="461" t="s">
        <v>460</v>
      </c>
      <c r="B138" s="462"/>
      <c r="C138" s="463" t="s">
        <v>113</v>
      </c>
      <c r="D138" s="462"/>
      <c r="E138" s="463" t="s">
        <v>472</v>
      </c>
      <c r="F138" s="464">
        <f>IFERROR((G130-G112)/B138,0)</f>
        <v>0</v>
      </c>
      <c r="G138" s="1100" t="s">
        <v>468</v>
      </c>
      <c r="H138" s="1100"/>
      <c r="I138" s="1100"/>
      <c r="J138" s="1100"/>
      <c r="K138" s="1100"/>
    </row>
    <row r="139" spans="1:12" ht="18" customHeight="1" x14ac:dyDescent="0.25">
      <c r="A139" s="1101"/>
      <c r="B139" s="1101"/>
      <c r="C139" s="1101"/>
      <c r="D139" s="1101"/>
      <c r="E139" s="1101"/>
      <c r="F139" s="1101"/>
      <c r="G139" s="1101"/>
      <c r="H139" s="1101"/>
      <c r="I139" s="1101"/>
      <c r="J139" s="1101"/>
      <c r="K139" s="1101"/>
    </row>
    <row r="140" spans="1:12" ht="18" customHeight="1" x14ac:dyDescent="0.25">
      <c r="A140" s="1091" t="s">
        <v>473</v>
      </c>
      <c r="B140" s="1091"/>
      <c r="C140" s="1091"/>
      <c r="D140" s="1091"/>
      <c r="E140" s="1091"/>
      <c r="F140" s="1091"/>
      <c r="G140" s="1091"/>
      <c r="H140" s="1091"/>
      <c r="I140" s="1091"/>
      <c r="J140" s="1091"/>
      <c r="K140" s="1091"/>
    </row>
    <row r="141" spans="1:12" ht="25.5" customHeight="1" x14ac:dyDescent="0.25">
      <c r="A141" s="307" t="s">
        <v>380</v>
      </c>
      <c r="B141" s="308" t="s">
        <v>381</v>
      </c>
      <c r="C141" s="308" t="s">
        <v>382</v>
      </c>
      <c r="D141" s="308" t="s">
        <v>113</v>
      </c>
      <c r="E141" s="308" t="s">
        <v>383</v>
      </c>
      <c r="F141" s="410" t="s">
        <v>384</v>
      </c>
      <c r="G141" s="410" t="s">
        <v>385</v>
      </c>
      <c r="H141" s="409" t="s">
        <v>426</v>
      </c>
      <c r="I141" s="409" t="s">
        <v>427</v>
      </c>
      <c r="J141" s="409" t="s">
        <v>426</v>
      </c>
      <c r="K141" s="444" t="s">
        <v>427</v>
      </c>
    </row>
    <row r="142" spans="1:12" ht="18" customHeight="1" x14ac:dyDescent="0.25">
      <c r="A142" s="1092" t="s">
        <v>378</v>
      </c>
      <c r="B142" s="1092"/>
      <c r="C142" s="1092"/>
      <c r="D142" s="1092"/>
      <c r="E142" s="1092"/>
      <c r="F142" s="1092"/>
      <c r="G142" s="1092"/>
      <c r="H142" s="1092"/>
      <c r="I142" s="1092"/>
      <c r="J142" s="1092"/>
      <c r="K142" s="1092"/>
    </row>
    <row r="143" spans="1:12" ht="18" customHeight="1" x14ac:dyDescent="0.25">
      <c r="A143" s="445"/>
      <c r="B143" s="412"/>
      <c r="C143" s="413"/>
      <c r="D143" s="412"/>
      <c r="E143" s="412"/>
      <c r="F143" s="414"/>
      <c r="G143" s="414">
        <f t="shared" ref="G143:G153" si="6">B143*C143*E143*F143</f>
        <v>0</v>
      </c>
      <c r="H143" s="414"/>
      <c r="I143" s="414"/>
      <c r="J143" s="414"/>
      <c r="K143" s="446"/>
    </row>
    <row r="144" spans="1:12" ht="18" customHeight="1" x14ac:dyDescent="0.25">
      <c r="A144" s="445"/>
      <c r="B144" s="412"/>
      <c r="C144" s="413"/>
      <c r="D144" s="412"/>
      <c r="E144" s="412"/>
      <c r="F144" s="414"/>
      <c r="G144" s="414">
        <f t="shared" si="6"/>
        <v>0</v>
      </c>
      <c r="H144" s="414"/>
      <c r="I144" s="414"/>
      <c r="J144" s="414"/>
      <c r="K144" s="446"/>
    </row>
    <row r="145" spans="1:11" ht="18" customHeight="1" x14ac:dyDescent="0.25">
      <c r="A145" s="445"/>
      <c r="B145" s="412"/>
      <c r="C145" s="413"/>
      <c r="D145" s="412"/>
      <c r="E145" s="412"/>
      <c r="F145" s="414"/>
      <c r="G145" s="414">
        <f t="shared" si="6"/>
        <v>0</v>
      </c>
      <c r="H145" s="414"/>
      <c r="I145" s="414"/>
      <c r="J145" s="414"/>
      <c r="K145" s="446"/>
    </row>
    <row r="146" spans="1:11" ht="18" hidden="1" customHeight="1" x14ac:dyDescent="0.25">
      <c r="A146" s="445"/>
      <c r="B146" s="412"/>
      <c r="C146" s="413"/>
      <c r="D146" s="412"/>
      <c r="E146" s="412"/>
      <c r="F146" s="414"/>
      <c r="G146" s="414">
        <f t="shared" si="6"/>
        <v>0</v>
      </c>
      <c r="H146" s="414"/>
      <c r="I146" s="414"/>
      <c r="J146" s="414"/>
      <c r="K146" s="446"/>
    </row>
    <row r="147" spans="1:11" ht="18" hidden="1" customHeight="1" x14ac:dyDescent="0.25">
      <c r="A147" s="445"/>
      <c r="B147" s="412"/>
      <c r="C147" s="413"/>
      <c r="D147" s="412"/>
      <c r="E147" s="412"/>
      <c r="F147" s="414"/>
      <c r="G147" s="414">
        <f t="shared" si="6"/>
        <v>0</v>
      </c>
      <c r="H147" s="414"/>
      <c r="I147" s="414"/>
      <c r="J147" s="414"/>
      <c r="K147" s="446"/>
    </row>
    <row r="148" spans="1:11" ht="18" hidden="1" customHeight="1" x14ac:dyDescent="0.25">
      <c r="A148" s="445"/>
      <c r="B148" s="412"/>
      <c r="C148" s="413"/>
      <c r="D148" s="412"/>
      <c r="E148" s="412"/>
      <c r="F148" s="414"/>
      <c r="G148" s="414">
        <f t="shared" si="6"/>
        <v>0</v>
      </c>
      <c r="H148" s="414"/>
      <c r="I148" s="414"/>
      <c r="J148" s="414"/>
      <c r="K148" s="446"/>
    </row>
    <row r="149" spans="1:11" ht="18" hidden="1" customHeight="1" x14ac:dyDescent="0.25">
      <c r="A149" s="445"/>
      <c r="B149" s="412"/>
      <c r="C149" s="413"/>
      <c r="D149" s="412"/>
      <c r="E149" s="412"/>
      <c r="F149" s="414"/>
      <c r="G149" s="414">
        <f t="shared" si="6"/>
        <v>0</v>
      </c>
      <c r="H149" s="414"/>
      <c r="I149" s="414"/>
      <c r="J149" s="414"/>
      <c r="K149" s="446"/>
    </row>
    <row r="150" spans="1:11" ht="18" hidden="1" customHeight="1" x14ac:dyDescent="0.25">
      <c r="A150" s="445"/>
      <c r="B150" s="412"/>
      <c r="C150" s="413"/>
      <c r="D150" s="412"/>
      <c r="E150" s="412"/>
      <c r="F150" s="414"/>
      <c r="G150" s="414">
        <f t="shared" si="6"/>
        <v>0</v>
      </c>
      <c r="H150" s="414"/>
      <c r="I150" s="414"/>
      <c r="J150" s="414"/>
      <c r="K150" s="446"/>
    </row>
    <row r="151" spans="1:11" ht="18" hidden="1" customHeight="1" x14ac:dyDescent="0.25">
      <c r="A151" s="448"/>
      <c r="B151" s="415"/>
      <c r="C151" s="413"/>
      <c r="D151" s="415"/>
      <c r="E151" s="415"/>
      <c r="F151" s="414"/>
      <c r="G151" s="414">
        <f t="shared" si="6"/>
        <v>0</v>
      </c>
      <c r="H151" s="414"/>
      <c r="I151" s="414"/>
      <c r="J151" s="414"/>
      <c r="K151" s="446"/>
    </row>
    <row r="152" spans="1:11" ht="18" hidden="1" customHeight="1" x14ac:dyDescent="0.25">
      <c r="A152" s="448"/>
      <c r="B152" s="415"/>
      <c r="C152" s="413"/>
      <c r="D152" s="415"/>
      <c r="E152" s="415"/>
      <c r="F152" s="414"/>
      <c r="G152" s="414">
        <f t="shared" si="6"/>
        <v>0</v>
      </c>
      <c r="H152" s="414"/>
      <c r="I152" s="414"/>
      <c r="J152" s="414"/>
      <c r="K152" s="446"/>
    </row>
    <row r="153" spans="1:11" ht="18" hidden="1" customHeight="1" x14ac:dyDescent="0.25">
      <c r="A153" s="448"/>
      <c r="B153" s="415"/>
      <c r="C153" s="413"/>
      <c r="D153" s="415"/>
      <c r="E153" s="415"/>
      <c r="F153" s="414"/>
      <c r="G153" s="414">
        <f t="shared" si="6"/>
        <v>0</v>
      </c>
      <c r="H153" s="414"/>
      <c r="I153" s="414"/>
      <c r="J153" s="414"/>
      <c r="K153" s="446"/>
    </row>
    <row r="154" spans="1:11" ht="18" customHeight="1" x14ac:dyDescent="0.25">
      <c r="A154" s="1093" t="s">
        <v>450</v>
      </c>
      <c r="B154" s="1093"/>
      <c r="C154" s="1093"/>
      <c r="D154" s="1093"/>
      <c r="E154" s="1093"/>
      <c r="F154" s="1093"/>
      <c r="G154" s="416">
        <f>SUM(G143:G153)</f>
        <v>0</v>
      </c>
      <c r="H154" s="416">
        <f>SUM(H143:H153)</f>
        <v>0</v>
      </c>
      <c r="I154" s="416">
        <f>SUM(I143:I153)</f>
        <v>0</v>
      </c>
      <c r="J154" s="416">
        <f>SUM(J143:J153)</f>
        <v>0</v>
      </c>
      <c r="K154" s="449">
        <f>SUM(K143:K153)</f>
        <v>0</v>
      </c>
    </row>
    <row r="155" spans="1:11" ht="24.75" customHeight="1" x14ac:dyDescent="0.25">
      <c r="A155" s="1044" t="s">
        <v>380</v>
      </c>
      <c r="B155" s="1044"/>
      <c r="C155" s="1044"/>
      <c r="D155" s="333" t="s">
        <v>113</v>
      </c>
      <c r="E155" s="333" t="s">
        <v>383</v>
      </c>
      <c r="F155" s="333" t="s">
        <v>444</v>
      </c>
      <c r="G155" s="450" t="s">
        <v>445</v>
      </c>
      <c r="H155" s="409" t="s">
        <v>426</v>
      </c>
      <c r="I155" s="409" t="s">
        <v>427</v>
      </c>
      <c r="J155" s="409" t="s">
        <v>426</v>
      </c>
      <c r="K155" s="444" t="s">
        <v>427</v>
      </c>
    </row>
    <row r="156" spans="1:11" ht="18" customHeight="1" x14ac:dyDescent="0.25">
      <c r="A156" s="1092" t="s">
        <v>464</v>
      </c>
      <c r="B156" s="1092"/>
      <c r="C156" s="1092"/>
      <c r="D156" s="1092"/>
      <c r="E156" s="1092"/>
      <c r="F156" s="1092"/>
      <c r="G156" s="1092"/>
      <c r="H156" s="1092"/>
      <c r="I156" s="1092"/>
      <c r="J156" s="1092"/>
      <c r="K156" s="1092"/>
    </row>
    <row r="157" spans="1:11" ht="18" customHeight="1" x14ac:dyDescent="0.25">
      <c r="A157" s="1094"/>
      <c r="B157" s="1094"/>
      <c r="C157" s="1094"/>
      <c r="D157" s="314"/>
      <c r="E157" s="314"/>
      <c r="F157" s="414"/>
      <c r="G157" s="414">
        <f t="shared" ref="G157:G170" si="7">E157*F157</f>
        <v>0</v>
      </c>
      <c r="H157" s="418"/>
      <c r="I157" s="418"/>
      <c r="J157" s="451"/>
      <c r="K157" s="452"/>
    </row>
    <row r="158" spans="1:11" ht="18" customHeight="1" x14ac:dyDescent="0.25">
      <c r="A158" s="1094"/>
      <c r="B158" s="1094"/>
      <c r="C158" s="1094"/>
      <c r="D158" s="314"/>
      <c r="E158" s="314"/>
      <c r="F158" s="414"/>
      <c r="G158" s="414">
        <f t="shared" si="7"/>
        <v>0</v>
      </c>
      <c r="H158" s="418"/>
      <c r="I158" s="418"/>
      <c r="J158" s="451"/>
      <c r="K158" s="452"/>
    </row>
    <row r="159" spans="1:11" ht="18" hidden="1" customHeight="1" x14ac:dyDescent="0.25">
      <c r="A159" s="1094"/>
      <c r="B159" s="1094"/>
      <c r="C159" s="1094"/>
      <c r="D159" s="314"/>
      <c r="E159" s="314"/>
      <c r="F159" s="414"/>
      <c r="G159" s="414">
        <f t="shared" si="7"/>
        <v>0</v>
      </c>
      <c r="H159" s="418"/>
      <c r="I159" s="418"/>
      <c r="J159" s="451"/>
      <c r="K159" s="452"/>
    </row>
    <row r="160" spans="1:11" ht="18" hidden="1" customHeight="1" x14ac:dyDescent="0.25">
      <c r="A160" s="1094"/>
      <c r="B160" s="1094"/>
      <c r="C160" s="1094"/>
      <c r="D160" s="314"/>
      <c r="E160" s="314"/>
      <c r="F160" s="414"/>
      <c r="G160" s="414">
        <f t="shared" si="7"/>
        <v>0</v>
      </c>
      <c r="H160" s="418"/>
      <c r="I160" s="418"/>
      <c r="J160" s="451"/>
      <c r="K160" s="452"/>
    </row>
    <row r="161" spans="1:12" ht="18" hidden="1" customHeight="1" x14ac:dyDescent="0.25">
      <c r="A161" s="1094"/>
      <c r="B161" s="1094"/>
      <c r="C161" s="1094"/>
      <c r="D161" s="314"/>
      <c r="E161" s="314"/>
      <c r="F161" s="414"/>
      <c r="G161" s="414">
        <f t="shared" si="7"/>
        <v>0</v>
      </c>
      <c r="H161" s="418"/>
      <c r="I161" s="418"/>
      <c r="J161" s="451"/>
      <c r="K161" s="452"/>
    </row>
    <row r="162" spans="1:12" ht="18" hidden="1" customHeight="1" x14ac:dyDescent="0.25">
      <c r="A162" s="1094"/>
      <c r="B162" s="1094"/>
      <c r="C162" s="1094"/>
      <c r="D162" s="314"/>
      <c r="E162" s="314"/>
      <c r="F162" s="414"/>
      <c r="G162" s="414">
        <f t="shared" si="7"/>
        <v>0</v>
      </c>
      <c r="H162" s="418"/>
      <c r="I162" s="418"/>
      <c r="J162" s="451"/>
      <c r="K162" s="452"/>
    </row>
    <row r="163" spans="1:12" ht="18" hidden="1" customHeight="1" x14ac:dyDescent="0.25">
      <c r="A163" s="1094"/>
      <c r="B163" s="1094"/>
      <c r="C163" s="1094"/>
      <c r="D163" s="314"/>
      <c r="E163" s="314"/>
      <c r="F163" s="414"/>
      <c r="G163" s="414">
        <f t="shared" si="7"/>
        <v>0</v>
      </c>
      <c r="H163" s="418"/>
      <c r="I163" s="418"/>
      <c r="J163" s="451"/>
      <c r="K163" s="452"/>
    </row>
    <row r="164" spans="1:12" ht="18" hidden="1" customHeight="1" x14ac:dyDescent="0.25">
      <c r="A164" s="1094"/>
      <c r="B164" s="1094"/>
      <c r="C164" s="1094"/>
      <c r="D164" s="314"/>
      <c r="E164" s="314"/>
      <c r="F164" s="414"/>
      <c r="G164" s="414">
        <f t="shared" si="7"/>
        <v>0</v>
      </c>
      <c r="H164" s="418"/>
      <c r="I164" s="418"/>
      <c r="J164" s="451"/>
      <c r="K164" s="452"/>
    </row>
    <row r="165" spans="1:12" ht="18" hidden="1" customHeight="1" x14ac:dyDescent="0.25">
      <c r="A165" s="1094"/>
      <c r="B165" s="1094"/>
      <c r="C165" s="1094"/>
      <c r="D165" s="314"/>
      <c r="E165" s="314"/>
      <c r="F165" s="414"/>
      <c r="G165" s="414">
        <f t="shared" si="7"/>
        <v>0</v>
      </c>
      <c r="H165" s="418"/>
      <c r="I165" s="418"/>
      <c r="J165" s="451"/>
      <c r="K165" s="452"/>
    </row>
    <row r="166" spans="1:12" ht="18" hidden="1" customHeight="1" x14ac:dyDescent="0.25">
      <c r="A166" s="1094"/>
      <c r="B166" s="1094"/>
      <c r="C166" s="1094"/>
      <c r="D166" s="314"/>
      <c r="E166" s="314"/>
      <c r="F166" s="414"/>
      <c r="G166" s="414">
        <f t="shared" si="7"/>
        <v>0</v>
      </c>
      <c r="H166" s="418"/>
      <c r="I166" s="418"/>
      <c r="J166" s="451"/>
      <c r="K166" s="452"/>
    </row>
    <row r="167" spans="1:12" ht="18" hidden="1" customHeight="1" x14ac:dyDescent="0.25">
      <c r="A167" s="1094"/>
      <c r="B167" s="1094"/>
      <c r="C167" s="1094"/>
      <c r="D167" s="314"/>
      <c r="E167" s="314"/>
      <c r="F167" s="414"/>
      <c r="G167" s="414">
        <f t="shared" si="7"/>
        <v>0</v>
      </c>
      <c r="H167" s="418"/>
      <c r="I167" s="418"/>
      <c r="J167" s="451"/>
      <c r="K167" s="452"/>
    </row>
    <row r="168" spans="1:12" ht="18" hidden="1" customHeight="1" x14ac:dyDescent="0.25">
      <c r="A168" s="1094"/>
      <c r="B168" s="1094"/>
      <c r="C168" s="1094"/>
      <c r="D168" s="314"/>
      <c r="E168" s="314"/>
      <c r="F168" s="414"/>
      <c r="G168" s="414">
        <f t="shared" si="7"/>
        <v>0</v>
      </c>
      <c r="H168" s="418"/>
      <c r="I168" s="418"/>
      <c r="J168" s="451"/>
      <c r="K168" s="452"/>
    </row>
    <row r="169" spans="1:12" ht="18" hidden="1" customHeight="1" x14ac:dyDescent="0.25">
      <c r="A169" s="1094"/>
      <c r="B169" s="1094"/>
      <c r="C169" s="1094"/>
      <c r="D169" s="314"/>
      <c r="E169" s="314"/>
      <c r="F169" s="414"/>
      <c r="G169" s="414">
        <f t="shared" si="7"/>
        <v>0</v>
      </c>
      <c r="H169" s="418"/>
      <c r="I169" s="418"/>
      <c r="J169" s="451"/>
      <c r="K169" s="452"/>
    </row>
    <row r="170" spans="1:12" ht="18" hidden="1" customHeight="1" x14ac:dyDescent="0.25">
      <c r="A170" s="1094"/>
      <c r="B170" s="1094"/>
      <c r="C170" s="1094"/>
      <c r="D170" s="314"/>
      <c r="E170" s="314"/>
      <c r="F170" s="414"/>
      <c r="G170" s="414">
        <f t="shared" si="7"/>
        <v>0</v>
      </c>
      <c r="H170" s="418"/>
      <c r="I170" s="418"/>
      <c r="J170" s="451"/>
      <c r="K170" s="452"/>
    </row>
    <row r="171" spans="1:12" ht="18" customHeight="1" x14ac:dyDescent="0.25">
      <c r="A171" s="1093" t="s">
        <v>457</v>
      </c>
      <c r="B171" s="1093"/>
      <c r="C171" s="1093"/>
      <c r="D171" s="1093"/>
      <c r="E171" s="1093"/>
      <c r="F171" s="1093"/>
      <c r="G171" s="416">
        <f>SUM(G157:G170)</f>
        <v>0</v>
      </c>
      <c r="H171" s="416">
        <f>SUM(H157:H170)</f>
        <v>0</v>
      </c>
      <c r="I171" s="416">
        <f>SUM(I157:I170)</f>
        <v>0</v>
      </c>
      <c r="J171" s="416">
        <f>SUM(J157:J170)</f>
        <v>0</v>
      </c>
      <c r="K171" s="449">
        <f>SUM(K157:K170)</f>
        <v>0</v>
      </c>
    </row>
    <row r="172" spans="1:12" ht="18" customHeight="1" x14ac:dyDescent="0.25">
      <c r="A172" s="1095" t="s">
        <v>465</v>
      </c>
      <c r="B172" s="1095"/>
      <c r="C172" s="1095"/>
      <c r="D172" s="1095"/>
      <c r="E172" s="1095"/>
      <c r="F172" s="1095"/>
      <c r="G172" s="453">
        <f>G154+G171</f>
        <v>0</v>
      </c>
      <c r="H172" s="453">
        <f>H154+H171</f>
        <v>0</v>
      </c>
      <c r="I172" s="453">
        <f>I154+I171</f>
        <v>0</v>
      </c>
      <c r="J172" s="453">
        <f>J154+J171</f>
        <v>0</v>
      </c>
      <c r="K172" s="454">
        <f>K154+K171</f>
        <v>0</v>
      </c>
    </row>
    <row r="173" spans="1:12" ht="18" customHeight="1" x14ac:dyDescent="0.25">
      <c r="A173" s="1096" t="s">
        <v>458</v>
      </c>
      <c r="B173" s="1096"/>
      <c r="C173" s="1096"/>
      <c r="D173" s="1096"/>
      <c r="E173" s="1096"/>
      <c r="F173" s="1096"/>
      <c r="G173" s="455" t="s">
        <v>466</v>
      </c>
      <c r="H173" s="1097"/>
      <c r="I173" s="1097"/>
      <c r="J173" s="1097"/>
      <c r="K173" s="1097"/>
    </row>
    <row r="174" spans="1:12" ht="18" customHeight="1" x14ac:dyDescent="0.25">
      <c r="A174" s="1098" t="str">
        <f>IF(G173="Si","Administración","Gastos de administración")</f>
        <v>Administración</v>
      </c>
      <c r="B174" s="1098"/>
      <c r="C174" s="1098"/>
      <c r="D174" s="1098"/>
      <c r="E174" s="1098"/>
      <c r="F174" s="456"/>
      <c r="G174" s="457">
        <v>0</v>
      </c>
      <c r="H174" s="414">
        <f>G174</f>
        <v>0</v>
      </c>
      <c r="I174" s="414"/>
      <c r="J174" s="414"/>
      <c r="K174" s="446"/>
      <c r="L174" s="420" t="s">
        <v>397</v>
      </c>
    </row>
    <row r="175" spans="1:12" ht="18" customHeight="1" x14ac:dyDescent="0.25">
      <c r="A175" s="1081" t="str">
        <f>IF(G173="Si","Utilidad","")</f>
        <v>Utilidad</v>
      </c>
      <c r="B175" s="1081"/>
      <c r="C175" s="1081"/>
      <c r="D175" s="1081"/>
      <c r="E175" s="1081"/>
      <c r="F175" s="456"/>
      <c r="G175" s="457">
        <v>0</v>
      </c>
      <c r="H175" s="414"/>
      <c r="I175" s="414"/>
      <c r="J175" s="414"/>
      <c r="K175" s="446"/>
    </row>
    <row r="176" spans="1:12" ht="18" customHeight="1" x14ac:dyDescent="0.25">
      <c r="A176" s="1081" t="str">
        <f>IF(G173="Si","IVA","")</f>
        <v>IVA</v>
      </c>
      <c r="B176" s="1081"/>
      <c r="C176" s="1081"/>
      <c r="D176" s="1081"/>
      <c r="E176" s="1081"/>
      <c r="F176" s="456"/>
      <c r="G176" s="457">
        <v>0</v>
      </c>
      <c r="H176" s="414"/>
      <c r="I176" s="414"/>
      <c r="J176" s="414"/>
      <c r="K176" s="446"/>
      <c r="L176" s="132" t="s">
        <v>400</v>
      </c>
    </row>
    <row r="177" spans="1:11" ht="18" customHeight="1" x14ac:dyDescent="0.25">
      <c r="A177" s="1099" t="str">
        <f>IF(G173="Si","TOTAL (después de AU e IVA)", "TOTAL (después de administración)")</f>
        <v>TOTAL (después de AU e IVA)</v>
      </c>
      <c r="B177" s="1099"/>
      <c r="C177" s="1099"/>
      <c r="D177" s="1099"/>
      <c r="E177" s="1099"/>
      <c r="F177" s="1099"/>
      <c r="G177" s="458">
        <f>SUM(G174:G176)+G172</f>
        <v>0</v>
      </c>
      <c r="H177" s="459">
        <f>SUM(H174:H176)+H172</f>
        <v>0</v>
      </c>
      <c r="I177" s="459">
        <f>SUM(I174:I176)+I172</f>
        <v>0</v>
      </c>
      <c r="J177" s="459">
        <f>SUM(J174:J176)+J172</f>
        <v>0</v>
      </c>
      <c r="K177" s="460">
        <f>SUM(K174:K176)+K172</f>
        <v>0</v>
      </c>
    </row>
    <row r="178" spans="1:11" ht="40.5" customHeight="1" x14ac:dyDescent="0.25">
      <c r="A178" s="461" t="s">
        <v>460</v>
      </c>
      <c r="B178" s="462"/>
      <c r="C178" s="463" t="s">
        <v>113</v>
      </c>
      <c r="D178" s="462"/>
      <c r="E178" s="463" t="s">
        <v>467</v>
      </c>
      <c r="F178" s="464">
        <f>IFERROR(G172/B178,0)</f>
        <v>0</v>
      </c>
      <c r="G178" s="1100" t="s">
        <v>468</v>
      </c>
      <c r="H178" s="1100"/>
      <c r="I178" s="1100"/>
      <c r="J178" s="1100"/>
      <c r="K178" s="1100"/>
    </row>
    <row r="179" spans="1:11" ht="18" customHeight="1" x14ac:dyDescent="0.25">
      <c r="A179" s="1084"/>
      <c r="B179" s="1084"/>
      <c r="C179" s="1084"/>
      <c r="D179" s="1084"/>
      <c r="E179" s="1084"/>
      <c r="F179" s="1084"/>
      <c r="G179" s="1084"/>
      <c r="H179" s="1084"/>
      <c r="I179" s="1084"/>
      <c r="J179" s="1084"/>
      <c r="K179" s="1084"/>
    </row>
    <row r="180" spans="1:11" ht="55.5" customHeight="1" x14ac:dyDescent="0.25">
      <c r="A180" s="461" t="s">
        <v>460</v>
      </c>
      <c r="B180" s="462"/>
      <c r="C180" s="463" t="s">
        <v>113</v>
      </c>
      <c r="D180" s="462"/>
      <c r="E180" s="463" t="s">
        <v>469</v>
      </c>
      <c r="F180" s="464">
        <f>IFERROR((G172-G154)/B180,0)</f>
        <v>0</v>
      </c>
      <c r="G180" s="1100" t="s">
        <v>468</v>
      </c>
      <c r="H180" s="1100"/>
      <c r="I180" s="1100"/>
      <c r="J180" s="1100"/>
      <c r="K180" s="1100"/>
    </row>
    <row r="181" spans="1:11" ht="18" customHeight="1" x14ac:dyDescent="0.25">
      <c r="A181" s="465"/>
      <c r="B181" s="466"/>
      <c r="C181" s="465"/>
      <c r="D181" s="466"/>
      <c r="E181" s="465"/>
      <c r="F181" s="467"/>
      <c r="G181" s="468"/>
      <c r="H181" s="468"/>
      <c r="I181" s="468"/>
      <c r="J181" s="468"/>
      <c r="K181" s="468"/>
    </row>
    <row r="182" spans="1:11" ht="18" customHeight="1" x14ac:dyDescent="0.25">
      <c r="A182" s="1091" t="s">
        <v>474</v>
      </c>
      <c r="B182" s="1091"/>
      <c r="C182" s="1091"/>
      <c r="D182" s="1091"/>
      <c r="E182" s="1091"/>
      <c r="F182" s="1091"/>
      <c r="G182" s="1091"/>
      <c r="H182" s="1091"/>
      <c r="I182" s="1091"/>
      <c r="J182" s="1091"/>
      <c r="K182" s="1091"/>
    </row>
    <row r="183" spans="1:11" ht="31.5" customHeight="1" x14ac:dyDescent="0.25">
      <c r="A183" s="307" t="s">
        <v>380</v>
      </c>
      <c r="B183" s="308" t="s">
        <v>381</v>
      </c>
      <c r="C183" s="308" t="s">
        <v>382</v>
      </c>
      <c r="D183" s="308" t="s">
        <v>113</v>
      </c>
      <c r="E183" s="308" t="s">
        <v>383</v>
      </c>
      <c r="F183" s="410" t="s">
        <v>384</v>
      </c>
      <c r="G183" s="410" t="s">
        <v>385</v>
      </c>
      <c r="H183" s="409" t="s">
        <v>426</v>
      </c>
      <c r="I183" s="409" t="s">
        <v>427</v>
      </c>
      <c r="J183" s="409" t="s">
        <v>426</v>
      </c>
      <c r="K183" s="444" t="s">
        <v>427</v>
      </c>
    </row>
    <row r="184" spans="1:11" ht="18" customHeight="1" x14ac:dyDescent="0.25">
      <c r="A184" s="1092" t="s">
        <v>378</v>
      </c>
      <c r="B184" s="1092"/>
      <c r="C184" s="1092"/>
      <c r="D184" s="1092"/>
      <c r="E184" s="1092"/>
      <c r="F184" s="1092"/>
      <c r="G184" s="1092"/>
      <c r="H184" s="1092"/>
      <c r="I184" s="1092"/>
      <c r="J184" s="1092"/>
      <c r="K184" s="1092"/>
    </row>
    <row r="185" spans="1:11" ht="18" customHeight="1" x14ac:dyDescent="0.25">
      <c r="A185" s="445"/>
      <c r="B185" s="412"/>
      <c r="C185" s="413"/>
      <c r="D185" s="412"/>
      <c r="E185" s="412"/>
      <c r="F185" s="414"/>
      <c r="G185" s="414">
        <f t="shared" ref="G185:G195" si="8">B185*C185*E185*F185</f>
        <v>0</v>
      </c>
      <c r="H185" s="414"/>
      <c r="I185" s="414"/>
      <c r="J185" s="414"/>
      <c r="K185" s="446"/>
    </row>
    <row r="186" spans="1:11" ht="18" customHeight="1" x14ac:dyDescent="0.25">
      <c r="A186" s="445"/>
      <c r="B186" s="412"/>
      <c r="C186" s="413"/>
      <c r="D186" s="412"/>
      <c r="E186" s="412"/>
      <c r="F186" s="414"/>
      <c r="G186" s="414">
        <f t="shared" si="8"/>
        <v>0</v>
      </c>
      <c r="H186" s="414"/>
      <c r="I186" s="414"/>
      <c r="J186" s="414"/>
      <c r="K186" s="446"/>
    </row>
    <row r="187" spans="1:11" ht="18" customHeight="1" x14ac:dyDescent="0.25">
      <c r="A187" s="445"/>
      <c r="B187" s="412"/>
      <c r="C187" s="413"/>
      <c r="D187" s="412"/>
      <c r="E187" s="412"/>
      <c r="F187" s="414"/>
      <c r="G187" s="414">
        <f t="shared" si="8"/>
        <v>0</v>
      </c>
      <c r="H187" s="414"/>
      <c r="I187" s="414"/>
      <c r="J187" s="414"/>
      <c r="K187" s="446"/>
    </row>
    <row r="188" spans="1:11" ht="18" hidden="1" customHeight="1" x14ac:dyDescent="0.25">
      <c r="A188" s="445"/>
      <c r="B188" s="412"/>
      <c r="C188" s="413"/>
      <c r="D188" s="412"/>
      <c r="E188" s="412"/>
      <c r="F188" s="414"/>
      <c r="G188" s="414">
        <f t="shared" si="8"/>
        <v>0</v>
      </c>
      <c r="H188" s="414"/>
      <c r="I188" s="414"/>
      <c r="J188" s="414"/>
      <c r="K188" s="446"/>
    </row>
    <row r="189" spans="1:11" ht="18" hidden="1" customHeight="1" x14ac:dyDescent="0.25">
      <c r="A189" s="445"/>
      <c r="B189" s="412"/>
      <c r="C189" s="413"/>
      <c r="D189" s="412"/>
      <c r="E189" s="412"/>
      <c r="F189" s="414"/>
      <c r="G189" s="414">
        <f t="shared" si="8"/>
        <v>0</v>
      </c>
      <c r="H189" s="414"/>
      <c r="I189" s="414"/>
      <c r="J189" s="414"/>
      <c r="K189" s="446"/>
    </row>
    <row r="190" spans="1:11" ht="18" hidden="1" customHeight="1" x14ac:dyDescent="0.25">
      <c r="A190" s="445"/>
      <c r="B190" s="412"/>
      <c r="C190" s="413"/>
      <c r="D190" s="412"/>
      <c r="E190" s="412"/>
      <c r="F190" s="414"/>
      <c r="G190" s="414">
        <f t="shared" si="8"/>
        <v>0</v>
      </c>
      <c r="H190" s="414"/>
      <c r="I190" s="414"/>
      <c r="J190" s="414"/>
      <c r="K190" s="446"/>
    </row>
    <row r="191" spans="1:11" ht="18" hidden="1" customHeight="1" x14ac:dyDescent="0.25">
      <c r="A191" s="445"/>
      <c r="B191" s="412"/>
      <c r="C191" s="413"/>
      <c r="D191" s="412"/>
      <c r="E191" s="412"/>
      <c r="F191" s="414"/>
      <c r="G191" s="414">
        <f t="shared" si="8"/>
        <v>0</v>
      </c>
      <c r="H191" s="414"/>
      <c r="I191" s="414"/>
      <c r="J191" s="414"/>
      <c r="K191" s="446"/>
    </row>
    <row r="192" spans="1:11" ht="18" hidden="1" customHeight="1" x14ac:dyDescent="0.25">
      <c r="A192" s="445"/>
      <c r="B192" s="412"/>
      <c r="C192" s="413"/>
      <c r="D192" s="412"/>
      <c r="E192" s="412"/>
      <c r="F192" s="414"/>
      <c r="G192" s="414">
        <f t="shared" si="8"/>
        <v>0</v>
      </c>
      <c r="H192" s="414"/>
      <c r="I192" s="414"/>
      <c r="J192" s="414"/>
      <c r="K192" s="446"/>
    </row>
    <row r="193" spans="1:11" ht="18" hidden="1" customHeight="1" x14ac:dyDescent="0.25">
      <c r="A193" s="448"/>
      <c r="B193" s="415"/>
      <c r="C193" s="413"/>
      <c r="D193" s="415"/>
      <c r="E193" s="415"/>
      <c r="F193" s="414"/>
      <c r="G193" s="414">
        <f t="shared" si="8"/>
        <v>0</v>
      </c>
      <c r="H193" s="414"/>
      <c r="I193" s="414"/>
      <c r="J193" s="414"/>
      <c r="K193" s="446"/>
    </row>
    <row r="194" spans="1:11" ht="18" hidden="1" customHeight="1" x14ac:dyDescent="0.25">
      <c r="A194" s="448"/>
      <c r="B194" s="415"/>
      <c r="C194" s="413"/>
      <c r="D194" s="415"/>
      <c r="E194" s="415"/>
      <c r="F194" s="414"/>
      <c r="G194" s="414">
        <f t="shared" si="8"/>
        <v>0</v>
      </c>
      <c r="H194" s="414"/>
      <c r="I194" s="414"/>
      <c r="J194" s="414"/>
      <c r="K194" s="446"/>
    </row>
    <row r="195" spans="1:11" ht="18" hidden="1" customHeight="1" x14ac:dyDescent="0.25">
      <c r="A195" s="448"/>
      <c r="B195" s="415"/>
      <c r="C195" s="413"/>
      <c r="D195" s="415"/>
      <c r="E195" s="415"/>
      <c r="F195" s="414"/>
      <c r="G195" s="414">
        <f t="shared" si="8"/>
        <v>0</v>
      </c>
      <c r="H195" s="414"/>
      <c r="I195" s="414"/>
      <c r="J195" s="414"/>
      <c r="K195" s="446"/>
    </row>
    <row r="196" spans="1:11" ht="18" customHeight="1" x14ac:dyDescent="0.25">
      <c r="A196" s="1093" t="s">
        <v>450</v>
      </c>
      <c r="B196" s="1093"/>
      <c r="C196" s="1093"/>
      <c r="D196" s="1093"/>
      <c r="E196" s="1093"/>
      <c r="F196" s="1093"/>
      <c r="G196" s="416">
        <f>SUM(G185:G195)</f>
        <v>0</v>
      </c>
      <c r="H196" s="416">
        <f>SUM(H185:H195)</f>
        <v>0</v>
      </c>
      <c r="I196" s="416">
        <f>SUM(I185:I195)</f>
        <v>0</v>
      </c>
      <c r="J196" s="416">
        <f>SUM(J185:J195)</f>
        <v>0</v>
      </c>
      <c r="K196" s="449">
        <f>SUM(K185:K195)</f>
        <v>0</v>
      </c>
    </row>
    <row r="197" spans="1:11" ht="24.75" customHeight="1" x14ac:dyDescent="0.25">
      <c r="A197" s="1044" t="s">
        <v>380</v>
      </c>
      <c r="B197" s="1044"/>
      <c r="C197" s="1044"/>
      <c r="D197" s="333" t="s">
        <v>113</v>
      </c>
      <c r="E197" s="333" t="s">
        <v>383</v>
      </c>
      <c r="F197" s="333" t="s">
        <v>444</v>
      </c>
      <c r="G197" s="450" t="s">
        <v>445</v>
      </c>
      <c r="H197" s="409" t="s">
        <v>426</v>
      </c>
      <c r="I197" s="409" t="s">
        <v>427</v>
      </c>
      <c r="J197" s="409" t="s">
        <v>426</v>
      </c>
      <c r="K197" s="444" t="s">
        <v>427</v>
      </c>
    </row>
    <row r="198" spans="1:11" ht="18" customHeight="1" x14ac:dyDescent="0.25">
      <c r="A198" s="1092" t="s">
        <v>464</v>
      </c>
      <c r="B198" s="1092"/>
      <c r="C198" s="1092"/>
      <c r="D198" s="1092"/>
      <c r="E198" s="1092"/>
      <c r="F198" s="1092"/>
      <c r="G198" s="1092"/>
      <c r="H198" s="1092"/>
      <c r="I198" s="1092"/>
      <c r="J198" s="1092"/>
      <c r="K198" s="1092"/>
    </row>
    <row r="199" spans="1:11" ht="18" customHeight="1" x14ac:dyDescent="0.25">
      <c r="A199" s="1094"/>
      <c r="B199" s="1094"/>
      <c r="C199" s="1094"/>
      <c r="D199" s="314"/>
      <c r="E199" s="314"/>
      <c r="F199" s="414"/>
      <c r="G199" s="414">
        <f t="shared" ref="G199:G212" si="9">E199*F199</f>
        <v>0</v>
      </c>
      <c r="H199" s="418"/>
      <c r="I199" s="418"/>
      <c r="J199" s="451"/>
      <c r="K199" s="452"/>
    </row>
    <row r="200" spans="1:11" ht="18" customHeight="1" x14ac:dyDescent="0.25">
      <c r="A200" s="1094"/>
      <c r="B200" s="1094"/>
      <c r="C200" s="1094"/>
      <c r="D200" s="314"/>
      <c r="E200" s="314"/>
      <c r="F200" s="414"/>
      <c r="G200" s="414">
        <f t="shared" si="9"/>
        <v>0</v>
      </c>
      <c r="H200" s="418"/>
      <c r="I200" s="418"/>
      <c r="J200" s="451"/>
      <c r="K200" s="452"/>
    </row>
    <row r="201" spans="1:11" ht="18" customHeight="1" x14ac:dyDescent="0.25">
      <c r="A201" s="1094"/>
      <c r="B201" s="1094"/>
      <c r="C201" s="1094"/>
      <c r="D201" s="314"/>
      <c r="E201" s="314"/>
      <c r="F201" s="414"/>
      <c r="G201" s="414">
        <f t="shared" si="9"/>
        <v>0</v>
      </c>
      <c r="H201" s="418"/>
      <c r="I201" s="418"/>
      <c r="J201" s="451"/>
      <c r="K201" s="452"/>
    </row>
    <row r="202" spans="1:11" ht="18" hidden="1" customHeight="1" x14ac:dyDescent="0.25">
      <c r="A202" s="1094"/>
      <c r="B202" s="1094"/>
      <c r="C202" s="1094"/>
      <c r="D202" s="314"/>
      <c r="E202" s="314"/>
      <c r="F202" s="414"/>
      <c r="G202" s="414">
        <f t="shared" si="9"/>
        <v>0</v>
      </c>
      <c r="H202" s="418"/>
      <c r="I202" s="418"/>
      <c r="J202" s="451"/>
      <c r="K202" s="452"/>
    </row>
    <row r="203" spans="1:11" ht="18" hidden="1" customHeight="1" x14ac:dyDescent="0.25">
      <c r="A203" s="1094"/>
      <c r="B203" s="1094"/>
      <c r="C203" s="1094"/>
      <c r="D203" s="314"/>
      <c r="E203" s="314"/>
      <c r="F203" s="414"/>
      <c r="G203" s="414">
        <f t="shared" si="9"/>
        <v>0</v>
      </c>
      <c r="H203" s="418"/>
      <c r="I203" s="418"/>
      <c r="J203" s="451"/>
      <c r="K203" s="452"/>
    </row>
    <row r="204" spans="1:11" ht="18" hidden="1" customHeight="1" x14ac:dyDescent="0.25">
      <c r="A204" s="1094"/>
      <c r="B204" s="1094"/>
      <c r="C204" s="1094"/>
      <c r="D204" s="314"/>
      <c r="E204" s="314"/>
      <c r="F204" s="414"/>
      <c r="G204" s="414">
        <f t="shared" si="9"/>
        <v>0</v>
      </c>
      <c r="H204" s="418"/>
      <c r="I204" s="418"/>
      <c r="J204" s="451"/>
      <c r="K204" s="452"/>
    </row>
    <row r="205" spans="1:11" ht="18" hidden="1" customHeight="1" x14ac:dyDescent="0.25">
      <c r="A205" s="1094"/>
      <c r="B205" s="1094"/>
      <c r="C205" s="1094"/>
      <c r="D205" s="314"/>
      <c r="E205" s="314"/>
      <c r="F205" s="414"/>
      <c r="G205" s="414">
        <f t="shared" si="9"/>
        <v>0</v>
      </c>
      <c r="H205" s="418"/>
      <c r="I205" s="418"/>
      <c r="J205" s="451"/>
      <c r="K205" s="452"/>
    </row>
    <row r="206" spans="1:11" ht="18" hidden="1" customHeight="1" x14ac:dyDescent="0.25">
      <c r="A206" s="1094"/>
      <c r="B206" s="1094"/>
      <c r="C206" s="1094"/>
      <c r="D206" s="314"/>
      <c r="E206" s="314"/>
      <c r="F206" s="414"/>
      <c r="G206" s="414">
        <f t="shared" si="9"/>
        <v>0</v>
      </c>
      <c r="H206" s="418"/>
      <c r="I206" s="418"/>
      <c r="J206" s="451"/>
      <c r="K206" s="452"/>
    </row>
    <row r="207" spans="1:11" ht="18" hidden="1" customHeight="1" x14ac:dyDescent="0.25">
      <c r="A207" s="1094"/>
      <c r="B207" s="1094"/>
      <c r="C207" s="1094"/>
      <c r="D207" s="314"/>
      <c r="E207" s="314"/>
      <c r="F207" s="414"/>
      <c r="G207" s="414">
        <f t="shared" si="9"/>
        <v>0</v>
      </c>
      <c r="H207" s="418"/>
      <c r="I207" s="418"/>
      <c r="J207" s="451"/>
      <c r="K207" s="452"/>
    </row>
    <row r="208" spans="1:11" ht="18" hidden="1" customHeight="1" x14ac:dyDescent="0.25">
      <c r="A208" s="1094"/>
      <c r="B208" s="1094"/>
      <c r="C208" s="1094"/>
      <c r="D208" s="314"/>
      <c r="E208" s="314"/>
      <c r="F208" s="414"/>
      <c r="G208" s="414">
        <f t="shared" si="9"/>
        <v>0</v>
      </c>
      <c r="H208" s="418"/>
      <c r="I208" s="418"/>
      <c r="J208" s="451"/>
      <c r="K208" s="452"/>
    </row>
    <row r="209" spans="1:12" ht="18" hidden="1" customHeight="1" x14ac:dyDescent="0.25">
      <c r="A209" s="1094"/>
      <c r="B209" s="1094"/>
      <c r="C209" s="1094"/>
      <c r="D209" s="314"/>
      <c r="E209" s="314"/>
      <c r="F209" s="414"/>
      <c r="G209" s="414">
        <f t="shared" si="9"/>
        <v>0</v>
      </c>
      <c r="H209" s="418"/>
      <c r="I209" s="418"/>
      <c r="J209" s="451"/>
      <c r="K209" s="452"/>
    </row>
    <row r="210" spans="1:12" ht="18" hidden="1" customHeight="1" x14ac:dyDescent="0.25">
      <c r="A210" s="1094"/>
      <c r="B210" s="1094"/>
      <c r="C210" s="1094"/>
      <c r="D210" s="314"/>
      <c r="E210" s="314"/>
      <c r="F210" s="414"/>
      <c r="G210" s="414">
        <f t="shared" si="9"/>
        <v>0</v>
      </c>
      <c r="H210" s="418"/>
      <c r="I210" s="418"/>
      <c r="J210" s="451"/>
      <c r="K210" s="452"/>
    </row>
    <row r="211" spans="1:12" ht="18" hidden="1" customHeight="1" x14ac:dyDescent="0.25">
      <c r="A211" s="1094"/>
      <c r="B211" s="1094"/>
      <c r="C211" s="1094"/>
      <c r="D211" s="314"/>
      <c r="E211" s="314"/>
      <c r="F211" s="414"/>
      <c r="G211" s="414">
        <f t="shared" si="9"/>
        <v>0</v>
      </c>
      <c r="H211" s="418"/>
      <c r="I211" s="418"/>
      <c r="J211" s="451"/>
      <c r="K211" s="452"/>
    </row>
    <row r="212" spans="1:12" ht="18" hidden="1" customHeight="1" x14ac:dyDescent="0.25">
      <c r="A212" s="1094"/>
      <c r="B212" s="1094"/>
      <c r="C212" s="1094"/>
      <c r="D212" s="314"/>
      <c r="E212" s="314"/>
      <c r="F212" s="414"/>
      <c r="G212" s="414">
        <f t="shared" si="9"/>
        <v>0</v>
      </c>
      <c r="H212" s="418"/>
      <c r="I212" s="418"/>
      <c r="J212" s="451"/>
      <c r="K212" s="452"/>
    </row>
    <row r="213" spans="1:12" ht="18" customHeight="1" x14ac:dyDescent="0.25">
      <c r="A213" s="1093" t="s">
        <v>457</v>
      </c>
      <c r="B213" s="1093"/>
      <c r="C213" s="1093"/>
      <c r="D213" s="1093"/>
      <c r="E213" s="1093"/>
      <c r="F213" s="1093"/>
      <c r="G213" s="416">
        <f>SUM(G199:G212)</f>
        <v>0</v>
      </c>
      <c r="H213" s="416">
        <f>SUM(H199:H212)</f>
        <v>0</v>
      </c>
      <c r="I213" s="416">
        <f>SUM(I199:I212)</f>
        <v>0</v>
      </c>
      <c r="J213" s="416">
        <f>SUM(J199:J212)</f>
        <v>0</v>
      </c>
      <c r="K213" s="449">
        <f>SUM(K199:K212)</f>
        <v>0</v>
      </c>
    </row>
    <row r="214" spans="1:12" ht="18" customHeight="1" x14ac:dyDescent="0.25">
      <c r="A214" s="1095" t="s">
        <v>465</v>
      </c>
      <c r="B214" s="1095"/>
      <c r="C214" s="1095"/>
      <c r="D214" s="1095"/>
      <c r="E214" s="1095"/>
      <c r="F214" s="1095"/>
      <c r="G214" s="453">
        <f>G196+G213</f>
        <v>0</v>
      </c>
      <c r="H214" s="453">
        <f>H196+H213</f>
        <v>0</v>
      </c>
      <c r="I214" s="453">
        <f>I196+I213</f>
        <v>0</v>
      </c>
      <c r="J214" s="453">
        <f>J196+J213</f>
        <v>0</v>
      </c>
      <c r="K214" s="454">
        <f>K196+K213</f>
        <v>0</v>
      </c>
    </row>
    <row r="215" spans="1:12" ht="18" customHeight="1" x14ac:dyDescent="0.25">
      <c r="A215" s="1096" t="s">
        <v>458</v>
      </c>
      <c r="B215" s="1096"/>
      <c r="C215" s="1096"/>
      <c r="D215" s="1096"/>
      <c r="E215" s="1096"/>
      <c r="F215" s="1096"/>
      <c r="G215" s="455" t="s">
        <v>459</v>
      </c>
      <c r="H215" s="1097"/>
      <c r="I215" s="1097"/>
      <c r="J215" s="1097"/>
      <c r="K215" s="1097"/>
    </row>
    <row r="216" spans="1:12" ht="18" customHeight="1" x14ac:dyDescent="0.25">
      <c r="A216" s="1098" t="str">
        <f>IF(G215="Si","Administración","Gastos de administración")</f>
        <v>Gastos de administración</v>
      </c>
      <c r="B216" s="1098"/>
      <c r="C216" s="1098"/>
      <c r="D216" s="1098"/>
      <c r="E216" s="1098"/>
      <c r="F216" s="456"/>
      <c r="G216" s="457">
        <v>0</v>
      </c>
      <c r="H216" s="414">
        <f>G216</f>
        <v>0</v>
      </c>
      <c r="I216" s="414"/>
      <c r="J216" s="414"/>
      <c r="K216" s="446"/>
      <c r="L216" s="420" t="s">
        <v>397</v>
      </c>
    </row>
    <row r="217" spans="1:12" ht="18" customHeight="1" x14ac:dyDescent="0.25">
      <c r="A217" s="1081" t="str">
        <f>IF(G215="Si","Utilidad","")</f>
        <v/>
      </c>
      <c r="B217" s="1081"/>
      <c r="C217" s="1081"/>
      <c r="D217" s="1081"/>
      <c r="E217" s="1081"/>
      <c r="F217" s="456"/>
      <c r="G217" s="457">
        <v>0</v>
      </c>
      <c r="H217" s="414"/>
      <c r="I217" s="414"/>
      <c r="J217" s="414"/>
      <c r="K217" s="446"/>
    </row>
    <row r="218" spans="1:12" ht="18" customHeight="1" x14ac:dyDescent="0.25">
      <c r="A218" s="1081" t="str">
        <f>IF(G215="Si","IVA","")</f>
        <v/>
      </c>
      <c r="B218" s="1081"/>
      <c r="C218" s="1081"/>
      <c r="D218" s="1081"/>
      <c r="E218" s="1081"/>
      <c r="F218" s="456"/>
      <c r="G218" s="457">
        <v>0</v>
      </c>
      <c r="H218" s="414"/>
      <c r="I218" s="414"/>
      <c r="J218" s="414"/>
      <c r="K218" s="446"/>
      <c r="L218" s="132" t="s">
        <v>400</v>
      </c>
    </row>
    <row r="219" spans="1:12" ht="18" customHeight="1" x14ac:dyDescent="0.25">
      <c r="A219" s="1099" t="str">
        <f>IF(G215="Si","TOTAL (después de AU e IVA)", "TOTAL (después de administración)")</f>
        <v>TOTAL (después de administración)</v>
      </c>
      <c r="B219" s="1099"/>
      <c r="C219" s="1099"/>
      <c r="D219" s="1099"/>
      <c r="E219" s="1099"/>
      <c r="F219" s="1099"/>
      <c r="G219" s="458">
        <f>SUM(G216:G218)+G214</f>
        <v>0</v>
      </c>
      <c r="H219" s="459">
        <f>SUM(H216:H218)+H214</f>
        <v>0</v>
      </c>
      <c r="I219" s="459">
        <f>SUM(I216:I218)+I214</f>
        <v>0</v>
      </c>
      <c r="J219" s="459">
        <f>SUM(J216:J218)+J214</f>
        <v>0</v>
      </c>
      <c r="K219" s="460">
        <f>SUM(K216:K218)+K214</f>
        <v>0</v>
      </c>
    </row>
    <row r="220" spans="1:12" ht="39.75" customHeight="1" x14ac:dyDescent="0.25">
      <c r="A220" s="461" t="s">
        <v>460</v>
      </c>
      <c r="B220" s="462"/>
      <c r="C220" s="463" t="s">
        <v>113</v>
      </c>
      <c r="D220" s="462"/>
      <c r="E220" s="463" t="s">
        <v>467</v>
      </c>
      <c r="F220" s="464">
        <f>IFERROR(G214/B220,0)</f>
        <v>0</v>
      </c>
      <c r="G220" s="1100" t="s">
        <v>468</v>
      </c>
      <c r="H220" s="1100"/>
      <c r="I220" s="1100"/>
      <c r="J220" s="1100"/>
      <c r="K220" s="1100"/>
    </row>
    <row r="221" spans="1:12" ht="39.75" customHeight="1" x14ac:dyDescent="0.25">
      <c r="A221" s="1084"/>
      <c r="B221" s="1084"/>
      <c r="C221" s="1084"/>
      <c r="D221" s="1084"/>
      <c r="E221" s="1084"/>
      <c r="F221" s="1084"/>
      <c r="G221" s="1084"/>
      <c r="H221" s="1084"/>
      <c r="I221" s="1084"/>
      <c r="J221" s="1084"/>
      <c r="K221" s="1084"/>
    </row>
    <row r="222" spans="1:12" ht="56.25" customHeight="1" x14ac:dyDescent="0.25">
      <c r="A222" s="461" t="s">
        <v>460</v>
      </c>
      <c r="B222" s="462"/>
      <c r="C222" s="463" t="s">
        <v>113</v>
      </c>
      <c r="D222" s="462"/>
      <c r="E222" s="463" t="s">
        <v>469</v>
      </c>
      <c r="F222" s="464">
        <f>IFERROR((G214-G196)/B222,0)</f>
        <v>0</v>
      </c>
      <c r="G222" s="1100" t="s">
        <v>468</v>
      </c>
      <c r="H222" s="1100"/>
      <c r="I222" s="1100"/>
      <c r="J222" s="1100"/>
      <c r="K222" s="1100"/>
    </row>
    <row r="224" spans="1:12" ht="18" customHeight="1" x14ac:dyDescent="0.25">
      <c r="A224" s="1091" t="s">
        <v>475</v>
      </c>
      <c r="B224" s="1091"/>
      <c r="C224" s="1091"/>
      <c r="D224" s="1091"/>
      <c r="E224" s="1091"/>
      <c r="F224" s="1091"/>
      <c r="G224" s="1091"/>
      <c r="H224" s="1091"/>
      <c r="I224" s="1091"/>
      <c r="J224" s="1091"/>
      <c r="K224" s="1091"/>
    </row>
    <row r="225" spans="1:11" ht="31.5" customHeight="1" x14ac:dyDescent="0.25">
      <c r="A225" s="307" t="s">
        <v>380</v>
      </c>
      <c r="B225" s="308" t="s">
        <v>381</v>
      </c>
      <c r="C225" s="308" t="s">
        <v>382</v>
      </c>
      <c r="D225" s="308" t="s">
        <v>113</v>
      </c>
      <c r="E225" s="308" t="s">
        <v>383</v>
      </c>
      <c r="F225" s="410" t="s">
        <v>384</v>
      </c>
      <c r="G225" s="410" t="s">
        <v>385</v>
      </c>
      <c r="H225" s="409" t="s">
        <v>426</v>
      </c>
      <c r="I225" s="409" t="s">
        <v>427</v>
      </c>
      <c r="J225" s="409" t="s">
        <v>426</v>
      </c>
      <c r="K225" s="444" t="s">
        <v>427</v>
      </c>
    </row>
    <row r="226" spans="1:11" ht="18" customHeight="1" x14ac:dyDescent="0.25">
      <c r="A226" s="1092" t="s">
        <v>378</v>
      </c>
      <c r="B226" s="1092"/>
      <c r="C226" s="1092"/>
      <c r="D226" s="1092"/>
      <c r="E226" s="1092"/>
      <c r="F226" s="1092"/>
      <c r="G226" s="1092"/>
      <c r="H226" s="1092"/>
      <c r="I226" s="1092"/>
      <c r="J226" s="1092"/>
      <c r="K226" s="1092"/>
    </row>
    <row r="227" spans="1:11" ht="18" customHeight="1" x14ac:dyDescent="0.25">
      <c r="A227" s="445"/>
      <c r="B227" s="412"/>
      <c r="C227" s="413"/>
      <c r="D227" s="412"/>
      <c r="E227" s="412"/>
      <c r="F227" s="414"/>
      <c r="G227" s="414">
        <f t="shared" ref="G227:G237" si="10">B227*C227*E227*F227</f>
        <v>0</v>
      </c>
      <c r="H227" s="414"/>
      <c r="I227" s="414"/>
      <c r="J227" s="414"/>
      <c r="K227" s="446"/>
    </row>
    <row r="228" spans="1:11" ht="18" customHeight="1" x14ac:dyDescent="0.25">
      <c r="A228" s="445"/>
      <c r="B228" s="412"/>
      <c r="C228" s="413"/>
      <c r="D228" s="412"/>
      <c r="E228" s="412"/>
      <c r="F228" s="414"/>
      <c r="G228" s="414">
        <f t="shared" si="10"/>
        <v>0</v>
      </c>
      <c r="H228" s="414"/>
      <c r="I228" s="414"/>
      <c r="J228" s="414"/>
      <c r="K228" s="446"/>
    </row>
    <row r="229" spans="1:11" ht="18" customHeight="1" x14ac:dyDescent="0.25">
      <c r="A229" s="445"/>
      <c r="B229" s="412"/>
      <c r="C229" s="413"/>
      <c r="D229" s="412"/>
      <c r="E229" s="412"/>
      <c r="F229" s="414"/>
      <c r="G229" s="414">
        <f t="shared" si="10"/>
        <v>0</v>
      </c>
      <c r="H229" s="414"/>
      <c r="I229" s="414"/>
      <c r="J229" s="414"/>
      <c r="K229" s="446"/>
    </row>
    <row r="230" spans="1:11" ht="18" hidden="1" customHeight="1" x14ac:dyDescent="0.25">
      <c r="A230" s="445"/>
      <c r="B230" s="412"/>
      <c r="C230" s="413"/>
      <c r="D230" s="412"/>
      <c r="E230" s="412"/>
      <c r="F230" s="414"/>
      <c r="G230" s="414">
        <f t="shared" si="10"/>
        <v>0</v>
      </c>
      <c r="H230" s="414"/>
      <c r="I230" s="414"/>
      <c r="J230" s="414"/>
      <c r="K230" s="446"/>
    </row>
    <row r="231" spans="1:11" ht="18" hidden="1" customHeight="1" x14ac:dyDescent="0.25">
      <c r="A231" s="445"/>
      <c r="B231" s="412"/>
      <c r="C231" s="413"/>
      <c r="D231" s="412"/>
      <c r="E231" s="412"/>
      <c r="F231" s="414"/>
      <c r="G231" s="414">
        <f t="shared" si="10"/>
        <v>0</v>
      </c>
      <c r="H231" s="414"/>
      <c r="I231" s="414"/>
      <c r="J231" s="414"/>
      <c r="K231" s="446"/>
    </row>
    <row r="232" spans="1:11" ht="18" hidden="1" customHeight="1" x14ac:dyDescent="0.25">
      <c r="A232" s="445"/>
      <c r="B232" s="412"/>
      <c r="C232" s="413"/>
      <c r="D232" s="412"/>
      <c r="E232" s="412"/>
      <c r="F232" s="414"/>
      <c r="G232" s="414">
        <f t="shared" si="10"/>
        <v>0</v>
      </c>
      <c r="H232" s="414"/>
      <c r="I232" s="414"/>
      <c r="J232" s="414"/>
      <c r="K232" s="446"/>
    </row>
    <row r="233" spans="1:11" ht="18" hidden="1" customHeight="1" x14ac:dyDescent="0.25">
      <c r="A233" s="445"/>
      <c r="B233" s="412"/>
      <c r="C233" s="413"/>
      <c r="D233" s="412"/>
      <c r="E233" s="412"/>
      <c r="F233" s="414"/>
      <c r="G233" s="414">
        <f t="shared" si="10"/>
        <v>0</v>
      </c>
      <c r="H233" s="414"/>
      <c r="I233" s="414"/>
      <c r="J233" s="414"/>
      <c r="K233" s="446"/>
    </row>
    <row r="234" spans="1:11" ht="18" hidden="1" customHeight="1" x14ac:dyDescent="0.25">
      <c r="A234" s="445"/>
      <c r="B234" s="412"/>
      <c r="C234" s="413"/>
      <c r="D234" s="412"/>
      <c r="E234" s="412"/>
      <c r="F234" s="414"/>
      <c r="G234" s="414">
        <f t="shared" si="10"/>
        <v>0</v>
      </c>
      <c r="H234" s="414"/>
      <c r="I234" s="414"/>
      <c r="J234" s="414"/>
      <c r="K234" s="446"/>
    </row>
    <row r="235" spans="1:11" ht="18" hidden="1" customHeight="1" x14ac:dyDescent="0.25">
      <c r="A235" s="448"/>
      <c r="B235" s="415"/>
      <c r="C235" s="413"/>
      <c r="D235" s="415"/>
      <c r="E235" s="415"/>
      <c r="F235" s="414"/>
      <c r="G235" s="414">
        <f t="shared" si="10"/>
        <v>0</v>
      </c>
      <c r="H235" s="414"/>
      <c r="I235" s="414"/>
      <c r="J235" s="414"/>
      <c r="K235" s="446"/>
    </row>
    <row r="236" spans="1:11" ht="18" hidden="1" customHeight="1" x14ac:dyDescent="0.25">
      <c r="A236" s="448"/>
      <c r="B236" s="415"/>
      <c r="C236" s="413"/>
      <c r="D236" s="415"/>
      <c r="E236" s="415"/>
      <c r="F236" s="414"/>
      <c r="G236" s="414">
        <f t="shared" si="10"/>
        <v>0</v>
      </c>
      <c r="H236" s="414"/>
      <c r="I236" s="414"/>
      <c r="J236" s="414"/>
      <c r="K236" s="446"/>
    </row>
    <row r="237" spans="1:11" ht="18" hidden="1" customHeight="1" x14ac:dyDescent="0.25">
      <c r="A237" s="448"/>
      <c r="B237" s="415"/>
      <c r="C237" s="413"/>
      <c r="D237" s="415"/>
      <c r="E237" s="415"/>
      <c r="F237" s="414"/>
      <c r="G237" s="414">
        <f t="shared" si="10"/>
        <v>0</v>
      </c>
      <c r="H237" s="414"/>
      <c r="I237" s="414"/>
      <c r="J237" s="414"/>
      <c r="K237" s="446"/>
    </row>
    <row r="238" spans="1:11" ht="18" customHeight="1" x14ac:dyDescent="0.25">
      <c r="A238" s="1093" t="s">
        <v>450</v>
      </c>
      <c r="B238" s="1093"/>
      <c r="C238" s="1093"/>
      <c r="D238" s="1093"/>
      <c r="E238" s="1093"/>
      <c r="F238" s="1093"/>
      <c r="G238" s="416">
        <f>SUM(G227:G237)</f>
        <v>0</v>
      </c>
      <c r="H238" s="416">
        <f>SUM(H227:H237)</f>
        <v>0</v>
      </c>
      <c r="I238" s="416">
        <f>SUM(I227:I237)</f>
        <v>0</v>
      </c>
      <c r="J238" s="416">
        <f>SUM(J227:J237)</f>
        <v>0</v>
      </c>
      <c r="K238" s="449">
        <f>SUM(K227:K237)</f>
        <v>0</v>
      </c>
    </row>
    <row r="239" spans="1:11" ht="26.25" customHeight="1" x14ac:dyDescent="0.25">
      <c r="A239" s="1044" t="s">
        <v>380</v>
      </c>
      <c r="B239" s="1044"/>
      <c r="C239" s="1044"/>
      <c r="D239" s="333" t="s">
        <v>113</v>
      </c>
      <c r="E239" s="333" t="s">
        <v>383</v>
      </c>
      <c r="F239" s="333" t="s">
        <v>444</v>
      </c>
      <c r="G239" s="450" t="s">
        <v>445</v>
      </c>
      <c r="H239" s="409" t="s">
        <v>426</v>
      </c>
      <c r="I239" s="409" t="s">
        <v>427</v>
      </c>
      <c r="J239" s="409" t="s">
        <v>426</v>
      </c>
      <c r="K239" s="444" t="s">
        <v>427</v>
      </c>
    </row>
    <row r="240" spans="1:11" ht="18" customHeight="1" x14ac:dyDescent="0.25">
      <c r="A240" s="1092" t="s">
        <v>464</v>
      </c>
      <c r="B240" s="1092"/>
      <c r="C240" s="1092"/>
      <c r="D240" s="1092"/>
      <c r="E240" s="1092"/>
      <c r="F240" s="1092"/>
      <c r="G240" s="1092"/>
      <c r="H240" s="1092"/>
      <c r="I240" s="1092"/>
      <c r="J240" s="1092"/>
      <c r="K240" s="1092"/>
    </row>
    <row r="241" spans="1:11" ht="18" customHeight="1" x14ac:dyDescent="0.25">
      <c r="A241" s="1094"/>
      <c r="B241" s="1094"/>
      <c r="C241" s="1094"/>
      <c r="D241" s="314"/>
      <c r="E241" s="314"/>
      <c r="F241" s="414"/>
      <c r="G241" s="414">
        <f t="shared" ref="G241:G254" si="11">E241*F241</f>
        <v>0</v>
      </c>
      <c r="H241" s="418"/>
      <c r="I241" s="418"/>
      <c r="J241" s="451"/>
      <c r="K241" s="452"/>
    </row>
    <row r="242" spans="1:11" ht="18" customHeight="1" x14ac:dyDescent="0.25">
      <c r="A242" s="1094"/>
      <c r="B242" s="1094"/>
      <c r="C242" s="1094"/>
      <c r="D242" s="314"/>
      <c r="E242" s="314"/>
      <c r="F242" s="414"/>
      <c r="G242" s="414">
        <f t="shared" si="11"/>
        <v>0</v>
      </c>
      <c r="H242" s="418"/>
      <c r="I242" s="418"/>
      <c r="J242" s="451"/>
      <c r="K242" s="452"/>
    </row>
    <row r="243" spans="1:11" ht="18" customHeight="1" x14ac:dyDescent="0.25">
      <c r="A243" s="1094"/>
      <c r="B243" s="1094"/>
      <c r="C243" s="1094"/>
      <c r="D243" s="314"/>
      <c r="E243" s="314"/>
      <c r="F243" s="414"/>
      <c r="G243" s="414">
        <f t="shared" si="11"/>
        <v>0</v>
      </c>
      <c r="H243" s="418"/>
      <c r="I243" s="418"/>
      <c r="J243" s="451"/>
      <c r="K243" s="452"/>
    </row>
    <row r="244" spans="1:11" ht="18" hidden="1" customHeight="1" x14ac:dyDescent="0.25">
      <c r="A244" s="1094"/>
      <c r="B244" s="1094"/>
      <c r="C244" s="1094"/>
      <c r="D244" s="314"/>
      <c r="E244" s="314"/>
      <c r="F244" s="414"/>
      <c r="G244" s="414">
        <f t="shared" si="11"/>
        <v>0</v>
      </c>
      <c r="H244" s="418"/>
      <c r="I244" s="418"/>
      <c r="J244" s="451"/>
      <c r="K244" s="452"/>
    </row>
    <row r="245" spans="1:11" ht="18" hidden="1" customHeight="1" x14ac:dyDescent="0.25">
      <c r="A245" s="1094"/>
      <c r="B245" s="1094"/>
      <c r="C245" s="1094"/>
      <c r="D245" s="314"/>
      <c r="E245" s="314"/>
      <c r="F245" s="414"/>
      <c r="G245" s="414">
        <f t="shared" si="11"/>
        <v>0</v>
      </c>
      <c r="H245" s="418"/>
      <c r="I245" s="418"/>
      <c r="J245" s="451"/>
      <c r="K245" s="452"/>
    </row>
    <row r="246" spans="1:11" ht="18" hidden="1" customHeight="1" x14ac:dyDescent="0.25">
      <c r="A246" s="1094"/>
      <c r="B246" s="1094"/>
      <c r="C246" s="1094"/>
      <c r="D246" s="314"/>
      <c r="E246" s="314"/>
      <c r="F246" s="414"/>
      <c r="G246" s="414">
        <f t="shared" si="11"/>
        <v>0</v>
      </c>
      <c r="H246" s="418"/>
      <c r="I246" s="418"/>
      <c r="J246" s="451"/>
      <c r="K246" s="452"/>
    </row>
    <row r="247" spans="1:11" ht="18" hidden="1" customHeight="1" x14ac:dyDescent="0.25">
      <c r="A247" s="1094"/>
      <c r="B247" s="1094"/>
      <c r="C247" s="1094"/>
      <c r="D247" s="314"/>
      <c r="E247" s="314"/>
      <c r="F247" s="414"/>
      <c r="G247" s="414">
        <f t="shared" si="11"/>
        <v>0</v>
      </c>
      <c r="H247" s="418"/>
      <c r="I247" s="418"/>
      <c r="J247" s="451"/>
      <c r="K247" s="452"/>
    </row>
    <row r="248" spans="1:11" ht="18" hidden="1" customHeight="1" x14ac:dyDescent="0.25">
      <c r="A248" s="1094"/>
      <c r="B248" s="1094"/>
      <c r="C248" s="1094"/>
      <c r="D248" s="314"/>
      <c r="E248" s="314"/>
      <c r="F248" s="414"/>
      <c r="G248" s="414">
        <f t="shared" si="11"/>
        <v>0</v>
      </c>
      <c r="H248" s="418"/>
      <c r="I248" s="418"/>
      <c r="J248" s="451"/>
      <c r="K248" s="452"/>
    </row>
    <row r="249" spans="1:11" ht="18" hidden="1" customHeight="1" x14ac:dyDescent="0.25">
      <c r="A249" s="1094"/>
      <c r="B249" s="1094"/>
      <c r="C249" s="1094"/>
      <c r="D249" s="314"/>
      <c r="E249" s="314"/>
      <c r="F249" s="414"/>
      <c r="G249" s="414">
        <f t="shared" si="11"/>
        <v>0</v>
      </c>
      <c r="H249" s="418"/>
      <c r="I249" s="418"/>
      <c r="J249" s="451"/>
      <c r="K249" s="452"/>
    </row>
    <row r="250" spans="1:11" ht="18" hidden="1" customHeight="1" x14ac:dyDescent="0.25">
      <c r="A250" s="1094"/>
      <c r="B250" s="1094"/>
      <c r="C250" s="1094"/>
      <c r="D250" s="314"/>
      <c r="E250" s="314"/>
      <c r="F250" s="414"/>
      <c r="G250" s="414">
        <f t="shared" si="11"/>
        <v>0</v>
      </c>
      <c r="H250" s="418"/>
      <c r="I250" s="418"/>
      <c r="J250" s="451"/>
      <c r="K250" s="452"/>
    </row>
    <row r="251" spans="1:11" ht="18" hidden="1" customHeight="1" x14ac:dyDescent="0.25">
      <c r="A251" s="1094"/>
      <c r="B251" s="1094"/>
      <c r="C251" s="1094"/>
      <c r="D251" s="314"/>
      <c r="E251" s="314"/>
      <c r="F251" s="414"/>
      <c r="G251" s="414">
        <f t="shared" si="11"/>
        <v>0</v>
      </c>
      <c r="H251" s="418"/>
      <c r="I251" s="418"/>
      <c r="J251" s="451"/>
      <c r="K251" s="452"/>
    </row>
    <row r="252" spans="1:11" ht="18" hidden="1" customHeight="1" x14ac:dyDescent="0.25">
      <c r="A252" s="1094"/>
      <c r="B252" s="1094"/>
      <c r="C252" s="1094"/>
      <c r="D252" s="314"/>
      <c r="E252" s="314"/>
      <c r="F252" s="414"/>
      <c r="G252" s="414">
        <f t="shared" si="11"/>
        <v>0</v>
      </c>
      <c r="H252" s="418"/>
      <c r="I252" s="418"/>
      <c r="J252" s="451"/>
      <c r="K252" s="452"/>
    </row>
    <row r="253" spans="1:11" ht="18" hidden="1" customHeight="1" x14ac:dyDescent="0.25">
      <c r="A253" s="1094"/>
      <c r="B253" s="1094"/>
      <c r="C253" s="1094"/>
      <c r="D253" s="314"/>
      <c r="E253" s="314"/>
      <c r="F253" s="414"/>
      <c r="G253" s="414">
        <f t="shared" si="11"/>
        <v>0</v>
      </c>
      <c r="H253" s="418"/>
      <c r="I253" s="418"/>
      <c r="J253" s="451"/>
      <c r="K253" s="452"/>
    </row>
    <row r="254" spans="1:11" ht="18" hidden="1" customHeight="1" x14ac:dyDescent="0.25">
      <c r="A254" s="1094"/>
      <c r="B254" s="1094"/>
      <c r="C254" s="1094"/>
      <c r="D254" s="314"/>
      <c r="E254" s="314"/>
      <c r="F254" s="414"/>
      <c r="G254" s="414">
        <f t="shared" si="11"/>
        <v>0</v>
      </c>
      <c r="H254" s="418"/>
      <c r="I254" s="418"/>
      <c r="J254" s="451"/>
      <c r="K254" s="452"/>
    </row>
    <row r="255" spans="1:11" ht="18" customHeight="1" x14ac:dyDescent="0.25">
      <c r="A255" s="1093" t="s">
        <v>457</v>
      </c>
      <c r="B255" s="1093"/>
      <c r="C255" s="1093"/>
      <c r="D255" s="1093"/>
      <c r="E255" s="1093"/>
      <c r="F255" s="1093"/>
      <c r="G255" s="416">
        <f>SUM(G241:G254)</f>
        <v>0</v>
      </c>
      <c r="H255" s="416">
        <f>SUM(H241:H254)</f>
        <v>0</v>
      </c>
      <c r="I255" s="416">
        <f>SUM(I241:I254)</f>
        <v>0</v>
      </c>
      <c r="J255" s="416">
        <f>SUM(J241:J254)</f>
        <v>0</v>
      </c>
      <c r="K255" s="449">
        <f>SUM(K241:K254)</f>
        <v>0</v>
      </c>
    </row>
    <row r="256" spans="1:11" ht="18" customHeight="1" x14ac:dyDescent="0.25">
      <c r="A256" s="1095" t="s">
        <v>465</v>
      </c>
      <c r="B256" s="1095"/>
      <c r="C256" s="1095"/>
      <c r="D256" s="1095"/>
      <c r="E256" s="1095"/>
      <c r="F256" s="1095"/>
      <c r="G256" s="453">
        <f>G238+G255</f>
        <v>0</v>
      </c>
      <c r="H256" s="453">
        <f>H238+H255</f>
        <v>0</v>
      </c>
      <c r="I256" s="453">
        <f>I238+I255</f>
        <v>0</v>
      </c>
      <c r="J256" s="453">
        <f>J238+J255</f>
        <v>0</v>
      </c>
      <c r="K256" s="454">
        <f>K238+K255</f>
        <v>0</v>
      </c>
    </row>
    <row r="257" spans="1:12" ht="18" customHeight="1" x14ac:dyDescent="0.25">
      <c r="A257" s="1096" t="s">
        <v>458</v>
      </c>
      <c r="B257" s="1096"/>
      <c r="C257" s="1096"/>
      <c r="D257" s="1096"/>
      <c r="E257" s="1096"/>
      <c r="F257" s="1096"/>
      <c r="G257" s="455" t="s">
        <v>459</v>
      </c>
      <c r="H257" s="1097"/>
      <c r="I257" s="1097"/>
      <c r="J257" s="1097"/>
      <c r="K257" s="1097"/>
    </row>
    <row r="258" spans="1:12" ht="18" customHeight="1" x14ac:dyDescent="0.25">
      <c r="A258" s="1098" t="str">
        <f>IF(G257="Si","Administración","Gastos de administración")</f>
        <v>Gastos de administración</v>
      </c>
      <c r="B258" s="1098"/>
      <c r="C258" s="1098"/>
      <c r="D258" s="1098"/>
      <c r="E258" s="1098"/>
      <c r="F258" s="456"/>
      <c r="G258" s="457">
        <v>0</v>
      </c>
      <c r="H258" s="414">
        <f>G258</f>
        <v>0</v>
      </c>
      <c r="I258" s="414"/>
      <c r="J258" s="414"/>
      <c r="K258" s="446"/>
      <c r="L258" s="420" t="s">
        <v>397</v>
      </c>
    </row>
    <row r="259" spans="1:12" ht="18" customHeight="1" x14ac:dyDescent="0.25">
      <c r="A259" s="1081" t="str">
        <f>IF(G257="Si","Utilidad","")</f>
        <v/>
      </c>
      <c r="B259" s="1081"/>
      <c r="C259" s="1081"/>
      <c r="D259" s="1081"/>
      <c r="E259" s="1081"/>
      <c r="F259" s="456"/>
      <c r="G259" s="457">
        <v>0</v>
      </c>
      <c r="H259" s="414"/>
      <c r="I259" s="414"/>
      <c r="J259" s="414"/>
      <c r="K259" s="446"/>
    </row>
    <row r="260" spans="1:12" ht="18" customHeight="1" x14ac:dyDescent="0.25">
      <c r="A260" s="1081" t="str">
        <f>IF(G257="Si","IVA","")</f>
        <v/>
      </c>
      <c r="B260" s="1081"/>
      <c r="C260" s="1081"/>
      <c r="D260" s="1081"/>
      <c r="E260" s="1081"/>
      <c r="F260" s="456"/>
      <c r="G260" s="457">
        <v>0</v>
      </c>
      <c r="H260" s="414"/>
      <c r="I260" s="414"/>
      <c r="J260" s="414"/>
      <c r="K260" s="446"/>
      <c r="L260" s="132" t="s">
        <v>400</v>
      </c>
    </row>
    <row r="261" spans="1:12" ht="18" customHeight="1" x14ac:dyDescent="0.25">
      <c r="A261" s="1099" t="str">
        <f>IF(G257="Si","TOTAL (después de AU e IVA)", "TOTAL (después de administración)")</f>
        <v>TOTAL (después de administración)</v>
      </c>
      <c r="B261" s="1099"/>
      <c r="C261" s="1099"/>
      <c r="D261" s="1099"/>
      <c r="E261" s="1099"/>
      <c r="F261" s="1099"/>
      <c r="G261" s="458">
        <f>SUM(G258:G260)+G256</f>
        <v>0</v>
      </c>
      <c r="H261" s="459">
        <f>SUM(H258:H260)+H256</f>
        <v>0</v>
      </c>
      <c r="I261" s="459">
        <f>SUM(I258:I260)+I256</f>
        <v>0</v>
      </c>
      <c r="J261" s="459">
        <f>SUM(J258:J260)+J256</f>
        <v>0</v>
      </c>
      <c r="K261" s="460">
        <f>SUM(K258:K260)+K256</f>
        <v>0</v>
      </c>
    </row>
    <row r="262" spans="1:12" ht="43.5" customHeight="1" x14ac:dyDescent="0.25">
      <c r="A262" s="461" t="s">
        <v>460</v>
      </c>
      <c r="B262" s="462"/>
      <c r="C262" s="463" t="s">
        <v>113</v>
      </c>
      <c r="D262" s="462"/>
      <c r="E262" s="463" t="s">
        <v>467</v>
      </c>
      <c r="F262" s="464">
        <f>IFERROR(G256/B262,0)</f>
        <v>0</v>
      </c>
      <c r="G262" s="1100" t="s">
        <v>468</v>
      </c>
      <c r="H262" s="1100"/>
      <c r="I262" s="1100"/>
      <c r="J262" s="1100"/>
      <c r="K262" s="1100"/>
    </row>
    <row r="263" spans="1:12" ht="18" customHeight="1" x14ac:dyDescent="0.25">
      <c r="A263" s="1084"/>
      <c r="B263" s="1084"/>
      <c r="C263" s="1084"/>
      <c r="D263" s="1084"/>
      <c r="E263" s="1084"/>
      <c r="F263" s="1084"/>
      <c r="G263" s="1084"/>
      <c r="H263" s="1084"/>
      <c r="I263" s="1084"/>
      <c r="J263" s="1084"/>
      <c r="K263" s="1084"/>
    </row>
    <row r="264" spans="1:12" ht="51" customHeight="1" x14ac:dyDescent="0.25">
      <c r="A264" s="461" t="s">
        <v>460</v>
      </c>
      <c r="B264" s="462"/>
      <c r="C264" s="463" t="s">
        <v>113</v>
      </c>
      <c r="D264" s="462"/>
      <c r="E264" s="463" t="s">
        <v>469</v>
      </c>
      <c r="F264" s="464">
        <f>IFERROR((G256-G238)/B264,0)</f>
        <v>0</v>
      </c>
      <c r="G264" s="1100" t="s">
        <v>468</v>
      </c>
      <c r="H264" s="1100"/>
      <c r="I264" s="1100"/>
      <c r="J264" s="1100"/>
      <c r="K264" s="1100"/>
    </row>
  </sheetData>
  <sheetProtection algorithmName="SHA-512" hashValue="av7uwcqZ97rwokEpHg2iMTy8HLRko5mjVYyvEDY2AFyvS9DfZ+12r1XxRmIv44w62EMINMXZ5Mw8u1F4UaJceA==" saltValue="t2WtaBaxDM3ELSxgciZ7rQ==" spinCount="100000" sheet="1" formatCells="0" formatColumns="0" formatRows="0" insertRows="0" autoFilter="0" pivotTables="0"/>
  <mergeCells count="199">
    <mergeCell ref="A257:F257"/>
    <mergeCell ref="H257:K257"/>
    <mergeCell ref="A258:E258"/>
    <mergeCell ref="A259:E259"/>
    <mergeCell ref="A260:E260"/>
    <mergeCell ref="A261:F261"/>
    <mergeCell ref="G262:K262"/>
    <mergeCell ref="A263:K263"/>
    <mergeCell ref="G264:K264"/>
    <mergeCell ref="A248:C248"/>
    <mergeCell ref="A249:C249"/>
    <mergeCell ref="A250:C250"/>
    <mergeCell ref="A251:C251"/>
    <mergeCell ref="A252:C252"/>
    <mergeCell ref="A253:C253"/>
    <mergeCell ref="A254:C254"/>
    <mergeCell ref="A255:F255"/>
    <mergeCell ref="A256:F256"/>
    <mergeCell ref="A239:C239"/>
    <mergeCell ref="A240:K240"/>
    <mergeCell ref="A241:C241"/>
    <mergeCell ref="A242:C242"/>
    <mergeCell ref="A243:C243"/>
    <mergeCell ref="A244:C244"/>
    <mergeCell ref="A245:C245"/>
    <mergeCell ref="A246:C246"/>
    <mergeCell ref="A247:C247"/>
    <mergeCell ref="A217:E217"/>
    <mergeCell ref="A218:E218"/>
    <mergeCell ref="A219:F219"/>
    <mergeCell ref="G220:K220"/>
    <mergeCell ref="A221:K221"/>
    <mergeCell ref="G222:K222"/>
    <mergeCell ref="A224:K224"/>
    <mergeCell ref="A226:K226"/>
    <mergeCell ref="A238:F238"/>
    <mergeCell ref="A209:C209"/>
    <mergeCell ref="A210:C210"/>
    <mergeCell ref="A211:C211"/>
    <mergeCell ref="A212:C212"/>
    <mergeCell ref="A213:F213"/>
    <mergeCell ref="A214:F214"/>
    <mergeCell ref="A215:F215"/>
    <mergeCell ref="H215:K215"/>
    <mergeCell ref="A216:E216"/>
    <mergeCell ref="A200:C200"/>
    <mergeCell ref="A201:C201"/>
    <mergeCell ref="A202:C202"/>
    <mergeCell ref="A203:C203"/>
    <mergeCell ref="A204:C204"/>
    <mergeCell ref="A205:C205"/>
    <mergeCell ref="A206:C206"/>
    <mergeCell ref="A207:C207"/>
    <mergeCell ref="A208:C208"/>
    <mergeCell ref="G178:K178"/>
    <mergeCell ref="A179:K179"/>
    <mergeCell ref="G180:K180"/>
    <mergeCell ref="A182:K182"/>
    <mergeCell ref="A184:K184"/>
    <mergeCell ref="A196:F196"/>
    <mergeCell ref="A197:C197"/>
    <mergeCell ref="A198:K198"/>
    <mergeCell ref="A199:C199"/>
    <mergeCell ref="A170:C170"/>
    <mergeCell ref="A171:F171"/>
    <mergeCell ref="A172:F172"/>
    <mergeCell ref="A173:F173"/>
    <mergeCell ref="H173:K173"/>
    <mergeCell ref="A174:E174"/>
    <mergeCell ref="A175:E175"/>
    <mergeCell ref="A176:E176"/>
    <mergeCell ref="A177:F177"/>
    <mergeCell ref="A161:C161"/>
    <mergeCell ref="A162:C162"/>
    <mergeCell ref="A163:C163"/>
    <mergeCell ref="A164:C164"/>
    <mergeCell ref="A165:C165"/>
    <mergeCell ref="A166:C166"/>
    <mergeCell ref="A167:C167"/>
    <mergeCell ref="A168:C168"/>
    <mergeCell ref="A169:C169"/>
    <mergeCell ref="A140:K140"/>
    <mergeCell ref="A142:K142"/>
    <mergeCell ref="A154:F154"/>
    <mergeCell ref="A155:C155"/>
    <mergeCell ref="A156:K156"/>
    <mergeCell ref="A157:C157"/>
    <mergeCell ref="A158:C158"/>
    <mergeCell ref="A159:C159"/>
    <mergeCell ref="A160:C160"/>
    <mergeCell ref="H131:K131"/>
    <mergeCell ref="A132:E132"/>
    <mergeCell ref="A133:E133"/>
    <mergeCell ref="A134:E134"/>
    <mergeCell ref="A135:F135"/>
    <mergeCell ref="G136:K136"/>
    <mergeCell ref="A137:K137"/>
    <mergeCell ref="G138:K138"/>
    <mergeCell ref="A139:K139"/>
    <mergeCell ref="A123:C123"/>
    <mergeCell ref="A124:C124"/>
    <mergeCell ref="A125:C125"/>
    <mergeCell ref="A126:C126"/>
    <mergeCell ref="A127:C127"/>
    <mergeCell ref="A128:C128"/>
    <mergeCell ref="A129:F129"/>
    <mergeCell ref="A130:F130"/>
    <mergeCell ref="A131:F131"/>
    <mergeCell ref="A114:K114"/>
    <mergeCell ref="A115:C115"/>
    <mergeCell ref="A116:C116"/>
    <mergeCell ref="A117:C117"/>
    <mergeCell ref="A118:C118"/>
    <mergeCell ref="A119:C119"/>
    <mergeCell ref="A120:C120"/>
    <mergeCell ref="A121:C121"/>
    <mergeCell ref="A122:C122"/>
    <mergeCell ref="A93:F93"/>
    <mergeCell ref="G94:K94"/>
    <mergeCell ref="A95:K95"/>
    <mergeCell ref="G96:K96"/>
    <mergeCell ref="A97:K97"/>
    <mergeCell ref="A98:K98"/>
    <mergeCell ref="A100:K100"/>
    <mergeCell ref="A112:F112"/>
    <mergeCell ref="A113:C113"/>
    <mergeCell ref="A85:C85"/>
    <mergeCell ref="A86:C86"/>
    <mergeCell ref="A87:F87"/>
    <mergeCell ref="A88:F88"/>
    <mergeCell ref="A89:F89"/>
    <mergeCell ref="H89:K89"/>
    <mergeCell ref="A90:E90"/>
    <mergeCell ref="A91:E91"/>
    <mergeCell ref="A92:E92"/>
    <mergeCell ref="A76:C76"/>
    <mergeCell ref="A77:C77"/>
    <mergeCell ref="A78:C78"/>
    <mergeCell ref="A79:C79"/>
    <mergeCell ref="A80:C80"/>
    <mergeCell ref="A81:C81"/>
    <mergeCell ref="A82:C82"/>
    <mergeCell ref="A83:C83"/>
    <mergeCell ref="A84:C84"/>
    <mergeCell ref="A55:K55"/>
    <mergeCell ref="A56:K56"/>
    <mergeCell ref="A58:K58"/>
    <mergeCell ref="A70:F70"/>
    <mergeCell ref="A71:C71"/>
    <mergeCell ref="A72:K72"/>
    <mergeCell ref="A73:C73"/>
    <mergeCell ref="A74:C74"/>
    <mergeCell ref="A75:C75"/>
    <mergeCell ref="A47:F47"/>
    <mergeCell ref="H47:K47"/>
    <mergeCell ref="A48:E48"/>
    <mergeCell ref="A49:E49"/>
    <mergeCell ref="A50:E50"/>
    <mergeCell ref="A51:F51"/>
    <mergeCell ref="G52:K52"/>
    <mergeCell ref="A53:K53"/>
    <mergeCell ref="G54:K54"/>
    <mergeCell ref="A38:C38"/>
    <mergeCell ref="A39:C39"/>
    <mergeCell ref="A40:C40"/>
    <mergeCell ref="A41:C41"/>
    <mergeCell ref="A42:C42"/>
    <mergeCell ref="A43:C43"/>
    <mergeCell ref="A44:C44"/>
    <mergeCell ref="A45:F45"/>
    <mergeCell ref="A46:F46"/>
    <mergeCell ref="A29:C29"/>
    <mergeCell ref="A30:K30"/>
    <mergeCell ref="A31:C31"/>
    <mergeCell ref="A32:C32"/>
    <mergeCell ref="A33:C33"/>
    <mergeCell ref="A34:C34"/>
    <mergeCell ref="A35:C35"/>
    <mergeCell ref="A36:C36"/>
    <mergeCell ref="A37:C37"/>
    <mergeCell ref="A10:E10"/>
    <mergeCell ref="F10:K10"/>
    <mergeCell ref="A12:G13"/>
    <mergeCell ref="H12:K12"/>
    <mergeCell ref="H13:I13"/>
    <mergeCell ref="J13:K13"/>
    <mergeCell ref="A14:K14"/>
    <mergeCell ref="A16:K16"/>
    <mergeCell ref="A28:F28"/>
    <mergeCell ref="E1:H1"/>
    <mergeCell ref="E2:H2"/>
    <mergeCell ref="A5:E5"/>
    <mergeCell ref="F5:K5"/>
    <mergeCell ref="A6:E6"/>
    <mergeCell ref="F6:K6"/>
    <mergeCell ref="A8:E8"/>
    <mergeCell ref="F8:K8"/>
    <mergeCell ref="A9:E9"/>
    <mergeCell ref="F9:K9"/>
  </mergeCells>
  <dataValidations count="1">
    <dataValidation type="list" allowBlank="1" showInputMessage="1" showErrorMessage="1" sqref="G47 G89 G131 G173 G215 G257" xr:uid="{00000000-0002-0000-0800-000000000000}">
      <formula1>"Si,No"</formula1>
      <formula2>0</formula2>
    </dataValidation>
  </dataValidations>
  <hyperlinks>
    <hyperlink ref="L48" location="gtosadm" display="Gastos de administración" xr:uid="{00000000-0004-0000-0800-000000000000}"/>
    <hyperlink ref="L50" location="IVA!A1" display="Info IVA" xr:uid="{00000000-0004-0000-0800-000001000000}"/>
    <hyperlink ref="L90" location="gtosadm" display="Gastos de administración" xr:uid="{00000000-0004-0000-0800-000002000000}"/>
    <hyperlink ref="L92" location="IVA!A1" display="Info IVA" xr:uid="{00000000-0004-0000-0800-000003000000}"/>
    <hyperlink ref="L132" location="gtosadm" display="Gastos de administración" xr:uid="{00000000-0004-0000-0800-000004000000}"/>
    <hyperlink ref="L134" location="IVA!A1" display="Info IVA" xr:uid="{00000000-0004-0000-0800-000005000000}"/>
    <hyperlink ref="L174" location="gtosadm" display="Gastos de administración" xr:uid="{00000000-0004-0000-0800-000006000000}"/>
    <hyperlink ref="L176" location="IVA!A1" display="Info IVA" xr:uid="{00000000-0004-0000-0800-000007000000}"/>
    <hyperlink ref="L216" location="gtosadm" display="Gastos de administración" xr:uid="{00000000-0004-0000-0800-000008000000}"/>
    <hyperlink ref="L218" location="IVA!A1" display="Info IVA" xr:uid="{00000000-0004-0000-0800-000009000000}"/>
    <hyperlink ref="L258" location="gtosadm" display="Gastos de administración" xr:uid="{00000000-0004-0000-0800-00000A000000}"/>
    <hyperlink ref="L260" location="IVA!A1" display="Info IVA" xr:uid="{00000000-0004-0000-0800-00000B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W356"/>
  <sheetViews>
    <sheetView showGridLines="0" zoomScale="70" zoomScaleNormal="70" workbookViewId="0">
      <pane ySplit="11" topLeftCell="A12" activePane="bottomLeft" state="frozen"/>
      <selection pane="bottomLeft" activeCell="C7" sqref="C7"/>
    </sheetView>
  </sheetViews>
  <sheetFormatPr baseColWidth="10" defaultColWidth="11.33203125" defaultRowHeight="19.5" customHeight="1" x14ac:dyDescent="0.25"/>
  <cols>
    <col min="1" max="1" width="39.33203125" style="375" customWidth="1"/>
    <col min="2" max="2" width="12.77734375" style="375" customWidth="1"/>
    <col min="3" max="3" width="13.44140625" style="375" customWidth="1"/>
    <col min="4" max="4" width="22.77734375" style="375" customWidth="1"/>
    <col min="5" max="20" width="22.77734375" style="140" customWidth="1"/>
    <col min="21" max="22" width="20.33203125" style="140" customWidth="1"/>
    <col min="23" max="23" width="21.33203125" style="140" hidden="1" customWidth="1"/>
    <col min="24" max="16384" width="11.33203125" style="140"/>
  </cols>
  <sheetData>
    <row r="1" spans="1:23" s="15" customFormat="1" ht="39" customHeight="1" x14ac:dyDescent="0.25">
      <c r="E1" s="14" t="str">
        <f>Instructivo!F1</f>
        <v>Sistema de Gestión Integral (SGI)
Instructivo - Componente Financiero EP
Código: F-PGC-21. Versión: 05</v>
      </c>
      <c r="F1" s="14"/>
      <c r="G1" s="14"/>
      <c r="H1" s="14"/>
      <c r="J1" s="132" t="s">
        <v>102</v>
      </c>
    </row>
    <row r="2" spans="1:23" s="15" customFormat="1" ht="18" customHeight="1" x14ac:dyDescent="0.25">
      <c r="E2" s="1086" t="s">
        <v>476</v>
      </c>
      <c r="F2" s="1086"/>
      <c r="G2" s="1086"/>
      <c r="H2" s="1086"/>
      <c r="I2" s="441"/>
      <c r="J2" s="378"/>
      <c r="K2" s="378"/>
    </row>
    <row r="3" spans="1:23" ht="4.5" customHeight="1" x14ac:dyDescent="0.25"/>
    <row r="4" spans="1:23" ht="4.5" customHeight="1" x14ac:dyDescent="0.25">
      <c r="A4" s="405"/>
      <c r="B4" s="136"/>
      <c r="C4" s="136"/>
      <c r="D4" s="136"/>
      <c r="E4" s="136"/>
      <c r="F4" s="136"/>
      <c r="G4" s="136"/>
      <c r="H4" s="136"/>
      <c r="I4" s="136"/>
      <c r="J4" s="136"/>
      <c r="K4" s="136"/>
      <c r="L4" s="136"/>
      <c r="M4" s="136"/>
      <c r="N4" s="136"/>
      <c r="O4" s="136"/>
      <c r="P4" s="136"/>
      <c r="Q4" s="136"/>
      <c r="R4" s="136"/>
      <c r="S4" s="136"/>
      <c r="T4" s="136"/>
      <c r="U4" s="136"/>
    </row>
    <row r="5" spans="1:23" ht="19.5" customHeight="1" x14ac:dyDescent="0.25">
      <c r="A5" s="1071" t="s">
        <v>104</v>
      </c>
      <c r="B5" s="1071"/>
      <c r="C5" s="1071"/>
      <c r="D5" s="1011">
        <f>'Plan Ejecución'!AE4</f>
        <v>0</v>
      </c>
      <c r="E5" s="1011"/>
      <c r="F5" s="1011"/>
      <c r="G5" s="1011"/>
      <c r="H5" s="1011"/>
      <c r="I5" s="1011"/>
      <c r="J5" s="1011"/>
      <c r="K5" s="1011"/>
      <c r="L5" s="1011"/>
      <c r="M5" s="1011"/>
      <c r="N5" s="1011"/>
      <c r="O5" s="1011"/>
      <c r="P5" s="1011"/>
      <c r="Q5" s="1011"/>
      <c r="R5" s="1011"/>
      <c r="S5" s="1011"/>
      <c r="T5" s="1011"/>
      <c r="U5" s="1011"/>
    </row>
    <row r="6" spans="1:23" ht="36.75" customHeight="1" x14ac:dyDescent="0.25">
      <c r="A6" s="1071" t="s">
        <v>105</v>
      </c>
      <c r="B6" s="1071"/>
      <c r="C6" s="1071"/>
      <c r="D6" s="1011">
        <f>'Plan Ejecución'!AE5</f>
        <v>0</v>
      </c>
      <c r="E6" s="1011"/>
      <c r="F6" s="1011"/>
      <c r="G6" s="1011"/>
      <c r="H6" s="1011"/>
      <c r="I6" s="1011"/>
      <c r="J6" s="1011"/>
      <c r="K6" s="1011"/>
      <c r="L6" s="1011"/>
      <c r="M6" s="1011"/>
      <c r="N6" s="1011"/>
      <c r="O6" s="1011"/>
      <c r="P6" s="1011"/>
      <c r="Q6" s="1011"/>
      <c r="R6" s="1011"/>
      <c r="S6" s="1011"/>
      <c r="T6" s="1011"/>
      <c r="U6" s="1011"/>
    </row>
    <row r="7" spans="1:23" ht="19.5" customHeight="1" x14ac:dyDescent="0.25">
      <c r="A7" s="405"/>
      <c r="B7" s="136"/>
      <c r="C7" s="136"/>
      <c r="D7" s="136"/>
      <c r="E7" s="136"/>
      <c r="F7" s="136"/>
      <c r="G7" s="136"/>
      <c r="H7" s="136"/>
      <c r="I7" s="136"/>
      <c r="J7" s="136"/>
      <c r="K7" s="136"/>
      <c r="L7" s="136"/>
      <c r="M7" s="136"/>
      <c r="N7" s="136"/>
      <c r="O7" s="136"/>
      <c r="P7" s="136"/>
      <c r="Q7" s="136"/>
      <c r="R7" s="136"/>
      <c r="S7" s="136"/>
      <c r="T7" s="136"/>
      <c r="U7" s="136"/>
    </row>
    <row r="8" spans="1:23" s="136" customFormat="1" ht="19.5" customHeight="1" x14ac:dyDescent="0.25">
      <c r="D8" s="469">
        <v>1</v>
      </c>
      <c r="E8" s="469">
        <v>2</v>
      </c>
      <c r="F8" s="469">
        <v>3</v>
      </c>
      <c r="G8" s="469">
        <v>4</v>
      </c>
      <c r="H8" s="469">
        <v>5</v>
      </c>
      <c r="I8" s="469">
        <v>6</v>
      </c>
      <c r="J8" s="469">
        <v>7</v>
      </c>
      <c r="K8" s="469">
        <v>8</v>
      </c>
      <c r="L8" s="469">
        <v>9</v>
      </c>
      <c r="M8" s="469">
        <v>10</v>
      </c>
      <c r="N8" s="469">
        <v>11</v>
      </c>
      <c r="O8" s="469">
        <v>12</v>
      </c>
      <c r="P8" s="469">
        <v>13</v>
      </c>
      <c r="Q8" s="469">
        <v>14</v>
      </c>
      <c r="R8" s="469">
        <v>15</v>
      </c>
      <c r="S8" s="469">
        <v>16</v>
      </c>
      <c r="T8" s="469">
        <v>17</v>
      </c>
      <c r="U8" s="470"/>
    </row>
    <row r="9" spans="1:23" s="136" customFormat="1" ht="27" customHeight="1" x14ac:dyDescent="0.25">
      <c r="A9" s="1102" t="s">
        <v>477</v>
      </c>
      <c r="B9" s="1102"/>
      <c r="C9" s="1102"/>
      <c r="D9" s="471"/>
      <c r="E9" s="472"/>
      <c r="F9" s="472"/>
      <c r="G9" s="472"/>
      <c r="H9" s="472"/>
      <c r="I9" s="473"/>
      <c r="J9" s="473"/>
      <c r="K9" s="473"/>
      <c r="L9" s="473"/>
      <c r="M9" s="473"/>
      <c r="N9" s="473"/>
      <c r="O9" s="473"/>
      <c r="P9" s="473"/>
      <c r="Q9" s="473"/>
      <c r="R9" s="473"/>
      <c r="S9" s="473"/>
      <c r="T9" s="473"/>
      <c r="U9" s="470"/>
    </row>
    <row r="10" spans="1:23" ht="19.5" customHeight="1" x14ac:dyDescent="0.25">
      <c r="A10" s="1102" t="s">
        <v>478</v>
      </c>
      <c r="B10" s="1102"/>
      <c r="C10" s="1102"/>
      <c r="D10" s="474"/>
      <c r="E10" s="475"/>
      <c r="F10" s="475"/>
      <c r="G10" s="475"/>
      <c r="H10" s="475"/>
      <c r="I10" s="476"/>
      <c r="J10" s="476"/>
      <c r="K10" s="476"/>
      <c r="L10" s="476"/>
      <c r="M10" s="476"/>
      <c r="N10" s="476"/>
      <c r="O10" s="476"/>
      <c r="P10" s="476"/>
      <c r="Q10" s="476"/>
      <c r="R10" s="476"/>
      <c r="S10" s="476"/>
      <c r="T10" s="476"/>
      <c r="U10" s="470"/>
    </row>
    <row r="11" spans="1:23" ht="42.75" customHeight="1" x14ac:dyDescent="0.25">
      <c r="A11" s="477" t="s">
        <v>380</v>
      </c>
      <c r="B11" s="477" t="s">
        <v>113</v>
      </c>
      <c r="C11" s="477" t="s">
        <v>383</v>
      </c>
      <c r="D11" s="411" t="s">
        <v>479</v>
      </c>
      <c r="E11" s="411" t="s">
        <v>479</v>
      </c>
      <c r="F11" s="411" t="s">
        <v>479</v>
      </c>
      <c r="G11" s="411" t="s">
        <v>479</v>
      </c>
      <c r="H11" s="411" t="s">
        <v>479</v>
      </c>
      <c r="I11" s="411" t="s">
        <v>479</v>
      </c>
      <c r="J11" s="411" t="s">
        <v>479</v>
      </c>
      <c r="K11" s="411" t="s">
        <v>479</v>
      </c>
      <c r="L11" s="411" t="s">
        <v>479</v>
      </c>
      <c r="M11" s="411" t="s">
        <v>479</v>
      </c>
      <c r="N11" s="411" t="s">
        <v>479</v>
      </c>
      <c r="O11" s="411" t="s">
        <v>479</v>
      </c>
      <c r="P11" s="411" t="s">
        <v>479</v>
      </c>
      <c r="Q11" s="411" t="s">
        <v>479</v>
      </c>
      <c r="R11" s="411" t="s">
        <v>479</v>
      </c>
      <c r="S11" s="411" t="s">
        <v>479</v>
      </c>
      <c r="T11" s="411" t="s">
        <v>479</v>
      </c>
      <c r="U11" s="478" t="s">
        <v>480</v>
      </c>
      <c r="W11" s="479" t="s">
        <v>481</v>
      </c>
    </row>
    <row r="12" spans="1:23" ht="18" customHeight="1" x14ac:dyDescent="0.25">
      <c r="A12" s="415"/>
      <c r="B12" s="415"/>
      <c r="C12" s="415"/>
      <c r="D12" s="414"/>
      <c r="E12" s="414"/>
      <c r="F12" s="414"/>
      <c r="G12" s="414"/>
      <c r="H12" s="414"/>
      <c r="I12" s="414"/>
      <c r="J12" s="414"/>
      <c r="K12" s="414"/>
      <c r="L12" s="414"/>
      <c r="M12" s="414"/>
      <c r="N12" s="414"/>
      <c r="O12" s="414"/>
      <c r="P12" s="414"/>
      <c r="Q12" s="414"/>
      <c r="R12" s="414"/>
      <c r="S12" s="414"/>
      <c r="T12" s="414"/>
      <c r="U12" s="414" t="str">
        <f t="shared" ref="U12:U75" si="0">IFERROR(AVERAGEIF(D12:T12,"&gt;0",D12:T12),"")</f>
        <v/>
      </c>
      <c r="W12" s="480" t="str">
        <f t="shared" ref="W12:W75" si="1">IFERROR(MEDIAN(D12:J12),"")</f>
        <v/>
      </c>
    </row>
    <row r="13" spans="1:23" ht="18" customHeight="1" x14ac:dyDescent="0.25">
      <c r="A13" s="415"/>
      <c r="B13" s="415"/>
      <c r="C13" s="415"/>
      <c r="D13" s="414"/>
      <c r="E13" s="414"/>
      <c r="F13" s="414"/>
      <c r="G13" s="414"/>
      <c r="H13" s="414"/>
      <c r="I13" s="414"/>
      <c r="J13" s="414"/>
      <c r="K13" s="414"/>
      <c r="L13" s="414"/>
      <c r="M13" s="414"/>
      <c r="N13" s="414"/>
      <c r="O13" s="414"/>
      <c r="P13" s="414"/>
      <c r="Q13" s="414"/>
      <c r="R13" s="414"/>
      <c r="S13" s="414"/>
      <c r="T13" s="414"/>
      <c r="U13" s="414" t="str">
        <f t="shared" si="0"/>
        <v/>
      </c>
      <c r="W13" s="480" t="str">
        <f t="shared" si="1"/>
        <v/>
      </c>
    </row>
    <row r="14" spans="1:23" ht="18" customHeight="1" x14ac:dyDescent="0.25">
      <c r="A14" s="415"/>
      <c r="B14" s="415"/>
      <c r="C14" s="415"/>
      <c r="D14" s="414"/>
      <c r="E14" s="414"/>
      <c r="F14" s="414"/>
      <c r="G14" s="414"/>
      <c r="H14" s="414"/>
      <c r="I14" s="414"/>
      <c r="J14" s="414"/>
      <c r="K14" s="414"/>
      <c r="L14" s="414"/>
      <c r="M14" s="414"/>
      <c r="N14" s="414"/>
      <c r="O14" s="414"/>
      <c r="P14" s="414"/>
      <c r="Q14" s="414"/>
      <c r="R14" s="414"/>
      <c r="S14" s="414"/>
      <c r="T14" s="414"/>
      <c r="U14" s="414" t="str">
        <f t="shared" si="0"/>
        <v/>
      </c>
      <c r="W14" s="480" t="str">
        <f t="shared" si="1"/>
        <v/>
      </c>
    </row>
    <row r="15" spans="1:23" ht="18" customHeight="1" x14ac:dyDescent="0.25">
      <c r="A15" s="415"/>
      <c r="B15" s="415"/>
      <c r="C15" s="415"/>
      <c r="D15" s="414"/>
      <c r="E15" s="414"/>
      <c r="F15" s="414"/>
      <c r="G15" s="414"/>
      <c r="H15" s="414"/>
      <c r="I15" s="414"/>
      <c r="J15" s="414"/>
      <c r="K15" s="414"/>
      <c r="L15" s="414"/>
      <c r="M15" s="414"/>
      <c r="N15" s="414"/>
      <c r="O15" s="414"/>
      <c r="P15" s="414"/>
      <c r="Q15" s="414"/>
      <c r="R15" s="414"/>
      <c r="S15" s="414"/>
      <c r="T15" s="414"/>
      <c r="U15" s="414" t="str">
        <f t="shared" si="0"/>
        <v/>
      </c>
      <c r="W15" s="480" t="str">
        <f t="shared" si="1"/>
        <v/>
      </c>
    </row>
    <row r="16" spans="1:23" ht="18" customHeight="1" x14ac:dyDescent="0.25">
      <c r="A16" s="415"/>
      <c r="B16" s="415"/>
      <c r="C16" s="415"/>
      <c r="D16" s="414"/>
      <c r="E16" s="414"/>
      <c r="F16" s="414"/>
      <c r="G16" s="414"/>
      <c r="H16" s="414"/>
      <c r="I16" s="414"/>
      <c r="J16" s="414"/>
      <c r="K16" s="414"/>
      <c r="L16" s="414"/>
      <c r="M16" s="414"/>
      <c r="N16" s="414"/>
      <c r="O16" s="414"/>
      <c r="P16" s="414"/>
      <c r="Q16" s="414"/>
      <c r="R16" s="414"/>
      <c r="S16" s="414"/>
      <c r="T16" s="414"/>
      <c r="U16" s="414" t="str">
        <f t="shared" si="0"/>
        <v/>
      </c>
      <c r="W16" s="480" t="str">
        <f t="shared" si="1"/>
        <v/>
      </c>
    </row>
    <row r="17" spans="1:23" ht="18" customHeight="1" x14ac:dyDescent="0.25">
      <c r="A17" s="415"/>
      <c r="B17" s="415"/>
      <c r="C17" s="415"/>
      <c r="D17" s="414"/>
      <c r="E17" s="414"/>
      <c r="F17" s="414"/>
      <c r="G17" s="414"/>
      <c r="H17" s="414"/>
      <c r="I17" s="414"/>
      <c r="J17" s="414"/>
      <c r="K17" s="414"/>
      <c r="L17" s="414"/>
      <c r="M17" s="414"/>
      <c r="N17" s="414"/>
      <c r="O17" s="414"/>
      <c r="P17" s="414"/>
      <c r="Q17" s="414"/>
      <c r="R17" s="414"/>
      <c r="S17" s="414"/>
      <c r="T17" s="414"/>
      <c r="U17" s="414" t="str">
        <f t="shared" si="0"/>
        <v/>
      </c>
      <c r="W17" s="480" t="str">
        <f t="shared" si="1"/>
        <v/>
      </c>
    </row>
    <row r="18" spans="1:23" ht="18" customHeight="1" x14ac:dyDescent="0.25">
      <c r="A18" s="415"/>
      <c r="B18" s="415"/>
      <c r="C18" s="415"/>
      <c r="D18" s="414"/>
      <c r="E18" s="414"/>
      <c r="F18" s="414"/>
      <c r="G18" s="414"/>
      <c r="H18" s="414"/>
      <c r="I18" s="414"/>
      <c r="J18" s="414"/>
      <c r="K18" s="414"/>
      <c r="L18" s="414"/>
      <c r="M18" s="414"/>
      <c r="N18" s="414"/>
      <c r="O18" s="414"/>
      <c r="P18" s="414"/>
      <c r="Q18" s="414"/>
      <c r="R18" s="414"/>
      <c r="S18" s="414"/>
      <c r="T18" s="414"/>
      <c r="U18" s="414" t="str">
        <f t="shared" si="0"/>
        <v/>
      </c>
      <c r="W18" s="480" t="str">
        <f t="shared" si="1"/>
        <v/>
      </c>
    </row>
    <row r="19" spans="1:23" ht="18" customHeight="1" x14ac:dyDescent="0.25">
      <c r="A19" s="415"/>
      <c r="B19" s="415"/>
      <c r="C19" s="415"/>
      <c r="D19" s="414"/>
      <c r="E19" s="414"/>
      <c r="F19" s="414"/>
      <c r="G19" s="414"/>
      <c r="H19" s="414"/>
      <c r="I19" s="414"/>
      <c r="J19" s="414"/>
      <c r="K19" s="414"/>
      <c r="L19" s="414"/>
      <c r="M19" s="414"/>
      <c r="N19" s="414"/>
      <c r="O19" s="414"/>
      <c r="P19" s="414"/>
      <c r="Q19" s="414"/>
      <c r="R19" s="414"/>
      <c r="S19" s="414"/>
      <c r="T19" s="414"/>
      <c r="U19" s="414" t="str">
        <f t="shared" si="0"/>
        <v/>
      </c>
      <c r="W19" s="480" t="str">
        <f t="shared" si="1"/>
        <v/>
      </c>
    </row>
    <row r="20" spans="1:23" ht="18" customHeight="1" x14ac:dyDescent="0.25">
      <c r="A20" s="415"/>
      <c r="B20" s="415"/>
      <c r="C20" s="415"/>
      <c r="D20" s="414"/>
      <c r="E20" s="414"/>
      <c r="F20" s="414"/>
      <c r="G20" s="414"/>
      <c r="H20" s="414"/>
      <c r="I20" s="414"/>
      <c r="J20" s="414"/>
      <c r="K20" s="414"/>
      <c r="L20" s="414"/>
      <c r="M20" s="414"/>
      <c r="N20" s="414"/>
      <c r="O20" s="414"/>
      <c r="P20" s="414"/>
      <c r="Q20" s="414"/>
      <c r="R20" s="414"/>
      <c r="S20" s="414"/>
      <c r="T20" s="414"/>
      <c r="U20" s="414" t="str">
        <f t="shared" si="0"/>
        <v/>
      </c>
      <c r="W20" s="480" t="str">
        <f t="shared" si="1"/>
        <v/>
      </c>
    </row>
    <row r="21" spans="1:23" ht="18" customHeight="1" x14ac:dyDescent="0.25">
      <c r="A21" s="415"/>
      <c r="B21" s="415"/>
      <c r="C21" s="415"/>
      <c r="D21" s="414"/>
      <c r="E21" s="414"/>
      <c r="F21" s="414"/>
      <c r="G21" s="414"/>
      <c r="H21" s="414"/>
      <c r="I21" s="414"/>
      <c r="J21" s="414"/>
      <c r="K21" s="414"/>
      <c r="L21" s="414"/>
      <c r="M21" s="414"/>
      <c r="N21" s="414"/>
      <c r="O21" s="414"/>
      <c r="P21" s="414"/>
      <c r="Q21" s="414"/>
      <c r="R21" s="414"/>
      <c r="S21" s="414"/>
      <c r="T21" s="414"/>
      <c r="U21" s="414" t="str">
        <f t="shared" si="0"/>
        <v/>
      </c>
      <c r="W21" s="480" t="str">
        <f t="shared" si="1"/>
        <v/>
      </c>
    </row>
    <row r="22" spans="1:23" ht="18" customHeight="1" x14ac:dyDescent="0.25">
      <c r="A22" s="415"/>
      <c r="B22" s="415"/>
      <c r="C22" s="415"/>
      <c r="D22" s="414"/>
      <c r="E22" s="414"/>
      <c r="F22" s="414"/>
      <c r="G22" s="414"/>
      <c r="H22" s="414"/>
      <c r="I22" s="414"/>
      <c r="J22" s="414"/>
      <c r="K22" s="414"/>
      <c r="L22" s="414"/>
      <c r="M22" s="414"/>
      <c r="N22" s="414"/>
      <c r="O22" s="414"/>
      <c r="P22" s="414"/>
      <c r="Q22" s="414"/>
      <c r="R22" s="414"/>
      <c r="S22" s="414"/>
      <c r="T22" s="414"/>
      <c r="U22" s="414" t="str">
        <f t="shared" si="0"/>
        <v/>
      </c>
      <c r="W22" s="480" t="str">
        <f t="shared" si="1"/>
        <v/>
      </c>
    </row>
    <row r="23" spans="1:23" ht="18" customHeight="1" x14ac:dyDescent="0.25">
      <c r="A23" s="415"/>
      <c r="B23" s="415"/>
      <c r="C23" s="415"/>
      <c r="D23" s="414"/>
      <c r="E23" s="414"/>
      <c r="F23" s="414"/>
      <c r="G23" s="414"/>
      <c r="H23" s="414"/>
      <c r="I23" s="414"/>
      <c r="J23" s="414"/>
      <c r="K23" s="414"/>
      <c r="L23" s="414"/>
      <c r="M23" s="414"/>
      <c r="N23" s="414"/>
      <c r="O23" s="414"/>
      <c r="P23" s="414"/>
      <c r="Q23" s="414"/>
      <c r="R23" s="414"/>
      <c r="S23" s="414"/>
      <c r="T23" s="414"/>
      <c r="U23" s="414" t="str">
        <f t="shared" si="0"/>
        <v/>
      </c>
      <c r="W23" s="480" t="str">
        <f t="shared" si="1"/>
        <v/>
      </c>
    </row>
    <row r="24" spans="1:23" ht="18" customHeight="1" x14ac:dyDescent="0.25">
      <c r="A24" s="415"/>
      <c r="B24" s="415"/>
      <c r="C24" s="415"/>
      <c r="D24" s="414"/>
      <c r="E24" s="414"/>
      <c r="F24" s="414"/>
      <c r="G24" s="414"/>
      <c r="H24" s="414"/>
      <c r="I24" s="414"/>
      <c r="J24" s="414"/>
      <c r="K24" s="414"/>
      <c r="L24" s="414"/>
      <c r="M24" s="414"/>
      <c r="N24" s="414"/>
      <c r="O24" s="414"/>
      <c r="P24" s="414"/>
      <c r="Q24" s="414"/>
      <c r="R24" s="414"/>
      <c r="S24" s="414"/>
      <c r="T24" s="414"/>
      <c r="U24" s="414" t="str">
        <f t="shared" si="0"/>
        <v/>
      </c>
      <c r="W24" s="480" t="str">
        <f t="shared" si="1"/>
        <v/>
      </c>
    </row>
    <row r="25" spans="1:23" ht="18" customHeight="1" x14ac:dyDescent="0.25">
      <c r="A25" s="415"/>
      <c r="B25" s="415"/>
      <c r="C25" s="415"/>
      <c r="D25" s="414"/>
      <c r="E25" s="414"/>
      <c r="F25" s="414"/>
      <c r="G25" s="414"/>
      <c r="H25" s="414"/>
      <c r="I25" s="414"/>
      <c r="J25" s="414"/>
      <c r="K25" s="414"/>
      <c r="L25" s="414"/>
      <c r="M25" s="414"/>
      <c r="N25" s="414"/>
      <c r="O25" s="414"/>
      <c r="P25" s="414"/>
      <c r="Q25" s="414"/>
      <c r="R25" s="414"/>
      <c r="S25" s="414"/>
      <c r="T25" s="414"/>
      <c r="U25" s="414" t="str">
        <f t="shared" si="0"/>
        <v/>
      </c>
      <c r="W25" s="480" t="str">
        <f t="shared" si="1"/>
        <v/>
      </c>
    </row>
    <row r="26" spans="1:23" ht="18" customHeight="1" x14ac:dyDescent="0.25">
      <c r="A26" s="415"/>
      <c r="B26" s="415"/>
      <c r="C26" s="415"/>
      <c r="D26" s="414"/>
      <c r="E26" s="414"/>
      <c r="F26" s="414"/>
      <c r="G26" s="414"/>
      <c r="H26" s="414"/>
      <c r="I26" s="414"/>
      <c r="J26" s="414"/>
      <c r="K26" s="414"/>
      <c r="L26" s="414"/>
      <c r="M26" s="414"/>
      <c r="N26" s="414"/>
      <c r="O26" s="414"/>
      <c r="P26" s="414"/>
      <c r="Q26" s="414"/>
      <c r="R26" s="414"/>
      <c r="S26" s="414"/>
      <c r="T26" s="414"/>
      <c r="U26" s="414" t="str">
        <f t="shared" si="0"/>
        <v/>
      </c>
      <c r="W26" s="480" t="str">
        <f t="shared" si="1"/>
        <v/>
      </c>
    </row>
    <row r="27" spans="1:23" ht="18" customHeight="1" x14ac:dyDescent="0.25">
      <c r="A27" s="415"/>
      <c r="B27" s="415"/>
      <c r="C27" s="415"/>
      <c r="D27" s="414"/>
      <c r="E27" s="414"/>
      <c r="F27" s="414"/>
      <c r="G27" s="414"/>
      <c r="H27" s="414"/>
      <c r="I27" s="414"/>
      <c r="J27" s="414"/>
      <c r="K27" s="414"/>
      <c r="L27" s="414"/>
      <c r="M27" s="414"/>
      <c r="N27" s="414"/>
      <c r="O27" s="414"/>
      <c r="P27" s="414"/>
      <c r="Q27" s="414"/>
      <c r="R27" s="414"/>
      <c r="S27" s="414"/>
      <c r="T27" s="414"/>
      <c r="U27" s="414" t="str">
        <f t="shared" si="0"/>
        <v/>
      </c>
      <c r="W27" s="480" t="str">
        <f t="shared" si="1"/>
        <v/>
      </c>
    </row>
    <row r="28" spans="1:23" ht="18" customHeight="1" x14ac:dyDescent="0.25">
      <c r="A28" s="415"/>
      <c r="B28" s="415"/>
      <c r="C28" s="415"/>
      <c r="D28" s="414"/>
      <c r="E28" s="414"/>
      <c r="F28" s="414"/>
      <c r="G28" s="414"/>
      <c r="H28" s="414"/>
      <c r="I28" s="414"/>
      <c r="J28" s="414"/>
      <c r="K28" s="414"/>
      <c r="L28" s="414"/>
      <c r="M28" s="414"/>
      <c r="N28" s="414"/>
      <c r="O28" s="414"/>
      <c r="P28" s="414"/>
      <c r="Q28" s="414"/>
      <c r="R28" s="414"/>
      <c r="S28" s="414"/>
      <c r="T28" s="414"/>
      <c r="U28" s="414" t="str">
        <f t="shared" si="0"/>
        <v/>
      </c>
      <c r="W28" s="480" t="str">
        <f t="shared" si="1"/>
        <v/>
      </c>
    </row>
    <row r="29" spans="1:23" ht="18" customHeight="1" x14ac:dyDescent="0.25">
      <c r="A29" s="415"/>
      <c r="B29" s="415"/>
      <c r="C29" s="415"/>
      <c r="D29" s="414"/>
      <c r="E29" s="414"/>
      <c r="F29" s="414"/>
      <c r="G29" s="414"/>
      <c r="H29" s="414"/>
      <c r="I29" s="414"/>
      <c r="J29" s="414"/>
      <c r="K29" s="414"/>
      <c r="L29" s="414"/>
      <c r="M29" s="414"/>
      <c r="N29" s="414"/>
      <c r="O29" s="414"/>
      <c r="P29" s="414"/>
      <c r="Q29" s="414"/>
      <c r="R29" s="414"/>
      <c r="S29" s="414"/>
      <c r="T29" s="414"/>
      <c r="U29" s="414" t="str">
        <f t="shared" si="0"/>
        <v/>
      </c>
      <c r="W29" s="480" t="str">
        <f t="shared" si="1"/>
        <v/>
      </c>
    </row>
    <row r="30" spans="1:23" ht="18" customHeight="1" x14ac:dyDescent="0.25">
      <c r="A30" s="415"/>
      <c r="B30" s="415"/>
      <c r="C30" s="415"/>
      <c r="D30" s="414"/>
      <c r="E30" s="414"/>
      <c r="F30" s="414"/>
      <c r="G30" s="414"/>
      <c r="H30" s="414"/>
      <c r="I30" s="414"/>
      <c r="J30" s="414"/>
      <c r="K30" s="414"/>
      <c r="L30" s="414"/>
      <c r="M30" s="414"/>
      <c r="N30" s="414"/>
      <c r="O30" s="414"/>
      <c r="P30" s="414"/>
      <c r="Q30" s="414"/>
      <c r="R30" s="414"/>
      <c r="S30" s="414"/>
      <c r="T30" s="414"/>
      <c r="U30" s="414" t="str">
        <f t="shared" si="0"/>
        <v/>
      </c>
      <c r="W30" s="480" t="str">
        <f t="shared" si="1"/>
        <v/>
      </c>
    </row>
    <row r="31" spans="1:23" ht="18" customHeight="1" x14ac:dyDescent="0.25">
      <c r="A31" s="415"/>
      <c r="B31" s="415"/>
      <c r="C31" s="415"/>
      <c r="D31" s="414"/>
      <c r="E31" s="414"/>
      <c r="F31" s="414"/>
      <c r="G31" s="414"/>
      <c r="H31" s="414"/>
      <c r="I31" s="414"/>
      <c r="J31" s="414"/>
      <c r="K31" s="414"/>
      <c r="L31" s="414"/>
      <c r="M31" s="414"/>
      <c r="N31" s="414"/>
      <c r="O31" s="414"/>
      <c r="P31" s="414"/>
      <c r="Q31" s="414"/>
      <c r="R31" s="414"/>
      <c r="S31" s="414"/>
      <c r="T31" s="414"/>
      <c r="U31" s="414" t="str">
        <f t="shared" si="0"/>
        <v/>
      </c>
      <c r="W31" s="480" t="str">
        <f t="shared" si="1"/>
        <v/>
      </c>
    </row>
    <row r="32" spans="1:23" ht="18" customHeight="1" x14ac:dyDescent="0.25">
      <c r="A32" s="415"/>
      <c r="B32" s="415"/>
      <c r="C32" s="415"/>
      <c r="D32" s="414"/>
      <c r="E32" s="414"/>
      <c r="F32" s="414"/>
      <c r="G32" s="414"/>
      <c r="H32" s="414"/>
      <c r="I32" s="414"/>
      <c r="J32" s="414"/>
      <c r="K32" s="414"/>
      <c r="L32" s="414"/>
      <c r="M32" s="414"/>
      <c r="N32" s="414"/>
      <c r="O32" s="414"/>
      <c r="P32" s="414"/>
      <c r="Q32" s="414"/>
      <c r="R32" s="414"/>
      <c r="S32" s="414"/>
      <c r="T32" s="414"/>
      <c r="U32" s="414" t="str">
        <f t="shared" si="0"/>
        <v/>
      </c>
      <c r="W32" s="480" t="str">
        <f t="shared" si="1"/>
        <v/>
      </c>
    </row>
    <row r="33" spans="1:23" ht="18" customHeight="1" x14ac:dyDescent="0.25">
      <c r="A33" s="415"/>
      <c r="B33" s="415"/>
      <c r="C33" s="415"/>
      <c r="D33" s="414"/>
      <c r="E33" s="414"/>
      <c r="F33" s="414"/>
      <c r="G33" s="414"/>
      <c r="H33" s="414"/>
      <c r="I33" s="414"/>
      <c r="J33" s="414"/>
      <c r="K33" s="414"/>
      <c r="L33" s="414"/>
      <c r="M33" s="414"/>
      <c r="N33" s="414"/>
      <c r="O33" s="414"/>
      <c r="P33" s="414"/>
      <c r="Q33" s="414"/>
      <c r="R33" s="414"/>
      <c r="S33" s="414"/>
      <c r="T33" s="414"/>
      <c r="U33" s="414" t="str">
        <f t="shared" si="0"/>
        <v/>
      </c>
      <c r="W33" s="480" t="str">
        <f t="shared" si="1"/>
        <v/>
      </c>
    </row>
    <row r="34" spans="1:23" ht="18" customHeight="1" x14ac:dyDescent="0.25">
      <c r="A34" s="415"/>
      <c r="B34" s="415"/>
      <c r="C34" s="415"/>
      <c r="D34" s="414"/>
      <c r="E34" s="414"/>
      <c r="F34" s="414"/>
      <c r="G34" s="414"/>
      <c r="H34" s="414"/>
      <c r="I34" s="414"/>
      <c r="J34" s="414"/>
      <c r="K34" s="414"/>
      <c r="L34" s="414"/>
      <c r="M34" s="414"/>
      <c r="N34" s="414"/>
      <c r="O34" s="414"/>
      <c r="P34" s="414"/>
      <c r="Q34" s="414"/>
      <c r="R34" s="414"/>
      <c r="S34" s="414"/>
      <c r="T34" s="414"/>
      <c r="U34" s="414" t="str">
        <f t="shared" si="0"/>
        <v/>
      </c>
      <c r="W34" s="480" t="str">
        <f t="shared" si="1"/>
        <v/>
      </c>
    </row>
    <row r="35" spans="1:23" ht="18" customHeight="1" x14ac:dyDescent="0.25">
      <c r="A35" s="415"/>
      <c r="B35" s="415"/>
      <c r="C35" s="415"/>
      <c r="D35" s="414"/>
      <c r="E35" s="414"/>
      <c r="F35" s="414"/>
      <c r="G35" s="414"/>
      <c r="H35" s="414"/>
      <c r="I35" s="414"/>
      <c r="J35" s="414"/>
      <c r="K35" s="414"/>
      <c r="L35" s="414"/>
      <c r="M35" s="414"/>
      <c r="N35" s="414"/>
      <c r="O35" s="414"/>
      <c r="P35" s="414"/>
      <c r="Q35" s="414"/>
      <c r="R35" s="414"/>
      <c r="S35" s="414"/>
      <c r="T35" s="414"/>
      <c r="U35" s="414" t="str">
        <f t="shared" si="0"/>
        <v/>
      </c>
      <c r="W35" s="480" t="str">
        <f t="shared" si="1"/>
        <v/>
      </c>
    </row>
    <row r="36" spans="1:23" ht="18" customHeight="1" x14ac:dyDescent="0.25">
      <c r="A36" s="415"/>
      <c r="B36" s="415"/>
      <c r="C36" s="415"/>
      <c r="D36" s="414"/>
      <c r="E36" s="414"/>
      <c r="F36" s="414"/>
      <c r="G36" s="414"/>
      <c r="H36" s="414"/>
      <c r="I36" s="414"/>
      <c r="J36" s="414"/>
      <c r="K36" s="414"/>
      <c r="L36" s="414"/>
      <c r="M36" s="414"/>
      <c r="N36" s="414"/>
      <c r="O36" s="414"/>
      <c r="P36" s="414"/>
      <c r="Q36" s="414"/>
      <c r="R36" s="414"/>
      <c r="S36" s="414"/>
      <c r="T36" s="414"/>
      <c r="U36" s="414" t="str">
        <f t="shared" si="0"/>
        <v/>
      </c>
      <c r="W36" s="480" t="str">
        <f t="shared" si="1"/>
        <v/>
      </c>
    </row>
    <row r="37" spans="1:23" ht="18" customHeight="1" x14ac:dyDescent="0.25">
      <c r="A37" s="415"/>
      <c r="B37" s="415"/>
      <c r="C37" s="415"/>
      <c r="D37" s="414"/>
      <c r="E37" s="414"/>
      <c r="F37" s="414"/>
      <c r="G37" s="414"/>
      <c r="H37" s="414"/>
      <c r="I37" s="414"/>
      <c r="J37" s="414"/>
      <c r="K37" s="414"/>
      <c r="L37" s="414"/>
      <c r="M37" s="414"/>
      <c r="N37" s="414"/>
      <c r="O37" s="414"/>
      <c r="P37" s="414"/>
      <c r="Q37" s="414"/>
      <c r="R37" s="414"/>
      <c r="S37" s="414"/>
      <c r="T37" s="414"/>
      <c r="U37" s="414" t="str">
        <f t="shared" si="0"/>
        <v/>
      </c>
      <c r="W37" s="480" t="str">
        <f t="shared" si="1"/>
        <v/>
      </c>
    </row>
    <row r="38" spans="1:23" ht="18" customHeight="1" x14ac:dyDescent="0.25">
      <c r="A38" s="415"/>
      <c r="B38" s="415"/>
      <c r="C38" s="415"/>
      <c r="D38" s="414"/>
      <c r="E38" s="414"/>
      <c r="F38" s="414"/>
      <c r="G38" s="414"/>
      <c r="H38" s="414"/>
      <c r="I38" s="414"/>
      <c r="J38" s="414"/>
      <c r="K38" s="414"/>
      <c r="L38" s="414"/>
      <c r="M38" s="414"/>
      <c r="N38" s="414"/>
      <c r="O38" s="414"/>
      <c r="P38" s="414"/>
      <c r="Q38" s="414"/>
      <c r="R38" s="414"/>
      <c r="S38" s="414"/>
      <c r="T38" s="414"/>
      <c r="U38" s="414" t="str">
        <f t="shared" si="0"/>
        <v/>
      </c>
      <c r="W38" s="480" t="str">
        <f t="shared" si="1"/>
        <v/>
      </c>
    </row>
    <row r="39" spans="1:23" ht="18" customHeight="1" x14ac:dyDescent="0.25">
      <c r="A39" s="415"/>
      <c r="B39" s="415"/>
      <c r="C39" s="415"/>
      <c r="D39" s="414"/>
      <c r="E39" s="414"/>
      <c r="F39" s="414"/>
      <c r="G39" s="414"/>
      <c r="H39" s="414"/>
      <c r="I39" s="414"/>
      <c r="J39" s="414"/>
      <c r="K39" s="414"/>
      <c r="L39" s="414"/>
      <c r="M39" s="414"/>
      <c r="N39" s="414"/>
      <c r="O39" s="414"/>
      <c r="P39" s="414"/>
      <c r="Q39" s="414"/>
      <c r="R39" s="414"/>
      <c r="S39" s="414"/>
      <c r="T39" s="414"/>
      <c r="U39" s="414" t="str">
        <f t="shared" si="0"/>
        <v/>
      </c>
      <c r="W39" s="480" t="str">
        <f t="shared" si="1"/>
        <v/>
      </c>
    </row>
    <row r="40" spans="1:23" ht="18" customHeight="1" x14ac:dyDescent="0.25">
      <c r="A40" s="415"/>
      <c r="B40" s="415"/>
      <c r="C40" s="415"/>
      <c r="D40" s="414"/>
      <c r="E40" s="414"/>
      <c r="F40" s="414"/>
      <c r="G40" s="414"/>
      <c r="H40" s="414"/>
      <c r="I40" s="414"/>
      <c r="J40" s="414"/>
      <c r="K40" s="414"/>
      <c r="L40" s="414"/>
      <c r="M40" s="414"/>
      <c r="N40" s="414"/>
      <c r="O40" s="414"/>
      <c r="P40" s="414"/>
      <c r="Q40" s="414"/>
      <c r="R40" s="414"/>
      <c r="S40" s="414"/>
      <c r="T40" s="414"/>
      <c r="U40" s="414" t="str">
        <f t="shared" si="0"/>
        <v/>
      </c>
      <c r="W40" s="480" t="str">
        <f t="shared" si="1"/>
        <v/>
      </c>
    </row>
    <row r="41" spans="1:23" ht="18" customHeight="1" x14ac:dyDescent="0.25">
      <c r="A41" s="415"/>
      <c r="B41" s="415"/>
      <c r="C41" s="415"/>
      <c r="D41" s="414"/>
      <c r="E41" s="414"/>
      <c r="F41" s="414"/>
      <c r="G41" s="414"/>
      <c r="H41" s="414"/>
      <c r="I41" s="414"/>
      <c r="J41" s="414"/>
      <c r="K41" s="414"/>
      <c r="L41" s="414"/>
      <c r="M41" s="414"/>
      <c r="N41" s="414"/>
      <c r="O41" s="414"/>
      <c r="P41" s="414"/>
      <c r="Q41" s="414"/>
      <c r="R41" s="414"/>
      <c r="S41" s="414"/>
      <c r="T41" s="414"/>
      <c r="U41" s="414" t="str">
        <f t="shared" si="0"/>
        <v/>
      </c>
      <c r="W41" s="480" t="str">
        <f t="shared" si="1"/>
        <v/>
      </c>
    </row>
    <row r="42" spans="1:23" ht="18" customHeight="1" x14ac:dyDescent="0.25">
      <c r="A42" s="415"/>
      <c r="B42" s="415"/>
      <c r="C42" s="415"/>
      <c r="D42" s="414"/>
      <c r="E42" s="414"/>
      <c r="F42" s="414"/>
      <c r="G42" s="414"/>
      <c r="H42" s="414"/>
      <c r="I42" s="414"/>
      <c r="J42" s="414"/>
      <c r="K42" s="414"/>
      <c r="L42" s="414"/>
      <c r="M42" s="414"/>
      <c r="N42" s="414"/>
      <c r="O42" s="414"/>
      <c r="P42" s="414"/>
      <c r="Q42" s="414"/>
      <c r="R42" s="414"/>
      <c r="S42" s="414"/>
      <c r="T42" s="414"/>
      <c r="U42" s="414" t="str">
        <f t="shared" si="0"/>
        <v/>
      </c>
      <c r="W42" s="480" t="str">
        <f t="shared" si="1"/>
        <v/>
      </c>
    </row>
    <row r="43" spans="1:23" ht="18" customHeight="1" x14ac:dyDescent="0.25">
      <c r="A43" s="415"/>
      <c r="B43" s="415"/>
      <c r="C43" s="415"/>
      <c r="D43" s="414"/>
      <c r="E43" s="414"/>
      <c r="F43" s="414"/>
      <c r="G43" s="414"/>
      <c r="H43" s="414"/>
      <c r="I43" s="414"/>
      <c r="J43" s="414"/>
      <c r="K43" s="414"/>
      <c r="L43" s="414"/>
      <c r="M43" s="414"/>
      <c r="N43" s="414"/>
      <c r="O43" s="414"/>
      <c r="P43" s="414"/>
      <c r="Q43" s="414"/>
      <c r="R43" s="414"/>
      <c r="S43" s="414"/>
      <c r="T43" s="414"/>
      <c r="U43" s="414" t="str">
        <f t="shared" si="0"/>
        <v/>
      </c>
      <c r="W43" s="480" t="str">
        <f t="shared" si="1"/>
        <v/>
      </c>
    </row>
    <row r="44" spans="1:23" ht="18" customHeight="1" x14ac:dyDescent="0.25">
      <c r="A44" s="415"/>
      <c r="B44" s="415"/>
      <c r="C44" s="415"/>
      <c r="D44" s="414"/>
      <c r="E44" s="414"/>
      <c r="F44" s="414"/>
      <c r="G44" s="414"/>
      <c r="H44" s="414"/>
      <c r="I44" s="414"/>
      <c r="J44" s="414"/>
      <c r="K44" s="414"/>
      <c r="L44" s="414"/>
      <c r="M44" s="414"/>
      <c r="N44" s="414"/>
      <c r="O44" s="414"/>
      <c r="P44" s="414"/>
      <c r="Q44" s="414"/>
      <c r="R44" s="414"/>
      <c r="S44" s="414"/>
      <c r="T44" s="414"/>
      <c r="U44" s="414" t="str">
        <f t="shared" si="0"/>
        <v/>
      </c>
      <c r="W44" s="480" t="str">
        <f t="shared" si="1"/>
        <v/>
      </c>
    </row>
    <row r="45" spans="1:23" ht="18" customHeight="1" x14ac:dyDescent="0.25">
      <c r="A45" s="415"/>
      <c r="B45" s="415"/>
      <c r="C45" s="415"/>
      <c r="D45" s="414"/>
      <c r="E45" s="414"/>
      <c r="F45" s="414"/>
      <c r="G45" s="414"/>
      <c r="H45" s="414"/>
      <c r="I45" s="414"/>
      <c r="J45" s="414"/>
      <c r="K45" s="414"/>
      <c r="L45" s="414"/>
      <c r="M45" s="414"/>
      <c r="N45" s="414"/>
      <c r="O45" s="414"/>
      <c r="P45" s="414"/>
      <c r="Q45" s="414"/>
      <c r="R45" s="414"/>
      <c r="S45" s="414"/>
      <c r="T45" s="414"/>
      <c r="U45" s="414" t="str">
        <f t="shared" si="0"/>
        <v/>
      </c>
      <c r="W45" s="480" t="str">
        <f t="shared" si="1"/>
        <v/>
      </c>
    </row>
    <row r="46" spans="1:23" ht="18" customHeight="1" x14ac:dyDescent="0.25">
      <c r="A46" s="415"/>
      <c r="B46" s="415"/>
      <c r="C46" s="415"/>
      <c r="D46" s="414"/>
      <c r="E46" s="414"/>
      <c r="F46" s="414"/>
      <c r="G46" s="414"/>
      <c r="H46" s="414"/>
      <c r="I46" s="414"/>
      <c r="J46" s="414"/>
      <c r="K46" s="414"/>
      <c r="L46" s="414"/>
      <c r="M46" s="414"/>
      <c r="N46" s="414"/>
      <c r="O46" s="414"/>
      <c r="P46" s="414"/>
      <c r="Q46" s="414"/>
      <c r="R46" s="414"/>
      <c r="S46" s="414"/>
      <c r="T46" s="414"/>
      <c r="U46" s="414" t="str">
        <f t="shared" si="0"/>
        <v/>
      </c>
      <c r="W46" s="480" t="str">
        <f t="shared" si="1"/>
        <v/>
      </c>
    </row>
    <row r="47" spans="1:23" ht="18" customHeight="1" x14ac:dyDescent="0.25">
      <c r="A47" s="415"/>
      <c r="B47" s="415"/>
      <c r="C47" s="415"/>
      <c r="D47" s="414"/>
      <c r="E47" s="414"/>
      <c r="F47" s="414"/>
      <c r="G47" s="414"/>
      <c r="H47" s="414"/>
      <c r="I47" s="414"/>
      <c r="J47" s="414"/>
      <c r="K47" s="414"/>
      <c r="L47" s="414"/>
      <c r="M47" s="414"/>
      <c r="N47" s="414"/>
      <c r="O47" s="414"/>
      <c r="P47" s="414"/>
      <c r="Q47" s="414"/>
      <c r="R47" s="414"/>
      <c r="S47" s="414"/>
      <c r="T47" s="414"/>
      <c r="U47" s="414" t="str">
        <f t="shared" si="0"/>
        <v/>
      </c>
      <c r="W47" s="480" t="str">
        <f t="shared" si="1"/>
        <v/>
      </c>
    </row>
    <row r="48" spans="1:23" ht="18" customHeight="1" x14ac:dyDescent="0.25">
      <c r="A48" s="415"/>
      <c r="B48" s="415"/>
      <c r="C48" s="415"/>
      <c r="D48" s="414"/>
      <c r="E48" s="414"/>
      <c r="F48" s="414"/>
      <c r="G48" s="414"/>
      <c r="H48" s="414"/>
      <c r="I48" s="414"/>
      <c r="J48" s="414"/>
      <c r="K48" s="414"/>
      <c r="L48" s="414"/>
      <c r="M48" s="414"/>
      <c r="N48" s="414"/>
      <c r="O48" s="414"/>
      <c r="P48" s="414"/>
      <c r="Q48" s="414"/>
      <c r="R48" s="414"/>
      <c r="S48" s="414"/>
      <c r="T48" s="414"/>
      <c r="U48" s="414" t="str">
        <f t="shared" si="0"/>
        <v/>
      </c>
      <c r="W48" s="480" t="str">
        <f t="shared" si="1"/>
        <v/>
      </c>
    </row>
    <row r="49" spans="1:23" ht="18" customHeight="1" x14ac:dyDescent="0.25">
      <c r="A49" s="415"/>
      <c r="B49" s="415"/>
      <c r="C49" s="415"/>
      <c r="D49" s="414"/>
      <c r="E49" s="414"/>
      <c r="F49" s="414"/>
      <c r="G49" s="414"/>
      <c r="H49" s="414"/>
      <c r="I49" s="414"/>
      <c r="J49" s="414"/>
      <c r="K49" s="414"/>
      <c r="L49" s="414"/>
      <c r="M49" s="414"/>
      <c r="N49" s="414"/>
      <c r="O49" s="414"/>
      <c r="P49" s="414"/>
      <c r="Q49" s="414"/>
      <c r="R49" s="414"/>
      <c r="S49" s="414"/>
      <c r="T49" s="414"/>
      <c r="U49" s="414" t="str">
        <f t="shared" si="0"/>
        <v/>
      </c>
      <c r="W49" s="480" t="str">
        <f t="shared" si="1"/>
        <v/>
      </c>
    </row>
    <row r="50" spans="1:23" ht="18" customHeight="1" x14ac:dyDescent="0.25">
      <c r="A50" s="415"/>
      <c r="B50" s="415"/>
      <c r="C50" s="415"/>
      <c r="D50" s="414"/>
      <c r="E50" s="414"/>
      <c r="F50" s="414"/>
      <c r="G50" s="414"/>
      <c r="H50" s="414"/>
      <c r="I50" s="414"/>
      <c r="J50" s="414"/>
      <c r="K50" s="414"/>
      <c r="L50" s="414"/>
      <c r="M50" s="414"/>
      <c r="N50" s="414"/>
      <c r="O50" s="414"/>
      <c r="P50" s="414"/>
      <c r="Q50" s="414"/>
      <c r="R50" s="414"/>
      <c r="S50" s="414"/>
      <c r="T50" s="414"/>
      <c r="U50" s="414" t="str">
        <f t="shared" si="0"/>
        <v/>
      </c>
      <c r="W50" s="480" t="str">
        <f t="shared" si="1"/>
        <v/>
      </c>
    </row>
    <row r="51" spans="1:23" ht="18" customHeight="1" x14ac:dyDescent="0.25">
      <c r="A51" s="415"/>
      <c r="B51" s="415"/>
      <c r="C51" s="415"/>
      <c r="D51" s="414"/>
      <c r="E51" s="414"/>
      <c r="F51" s="414"/>
      <c r="G51" s="414"/>
      <c r="H51" s="414"/>
      <c r="I51" s="414"/>
      <c r="J51" s="414"/>
      <c r="K51" s="414"/>
      <c r="L51" s="414"/>
      <c r="M51" s="414"/>
      <c r="N51" s="414"/>
      <c r="O51" s="414"/>
      <c r="P51" s="414"/>
      <c r="Q51" s="414"/>
      <c r="R51" s="414"/>
      <c r="S51" s="414"/>
      <c r="T51" s="414"/>
      <c r="U51" s="414" t="str">
        <f t="shared" si="0"/>
        <v/>
      </c>
      <c r="W51" s="480" t="str">
        <f t="shared" si="1"/>
        <v/>
      </c>
    </row>
    <row r="52" spans="1:23" ht="18" customHeight="1" x14ac:dyDescent="0.25">
      <c r="A52" s="415"/>
      <c r="B52" s="415"/>
      <c r="C52" s="415"/>
      <c r="D52" s="414"/>
      <c r="E52" s="414"/>
      <c r="F52" s="414"/>
      <c r="G52" s="414"/>
      <c r="H52" s="414"/>
      <c r="I52" s="414"/>
      <c r="J52" s="414"/>
      <c r="K52" s="414"/>
      <c r="L52" s="414"/>
      <c r="M52" s="414"/>
      <c r="N52" s="414"/>
      <c r="O52" s="414"/>
      <c r="P52" s="414"/>
      <c r="Q52" s="414"/>
      <c r="R52" s="414"/>
      <c r="S52" s="414"/>
      <c r="T52" s="414"/>
      <c r="U52" s="414" t="str">
        <f t="shared" si="0"/>
        <v/>
      </c>
      <c r="W52" s="480" t="str">
        <f t="shared" si="1"/>
        <v/>
      </c>
    </row>
    <row r="53" spans="1:23" ht="18" customHeight="1" x14ac:dyDescent="0.25">
      <c r="A53" s="415"/>
      <c r="B53" s="415"/>
      <c r="C53" s="415"/>
      <c r="D53" s="414"/>
      <c r="E53" s="414"/>
      <c r="F53" s="414"/>
      <c r="G53" s="414"/>
      <c r="H53" s="414"/>
      <c r="I53" s="414"/>
      <c r="J53" s="414"/>
      <c r="K53" s="414"/>
      <c r="L53" s="414"/>
      <c r="M53" s="414"/>
      <c r="N53" s="414"/>
      <c r="O53" s="414"/>
      <c r="P53" s="414"/>
      <c r="Q53" s="414"/>
      <c r="R53" s="414"/>
      <c r="S53" s="414"/>
      <c r="T53" s="414"/>
      <c r="U53" s="414" t="str">
        <f t="shared" si="0"/>
        <v/>
      </c>
      <c r="W53" s="480" t="str">
        <f t="shared" si="1"/>
        <v/>
      </c>
    </row>
    <row r="54" spans="1:23" ht="18" customHeight="1" x14ac:dyDescent="0.25">
      <c r="A54" s="415"/>
      <c r="B54" s="415"/>
      <c r="C54" s="415"/>
      <c r="D54" s="414"/>
      <c r="E54" s="414"/>
      <c r="F54" s="414"/>
      <c r="G54" s="414"/>
      <c r="H54" s="414"/>
      <c r="I54" s="414"/>
      <c r="J54" s="414"/>
      <c r="K54" s="414"/>
      <c r="L54" s="414"/>
      <c r="M54" s="414"/>
      <c r="N54" s="414"/>
      <c r="O54" s="414"/>
      <c r="P54" s="414"/>
      <c r="Q54" s="414"/>
      <c r="R54" s="414"/>
      <c r="S54" s="414"/>
      <c r="T54" s="414"/>
      <c r="U54" s="414" t="str">
        <f t="shared" si="0"/>
        <v/>
      </c>
      <c r="W54" s="480" t="str">
        <f t="shared" si="1"/>
        <v/>
      </c>
    </row>
    <row r="55" spans="1:23" ht="18" customHeight="1" x14ac:dyDescent="0.25">
      <c r="A55" s="415"/>
      <c r="B55" s="415"/>
      <c r="C55" s="415"/>
      <c r="D55" s="414"/>
      <c r="E55" s="414"/>
      <c r="F55" s="414"/>
      <c r="G55" s="414"/>
      <c r="H55" s="414"/>
      <c r="I55" s="414"/>
      <c r="J55" s="414"/>
      <c r="K55" s="414"/>
      <c r="L55" s="414"/>
      <c r="M55" s="414"/>
      <c r="N55" s="414"/>
      <c r="O55" s="414"/>
      <c r="P55" s="414"/>
      <c r="Q55" s="414"/>
      <c r="R55" s="414"/>
      <c r="S55" s="414"/>
      <c r="T55" s="414"/>
      <c r="U55" s="414" t="str">
        <f t="shared" si="0"/>
        <v/>
      </c>
      <c r="W55" s="480" t="str">
        <f t="shared" si="1"/>
        <v/>
      </c>
    </row>
    <row r="56" spans="1:23" ht="18" customHeight="1" x14ac:dyDescent="0.25">
      <c r="A56" s="415"/>
      <c r="B56" s="415"/>
      <c r="C56" s="415"/>
      <c r="D56" s="414"/>
      <c r="E56" s="414"/>
      <c r="F56" s="414"/>
      <c r="G56" s="414"/>
      <c r="H56" s="414"/>
      <c r="I56" s="414"/>
      <c r="J56" s="414"/>
      <c r="K56" s="414"/>
      <c r="L56" s="414"/>
      <c r="M56" s="414"/>
      <c r="N56" s="414"/>
      <c r="O56" s="414"/>
      <c r="P56" s="414"/>
      <c r="Q56" s="414"/>
      <c r="R56" s="414"/>
      <c r="S56" s="414"/>
      <c r="T56" s="414"/>
      <c r="U56" s="414" t="str">
        <f t="shared" si="0"/>
        <v/>
      </c>
      <c r="W56" s="480" t="str">
        <f t="shared" si="1"/>
        <v/>
      </c>
    </row>
    <row r="57" spans="1:23" ht="18" customHeight="1" x14ac:dyDescent="0.25">
      <c r="A57" s="415"/>
      <c r="B57" s="415"/>
      <c r="C57" s="415"/>
      <c r="D57" s="414"/>
      <c r="E57" s="414"/>
      <c r="F57" s="414"/>
      <c r="G57" s="414"/>
      <c r="H57" s="414"/>
      <c r="I57" s="414"/>
      <c r="J57" s="414"/>
      <c r="K57" s="414"/>
      <c r="L57" s="414"/>
      <c r="M57" s="414"/>
      <c r="N57" s="414"/>
      <c r="O57" s="414"/>
      <c r="P57" s="414"/>
      <c r="Q57" s="414"/>
      <c r="R57" s="414"/>
      <c r="S57" s="414"/>
      <c r="T57" s="414"/>
      <c r="U57" s="414" t="str">
        <f t="shared" si="0"/>
        <v/>
      </c>
      <c r="W57" s="480" t="str">
        <f t="shared" si="1"/>
        <v/>
      </c>
    </row>
    <row r="58" spans="1:23" ht="18" customHeight="1" x14ac:dyDescent="0.25">
      <c r="A58" s="415"/>
      <c r="B58" s="415"/>
      <c r="C58" s="415"/>
      <c r="D58" s="414"/>
      <c r="E58" s="414"/>
      <c r="F58" s="414"/>
      <c r="G58" s="414"/>
      <c r="H58" s="414"/>
      <c r="I58" s="414"/>
      <c r="J58" s="414"/>
      <c r="K58" s="414"/>
      <c r="L58" s="414"/>
      <c r="M58" s="414"/>
      <c r="N58" s="414"/>
      <c r="O58" s="414"/>
      <c r="P58" s="414"/>
      <c r="Q58" s="414"/>
      <c r="R58" s="414"/>
      <c r="S58" s="414"/>
      <c r="T58" s="414"/>
      <c r="U58" s="414" t="str">
        <f t="shared" si="0"/>
        <v/>
      </c>
      <c r="W58" s="480" t="str">
        <f t="shared" si="1"/>
        <v/>
      </c>
    </row>
    <row r="59" spans="1:23" ht="18" customHeight="1" x14ac:dyDescent="0.25">
      <c r="A59" s="415"/>
      <c r="B59" s="415"/>
      <c r="C59" s="415"/>
      <c r="D59" s="414"/>
      <c r="E59" s="414"/>
      <c r="F59" s="414"/>
      <c r="G59" s="414"/>
      <c r="H59" s="414"/>
      <c r="I59" s="414"/>
      <c r="J59" s="414"/>
      <c r="K59" s="414"/>
      <c r="L59" s="414"/>
      <c r="M59" s="414"/>
      <c r="N59" s="414"/>
      <c r="O59" s="414"/>
      <c r="P59" s="414"/>
      <c r="Q59" s="414"/>
      <c r="R59" s="414"/>
      <c r="S59" s="414"/>
      <c r="T59" s="414"/>
      <c r="U59" s="414" t="str">
        <f t="shared" si="0"/>
        <v/>
      </c>
      <c r="W59" s="480" t="str">
        <f t="shared" si="1"/>
        <v/>
      </c>
    </row>
    <row r="60" spans="1:23" ht="18" customHeight="1" x14ac:dyDescent="0.25">
      <c r="A60" s="415"/>
      <c r="B60" s="415"/>
      <c r="C60" s="415"/>
      <c r="D60" s="414"/>
      <c r="E60" s="414"/>
      <c r="F60" s="414"/>
      <c r="G60" s="414"/>
      <c r="H60" s="414"/>
      <c r="I60" s="414"/>
      <c r="J60" s="414"/>
      <c r="K60" s="414"/>
      <c r="L60" s="414"/>
      <c r="M60" s="414"/>
      <c r="N60" s="414"/>
      <c r="O60" s="414"/>
      <c r="P60" s="414"/>
      <c r="Q60" s="414"/>
      <c r="R60" s="414"/>
      <c r="S60" s="414"/>
      <c r="T60" s="414"/>
      <c r="U60" s="414" t="str">
        <f t="shared" si="0"/>
        <v/>
      </c>
      <c r="W60" s="480" t="str">
        <f t="shared" si="1"/>
        <v/>
      </c>
    </row>
    <row r="61" spans="1:23" ht="18" customHeight="1" x14ac:dyDescent="0.25">
      <c r="A61" s="415"/>
      <c r="B61" s="415"/>
      <c r="C61" s="415"/>
      <c r="D61" s="414"/>
      <c r="E61" s="414"/>
      <c r="F61" s="414"/>
      <c r="G61" s="414"/>
      <c r="H61" s="414"/>
      <c r="I61" s="414"/>
      <c r="J61" s="414"/>
      <c r="K61" s="414"/>
      <c r="L61" s="414"/>
      <c r="M61" s="414"/>
      <c r="N61" s="414"/>
      <c r="O61" s="414"/>
      <c r="P61" s="414"/>
      <c r="Q61" s="414"/>
      <c r="R61" s="414"/>
      <c r="S61" s="414"/>
      <c r="T61" s="414"/>
      <c r="U61" s="414" t="str">
        <f t="shared" si="0"/>
        <v/>
      </c>
      <c r="W61" s="480" t="str">
        <f t="shared" si="1"/>
        <v/>
      </c>
    </row>
    <row r="62" spans="1:23" ht="18" customHeight="1" x14ac:dyDescent="0.25">
      <c r="A62" s="415"/>
      <c r="B62" s="415"/>
      <c r="C62" s="415"/>
      <c r="D62" s="414"/>
      <c r="E62" s="414"/>
      <c r="F62" s="414"/>
      <c r="G62" s="414"/>
      <c r="H62" s="414"/>
      <c r="I62" s="414"/>
      <c r="J62" s="414"/>
      <c r="K62" s="414"/>
      <c r="L62" s="414"/>
      <c r="M62" s="414"/>
      <c r="N62" s="414"/>
      <c r="O62" s="414"/>
      <c r="P62" s="414"/>
      <c r="Q62" s="414"/>
      <c r="R62" s="414"/>
      <c r="S62" s="414"/>
      <c r="T62" s="414"/>
      <c r="U62" s="414" t="str">
        <f t="shared" si="0"/>
        <v/>
      </c>
      <c r="W62" s="480" t="str">
        <f t="shared" si="1"/>
        <v/>
      </c>
    </row>
    <row r="63" spans="1:23" ht="18" customHeight="1" x14ac:dyDescent="0.25">
      <c r="A63" s="415"/>
      <c r="B63" s="415"/>
      <c r="C63" s="415"/>
      <c r="D63" s="414"/>
      <c r="E63" s="414"/>
      <c r="F63" s="414"/>
      <c r="G63" s="414"/>
      <c r="H63" s="414"/>
      <c r="I63" s="414"/>
      <c r="J63" s="414"/>
      <c r="K63" s="414"/>
      <c r="L63" s="414"/>
      <c r="M63" s="414"/>
      <c r="N63" s="414"/>
      <c r="O63" s="414"/>
      <c r="P63" s="414"/>
      <c r="Q63" s="414"/>
      <c r="R63" s="414"/>
      <c r="S63" s="414"/>
      <c r="T63" s="414"/>
      <c r="U63" s="414" t="str">
        <f t="shared" si="0"/>
        <v/>
      </c>
      <c r="W63" s="480" t="str">
        <f t="shared" si="1"/>
        <v/>
      </c>
    </row>
    <row r="64" spans="1:23" ht="18" customHeight="1" x14ac:dyDescent="0.25">
      <c r="A64" s="415"/>
      <c r="B64" s="415"/>
      <c r="C64" s="415"/>
      <c r="D64" s="414"/>
      <c r="E64" s="414"/>
      <c r="F64" s="414"/>
      <c r="G64" s="414"/>
      <c r="H64" s="414"/>
      <c r="I64" s="414"/>
      <c r="J64" s="414"/>
      <c r="K64" s="414"/>
      <c r="L64" s="414"/>
      <c r="M64" s="414"/>
      <c r="N64" s="414"/>
      <c r="O64" s="414"/>
      <c r="P64" s="414"/>
      <c r="Q64" s="414"/>
      <c r="R64" s="414"/>
      <c r="S64" s="414"/>
      <c r="T64" s="414"/>
      <c r="U64" s="414" t="str">
        <f t="shared" si="0"/>
        <v/>
      </c>
      <c r="W64" s="480" t="str">
        <f t="shared" si="1"/>
        <v/>
      </c>
    </row>
    <row r="65" spans="1:23" ht="18" customHeight="1" x14ac:dyDescent="0.25">
      <c r="A65" s="415"/>
      <c r="B65" s="415"/>
      <c r="C65" s="415"/>
      <c r="D65" s="414"/>
      <c r="E65" s="414"/>
      <c r="G65" s="414"/>
      <c r="H65" s="414"/>
      <c r="I65" s="414"/>
      <c r="J65" s="414"/>
      <c r="K65" s="414"/>
      <c r="L65" s="414"/>
      <c r="M65" s="414"/>
      <c r="N65" s="414"/>
      <c r="O65" s="414"/>
      <c r="P65" s="414"/>
      <c r="Q65" s="414"/>
      <c r="R65" s="414"/>
      <c r="S65" s="414"/>
      <c r="T65" s="414"/>
      <c r="U65" s="414" t="str">
        <f t="shared" si="0"/>
        <v/>
      </c>
      <c r="W65" s="480" t="str">
        <f t="shared" si="1"/>
        <v/>
      </c>
    </row>
    <row r="66" spans="1:23" ht="18" customHeight="1" x14ac:dyDescent="0.25">
      <c r="A66" s="415"/>
      <c r="B66" s="415"/>
      <c r="C66" s="415"/>
      <c r="D66" s="414"/>
      <c r="E66" s="414"/>
      <c r="F66" s="414"/>
      <c r="G66" s="414"/>
      <c r="H66" s="414"/>
      <c r="I66" s="414"/>
      <c r="J66" s="414"/>
      <c r="K66" s="414"/>
      <c r="L66" s="414"/>
      <c r="M66" s="414"/>
      <c r="N66" s="414"/>
      <c r="O66" s="414"/>
      <c r="P66" s="414"/>
      <c r="Q66" s="414"/>
      <c r="R66" s="414"/>
      <c r="S66" s="414"/>
      <c r="T66" s="414"/>
      <c r="U66" s="414" t="str">
        <f t="shared" si="0"/>
        <v/>
      </c>
      <c r="W66" s="480" t="str">
        <f t="shared" si="1"/>
        <v/>
      </c>
    </row>
    <row r="67" spans="1:23" ht="18" customHeight="1" x14ac:dyDescent="0.25">
      <c r="A67" s="415"/>
      <c r="B67" s="415"/>
      <c r="C67" s="415"/>
      <c r="D67" s="414"/>
      <c r="E67" s="414"/>
      <c r="F67" s="414"/>
      <c r="G67" s="414"/>
      <c r="H67" s="414"/>
      <c r="I67" s="414"/>
      <c r="J67" s="414"/>
      <c r="K67" s="414"/>
      <c r="L67" s="414"/>
      <c r="M67" s="414"/>
      <c r="N67" s="414"/>
      <c r="O67" s="414"/>
      <c r="P67" s="414"/>
      <c r="Q67" s="414"/>
      <c r="R67" s="414"/>
      <c r="S67" s="414"/>
      <c r="T67" s="414"/>
      <c r="U67" s="414" t="str">
        <f t="shared" si="0"/>
        <v/>
      </c>
      <c r="W67" s="480" t="str">
        <f t="shared" si="1"/>
        <v/>
      </c>
    </row>
    <row r="68" spans="1:23" ht="18" customHeight="1" x14ac:dyDescent="0.25">
      <c r="A68" s="415"/>
      <c r="B68" s="415"/>
      <c r="C68" s="415"/>
      <c r="D68" s="414"/>
      <c r="E68" s="414"/>
      <c r="F68" s="414"/>
      <c r="G68" s="414"/>
      <c r="H68" s="414"/>
      <c r="I68" s="414"/>
      <c r="J68" s="414"/>
      <c r="K68" s="414"/>
      <c r="L68" s="414"/>
      <c r="M68" s="414"/>
      <c r="N68" s="414"/>
      <c r="O68" s="414"/>
      <c r="P68" s="414"/>
      <c r="Q68" s="414"/>
      <c r="R68" s="414"/>
      <c r="S68" s="414"/>
      <c r="T68" s="414"/>
      <c r="U68" s="414" t="str">
        <f t="shared" si="0"/>
        <v/>
      </c>
      <c r="W68" s="480" t="str">
        <f t="shared" si="1"/>
        <v/>
      </c>
    </row>
    <row r="69" spans="1:23" ht="18" customHeight="1" x14ac:dyDescent="0.25">
      <c r="A69" s="415"/>
      <c r="B69" s="415"/>
      <c r="C69" s="415"/>
      <c r="D69" s="414"/>
      <c r="E69" s="414"/>
      <c r="F69" s="414"/>
      <c r="G69" s="414"/>
      <c r="H69" s="414"/>
      <c r="I69" s="414"/>
      <c r="J69" s="414"/>
      <c r="K69" s="414"/>
      <c r="L69" s="414"/>
      <c r="M69" s="414"/>
      <c r="N69" s="414"/>
      <c r="O69" s="414"/>
      <c r="P69" s="414"/>
      <c r="Q69" s="414"/>
      <c r="R69" s="414"/>
      <c r="S69" s="414"/>
      <c r="T69" s="414"/>
      <c r="U69" s="414" t="str">
        <f t="shared" si="0"/>
        <v/>
      </c>
      <c r="W69" s="480" t="str">
        <f t="shared" si="1"/>
        <v/>
      </c>
    </row>
    <row r="70" spans="1:23" ht="18" customHeight="1" x14ac:dyDescent="0.25">
      <c r="A70" s="415"/>
      <c r="B70" s="415"/>
      <c r="C70" s="415"/>
      <c r="D70" s="414"/>
      <c r="E70" s="414"/>
      <c r="F70" s="414"/>
      <c r="G70" s="414"/>
      <c r="H70" s="414"/>
      <c r="I70" s="414"/>
      <c r="J70" s="414"/>
      <c r="K70" s="414"/>
      <c r="L70" s="414"/>
      <c r="M70" s="414"/>
      <c r="N70" s="414"/>
      <c r="O70" s="414"/>
      <c r="P70" s="414"/>
      <c r="Q70" s="414"/>
      <c r="R70" s="414"/>
      <c r="S70" s="414"/>
      <c r="T70" s="414"/>
      <c r="U70" s="414" t="str">
        <f t="shared" si="0"/>
        <v/>
      </c>
      <c r="W70" s="480" t="str">
        <f t="shared" si="1"/>
        <v/>
      </c>
    </row>
    <row r="71" spans="1:23" ht="18" customHeight="1" x14ac:dyDescent="0.25">
      <c r="A71" s="415"/>
      <c r="B71" s="415"/>
      <c r="C71" s="415"/>
      <c r="D71" s="414"/>
      <c r="E71" s="414"/>
      <c r="F71" s="414"/>
      <c r="G71" s="414"/>
      <c r="H71" s="414"/>
      <c r="I71" s="414"/>
      <c r="J71" s="414"/>
      <c r="K71" s="414"/>
      <c r="L71" s="414"/>
      <c r="M71" s="414"/>
      <c r="N71" s="414"/>
      <c r="O71" s="414"/>
      <c r="P71" s="414"/>
      <c r="Q71" s="414"/>
      <c r="R71" s="414"/>
      <c r="S71" s="414"/>
      <c r="T71" s="414"/>
      <c r="U71" s="414" t="str">
        <f t="shared" si="0"/>
        <v/>
      </c>
      <c r="W71" s="480" t="str">
        <f t="shared" si="1"/>
        <v/>
      </c>
    </row>
    <row r="72" spans="1:23" ht="18" customHeight="1" x14ac:dyDescent="0.25">
      <c r="A72" s="415"/>
      <c r="B72" s="415"/>
      <c r="C72" s="415"/>
      <c r="D72" s="414"/>
      <c r="E72" s="414"/>
      <c r="F72" s="414"/>
      <c r="G72" s="414"/>
      <c r="H72" s="414"/>
      <c r="I72" s="414"/>
      <c r="J72" s="414"/>
      <c r="K72" s="414"/>
      <c r="L72" s="414"/>
      <c r="M72" s="414"/>
      <c r="N72" s="414"/>
      <c r="O72" s="414"/>
      <c r="P72" s="414"/>
      <c r="Q72" s="414"/>
      <c r="R72" s="414"/>
      <c r="S72" s="414"/>
      <c r="T72" s="414"/>
      <c r="U72" s="414" t="str">
        <f t="shared" si="0"/>
        <v/>
      </c>
      <c r="W72" s="480" t="str">
        <f t="shared" si="1"/>
        <v/>
      </c>
    </row>
    <row r="73" spans="1:23" ht="18" customHeight="1" x14ac:dyDescent="0.25">
      <c r="A73" s="415"/>
      <c r="B73" s="415"/>
      <c r="C73" s="415"/>
      <c r="D73" s="414"/>
      <c r="E73" s="414"/>
      <c r="F73" s="414"/>
      <c r="G73" s="414"/>
      <c r="H73" s="414"/>
      <c r="I73" s="414"/>
      <c r="J73" s="414"/>
      <c r="K73" s="414"/>
      <c r="L73" s="414"/>
      <c r="M73" s="414"/>
      <c r="N73" s="414"/>
      <c r="O73" s="414"/>
      <c r="P73" s="414"/>
      <c r="Q73" s="414"/>
      <c r="R73" s="414"/>
      <c r="S73" s="414"/>
      <c r="T73" s="414"/>
      <c r="U73" s="414" t="str">
        <f t="shared" si="0"/>
        <v/>
      </c>
      <c r="W73" s="480" t="str">
        <f t="shared" si="1"/>
        <v/>
      </c>
    </row>
    <row r="74" spans="1:23" ht="18" customHeight="1" x14ac:dyDescent="0.25">
      <c r="A74" s="415"/>
      <c r="B74" s="415"/>
      <c r="C74" s="415"/>
      <c r="D74" s="414"/>
      <c r="E74" s="414"/>
      <c r="F74" s="414"/>
      <c r="G74" s="414"/>
      <c r="H74" s="414"/>
      <c r="I74" s="414"/>
      <c r="J74" s="414"/>
      <c r="K74" s="414"/>
      <c r="L74" s="414"/>
      <c r="M74" s="414"/>
      <c r="N74" s="414"/>
      <c r="O74" s="414"/>
      <c r="P74" s="414"/>
      <c r="Q74" s="414"/>
      <c r="R74" s="414"/>
      <c r="S74" s="414"/>
      <c r="T74" s="414"/>
      <c r="U74" s="414" t="str">
        <f t="shared" si="0"/>
        <v/>
      </c>
      <c r="W74" s="480" t="str">
        <f t="shared" si="1"/>
        <v/>
      </c>
    </row>
    <row r="75" spans="1:23" ht="18" customHeight="1" x14ac:dyDescent="0.25">
      <c r="A75" s="415"/>
      <c r="B75" s="415"/>
      <c r="C75" s="415"/>
      <c r="D75" s="414"/>
      <c r="E75" s="414"/>
      <c r="F75" s="414"/>
      <c r="G75" s="414"/>
      <c r="H75" s="414"/>
      <c r="I75" s="414"/>
      <c r="J75" s="414"/>
      <c r="K75" s="414"/>
      <c r="L75" s="414"/>
      <c r="M75" s="414"/>
      <c r="N75" s="414"/>
      <c r="O75" s="414"/>
      <c r="P75" s="414"/>
      <c r="Q75" s="414"/>
      <c r="R75" s="414"/>
      <c r="S75" s="414"/>
      <c r="T75" s="414"/>
      <c r="U75" s="414" t="str">
        <f t="shared" si="0"/>
        <v/>
      </c>
      <c r="W75" s="480" t="str">
        <f t="shared" si="1"/>
        <v/>
      </c>
    </row>
    <row r="76" spans="1:23" ht="18" customHeight="1" x14ac:dyDescent="0.25">
      <c r="A76" s="415"/>
      <c r="B76" s="415"/>
      <c r="C76" s="415"/>
      <c r="D76" s="414"/>
      <c r="E76" s="414"/>
      <c r="F76" s="414"/>
      <c r="G76" s="414"/>
      <c r="H76" s="414"/>
      <c r="I76" s="414"/>
      <c r="J76" s="414"/>
      <c r="K76" s="414"/>
      <c r="L76" s="414"/>
      <c r="M76" s="414"/>
      <c r="N76" s="414"/>
      <c r="O76" s="414"/>
      <c r="P76" s="414"/>
      <c r="Q76" s="414"/>
      <c r="R76" s="414"/>
      <c r="S76" s="414"/>
      <c r="T76" s="414"/>
      <c r="U76" s="414" t="str">
        <f t="shared" ref="U76:U139" si="2">IFERROR(AVERAGEIF(D76:T76,"&gt;0",D76:T76),"")</f>
        <v/>
      </c>
      <c r="W76" s="480" t="str">
        <f t="shared" ref="W76:W139" si="3">IFERROR(MEDIAN(D76:J76),"")</f>
        <v/>
      </c>
    </row>
    <row r="77" spans="1:23" ht="18" customHeight="1" x14ac:dyDescent="0.25">
      <c r="A77" s="415"/>
      <c r="B77" s="415"/>
      <c r="C77" s="415"/>
      <c r="D77" s="414"/>
      <c r="E77" s="414"/>
      <c r="F77" s="414"/>
      <c r="G77" s="414"/>
      <c r="H77" s="414"/>
      <c r="I77" s="414"/>
      <c r="J77" s="414"/>
      <c r="K77" s="414"/>
      <c r="L77" s="414"/>
      <c r="M77" s="414"/>
      <c r="N77" s="414"/>
      <c r="O77" s="414"/>
      <c r="P77" s="414"/>
      <c r="Q77" s="414"/>
      <c r="R77" s="414"/>
      <c r="S77" s="414"/>
      <c r="T77" s="414"/>
      <c r="U77" s="414" t="str">
        <f t="shared" si="2"/>
        <v/>
      </c>
      <c r="W77" s="480" t="str">
        <f t="shared" si="3"/>
        <v/>
      </c>
    </row>
    <row r="78" spans="1:23" ht="18" customHeight="1" x14ac:dyDescent="0.25">
      <c r="A78" s="415"/>
      <c r="B78" s="415"/>
      <c r="C78" s="415"/>
      <c r="D78" s="414"/>
      <c r="E78" s="414"/>
      <c r="F78" s="414"/>
      <c r="G78" s="414"/>
      <c r="H78" s="414"/>
      <c r="I78" s="414"/>
      <c r="J78" s="414"/>
      <c r="K78" s="414"/>
      <c r="L78" s="414"/>
      <c r="M78" s="414"/>
      <c r="N78" s="414"/>
      <c r="O78" s="414"/>
      <c r="P78" s="414"/>
      <c r="Q78" s="414"/>
      <c r="R78" s="414"/>
      <c r="S78" s="414"/>
      <c r="T78" s="414"/>
      <c r="U78" s="414" t="str">
        <f t="shared" si="2"/>
        <v/>
      </c>
      <c r="W78" s="480" t="str">
        <f t="shared" si="3"/>
        <v/>
      </c>
    </row>
    <row r="79" spans="1:23" ht="18" customHeight="1" x14ac:dyDescent="0.25">
      <c r="A79" s="415"/>
      <c r="B79" s="415"/>
      <c r="C79" s="415"/>
      <c r="D79" s="414"/>
      <c r="E79" s="414"/>
      <c r="F79" s="414"/>
      <c r="G79" s="414"/>
      <c r="H79" s="414"/>
      <c r="I79" s="414"/>
      <c r="J79" s="414"/>
      <c r="K79" s="414"/>
      <c r="L79" s="414"/>
      <c r="M79" s="414"/>
      <c r="N79" s="414"/>
      <c r="O79" s="414"/>
      <c r="P79" s="414"/>
      <c r="Q79" s="414"/>
      <c r="R79" s="414"/>
      <c r="S79" s="414"/>
      <c r="T79" s="414"/>
      <c r="U79" s="414" t="str">
        <f t="shared" si="2"/>
        <v/>
      </c>
      <c r="W79" s="480" t="str">
        <f t="shared" si="3"/>
        <v/>
      </c>
    </row>
    <row r="80" spans="1:23" ht="18" customHeight="1" x14ac:dyDescent="0.25">
      <c r="A80" s="415"/>
      <c r="B80" s="415"/>
      <c r="C80" s="415"/>
      <c r="D80" s="414"/>
      <c r="E80" s="414"/>
      <c r="F80" s="414"/>
      <c r="G80" s="414"/>
      <c r="H80" s="414"/>
      <c r="I80" s="414"/>
      <c r="J80" s="414"/>
      <c r="K80" s="414"/>
      <c r="L80" s="414"/>
      <c r="M80" s="414"/>
      <c r="N80" s="414"/>
      <c r="O80" s="414"/>
      <c r="P80" s="414"/>
      <c r="Q80" s="414"/>
      <c r="R80" s="414"/>
      <c r="S80" s="414"/>
      <c r="T80" s="414"/>
      <c r="U80" s="414" t="str">
        <f t="shared" si="2"/>
        <v/>
      </c>
      <c r="W80" s="480" t="str">
        <f t="shared" si="3"/>
        <v/>
      </c>
    </row>
    <row r="81" spans="1:23" ht="18" customHeight="1" x14ac:dyDescent="0.25">
      <c r="A81" s="415"/>
      <c r="B81" s="415"/>
      <c r="C81" s="415"/>
      <c r="D81" s="414"/>
      <c r="E81" s="414"/>
      <c r="F81" s="414"/>
      <c r="G81" s="414"/>
      <c r="H81" s="414"/>
      <c r="I81" s="414"/>
      <c r="J81" s="414"/>
      <c r="K81" s="414"/>
      <c r="L81" s="414"/>
      <c r="M81" s="414"/>
      <c r="N81" s="414"/>
      <c r="O81" s="414"/>
      <c r="P81" s="414"/>
      <c r="Q81" s="414"/>
      <c r="R81" s="414"/>
      <c r="S81" s="414"/>
      <c r="T81" s="414"/>
      <c r="U81" s="414" t="str">
        <f t="shared" si="2"/>
        <v/>
      </c>
      <c r="W81" s="480" t="str">
        <f t="shared" si="3"/>
        <v/>
      </c>
    </row>
    <row r="82" spans="1:23" ht="18" customHeight="1" x14ac:dyDescent="0.25">
      <c r="A82" s="415"/>
      <c r="B82" s="415"/>
      <c r="C82" s="415"/>
      <c r="D82" s="414"/>
      <c r="E82" s="414"/>
      <c r="F82" s="414"/>
      <c r="G82" s="414"/>
      <c r="H82" s="414"/>
      <c r="I82" s="414"/>
      <c r="J82" s="414"/>
      <c r="K82" s="414"/>
      <c r="L82" s="414"/>
      <c r="M82" s="414"/>
      <c r="N82" s="414"/>
      <c r="O82" s="414"/>
      <c r="P82" s="414"/>
      <c r="Q82" s="414"/>
      <c r="R82" s="414"/>
      <c r="S82" s="414"/>
      <c r="T82" s="414"/>
      <c r="U82" s="414" t="str">
        <f t="shared" si="2"/>
        <v/>
      </c>
      <c r="W82" s="480" t="str">
        <f t="shared" si="3"/>
        <v/>
      </c>
    </row>
    <row r="83" spans="1:23" ht="18" customHeight="1" x14ac:dyDescent="0.25">
      <c r="A83" s="415"/>
      <c r="B83" s="415"/>
      <c r="C83" s="415"/>
      <c r="D83" s="414"/>
      <c r="E83" s="414"/>
      <c r="F83" s="414"/>
      <c r="G83" s="414"/>
      <c r="H83" s="414"/>
      <c r="I83" s="414"/>
      <c r="J83" s="414"/>
      <c r="K83" s="414"/>
      <c r="L83" s="414"/>
      <c r="M83" s="414"/>
      <c r="N83" s="414"/>
      <c r="O83" s="414"/>
      <c r="P83" s="414"/>
      <c r="Q83" s="414"/>
      <c r="R83" s="414"/>
      <c r="S83" s="414"/>
      <c r="T83" s="414"/>
      <c r="U83" s="414" t="str">
        <f t="shared" si="2"/>
        <v/>
      </c>
      <c r="W83" s="480" t="str">
        <f t="shared" si="3"/>
        <v/>
      </c>
    </row>
    <row r="84" spans="1:23" ht="18" customHeight="1" x14ac:dyDescent="0.25">
      <c r="A84" s="415"/>
      <c r="B84" s="415"/>
      <c r="C84" s="415"/>
      <c r="D84" s="414"/>
      <c r="E84" s="414"/>
      <c r="F84" s="414"/>
      <c r="G84" s="414"/>
      <c r="H84" s="414"/>
      <c r="I84" s="414"/>
      <c r="J84" s="414"/>
      <c r="K84" s="414"/>
      <c r="L84" s="414"/>
      <c r="M84" s="414"/>
      <c r="N84" s="414"/>
      <c r="O84" s="414"/>
      <c r="P84" s="414"/>
      <c r="Q84" s="414"/>
      <c r="R84" s="414"/>
      <c r="S84" s="414"/>
      <c r="T84" s="414"/>
      <c r="U84" s="414" t="str">
        <f t="shared" si="2"/>
        <v/>
      </c>
      <c r="W84" s="480" t="str">
        <f t="shared" si="3"/>
        <v/>
      </c>
    </row>
    <row r="85" spans="1:23" ht="18" customHeight="1" x14ac:dyDescent="0.25">
      <c r="A85" s="415"/>
      <c r="B85" s="415"/>
      <c r="C85" s="415"/>
      <c r="D85" s="414"/>
      <c r="E85" s="414"/>
      <c r="F85" s="414"/>
      <c r="G85" s="414"/>
      <c r="H85" s="414"/>
      <c r="I85" s="414"/>
      <c r="J85" s="414"/>
      <c r="K85" s="414"/>
      <c r="L85" s="414"/>
      <c r="M85" s="414"/>
      <c r="N85" s="414"/>
      <c r="O85" s="414"/>
      <c r="P85" s="414"/>
      <c r="Q85" s="414"/>
      <c r="R85" s="414"/>
      <c r="S85" s="414"/>
      <c r="T85" s="414"/>
      <c r="U85" s="414" t="str">
        <f t="shared" si="2"/>
        <v/>
      </c>
      <c r="W85" s="480" t="str">
        <f t="shared" si="3"/>
        <v/>
      </c>
    </row>
    <row r="86" spans="1:23" ht="18" customHeight="1" x14ac:dyDescent="0.25">
      <c r="A86" s="415"/>
      <c r="B86" s="415"/>
      <c r="C86" s="415"/>
      <c r="D86" s="414"/>
      <c r="E86" s="414"/>
      <c r="F86" s="414"/>
      <c r="G86" s="414"/>
      <c r="H86" s="414"/>
      <c r="I86" s="414"/>
      <c r="J86" s="414"/>
      <c r="K86" s="414"/>
      <c r="L86" s="414"/>
      <c r="M86" s="414"/>
      <c r="N86" s="414"/>
      <c r="O86" s="414"/>
      <c r="P86" s="414"/>
      <c r="Q86" s="414"/>
      <c r="R86" s="414"/>
      <c r="S86" s="414"/>
      <c r="T86" s="414"/>
      <c r="U86" s="414" t="str">
        <f t="shared" si="2"/>
        <v/>
      </c>
      <c r="W86" s="480" t="str">
        <f t="shared" si="3"/>
        <v/>
      </c>
    </row>
    <row r="87" spans="1:23" ht="18" customHeight="1" x14ac:dyDescent="0.25">
      <c r="A87" s="415"/>
      <c r="B87" s="415"/>
      <c r="C87" s="415"/>
      <c r="D87" s="414"/>
      <c r="E87" s="414"/>
      <c r="F87" s="414"/>
      <c r="G87" s="414"/>
      <c r="H87" s="414"/>
      <c r="I87" s="414"/>
      <c r="J87" s="414"/>
      <c r="K87" s="414"/>
      <c r="L87" s="414"/>
      <c r="M87" s="414"/>
      <c r="N87" s="414"/>
      <c r="O87" s="414"/>
      <c r="P87" s="414"/>
      <c r="Q87" s="414"/>
      <c r="R87" s="414"/>
      <c r="S87" s="414"/>
      <c r="T87" s="414"/>
      <c r="U87" s="414" t="str">
        <f t="shared" si="2"/>
        <v/>
      </c>
      <c r="W87" s="480" t="str">
        <f t="shared" si="3"/>
        <v/>
      </c>
    </row>
    <row r="88" spans="1:23" ht="18" customHeight="1" x14ac:dyDescent="0.25">
      <c r="A88" s="415"/>
      <c r="B88" s="415"/>
      <c r="C88" s="415"/>
      <c r="D88" s="414"/>
      <c r="E88" s="414"/>
      <c r="F88" s="414"/>
      <c r="G88" s="414"/>
      <c r="H88" s="414"/>
      <c r="I88" s="414"/>
      <c r="J88" s="414"/>
      <c r="K88" s="414"/>
      <c r="L88" s="414"/>
      <c r="M88" s="414"/>
      <c r="N88" s="414"/>
      <c r="O88" s="414"/>
      <c r="P88" s="414"/>
      <c r="Q88" s="414"/>
      <c r="R88" s="414"/>
      <c r="S88" s="414"/>
      <c r="T88" s="414"/>
      <c r="U88" s="414" t="str">
        <f t="shared" si="2"/>
        <v/>
      </c>
      <c r="W88" s="480" t="str">
        <f t="shared" si="3"/>
        <v/>
      </c>
    </row>
    <row r="89" spans="1:23" ht="18" customHeight="1" x14ac:dyDescent="0.25">
      <c r="A89" s="415"/>
      <c r="B89" s="415"/>
      <c r="C89" s="415"/>
      <c r="D89" s="414"/>
      <c r="E89" s="414"/>
      <c r="F89" s="414"/>
      <c r="G89" s="414"/>
      <c r="H89" s="414"/>
      <c r="I89" s="414"/>
      <c r="J89" s="414"/>
      <c r="K89" s="414"/>
      <c r="L89" s="414"/>
      <c r="M89" s="414"/>
      <c r="N89" s="414"/>
      <c r="O89" s="414"/>
      <c r="P89" s="414"/>
      <c r="Q89" s="414"/>
      <c r="R89" s="414"/>
      <c r="S89" s="414"/>
      <c r="T89" s="414"/>
      <c r="U89" s="414" t="str">
        <f t="shared" si="2"/>
        <v/>
      </c>
      <c r="W89" s="480" t="str">
        <f t="shared" si="3"/>
        <v/>
      </c>
    </row>
    <row r="90" spans="1:23" ht="18" customHeight="1" x14ac:dyDescent="0.25">
      <c r="A90" s="415"/>
      <c r="B90" s="415"/>
      <c r="C90" s="415"/>
      <c r="D90" s="414"/>
      <c r="E90" s="414"/>
      <c r="F90" s="414"/>
      <c r="G90" s="414"/>
      <c r="H90" s="414"/>
      <c r="I90" s="414"/>
      <c r="J90" s="414"/>
      <c r="K90" s="414"/>
      <c r="L90" s="414"/>
      <c r="M90" s="414"/>
      <c r="N90" s="414"/>
      <c r="O90" s="414"/>
      <c r="P90" s="414"/>
      <c r="Q90" s="414"/>
      <c r="R90" s="414"/>
      <c r="S90" s="414"/>
      <c r="T90" s="414"/>
      <c r="U90" s="414" t="str">
        <f t="shared" si="2"/>
        <v/>
      </c>
      <c r="W90" s="480" t="str">
        <f t="shared" si="3"/>
        <v/>
      </c>
    </row>
    <row r="91" spans="1:23" ht="18" customHeight="1" x14ac:dyDescent="0.25">
      <c r="A91" s="415"/>
      <c r="B91" s="415"/>
      <c r="C91" s="415"/>
      <c r="D91" s="414"/>
      <c r="E91" s="414"/>
      <c r="F91" s="414"/>
      <c r="G91" s="414"/>
      <c r="H91" s="414"/>
      <c r="I91" s="414"/>
      <c r="J91" s="414"/>
      <c r="K91" s="414"/>
      <c r="L91" s="414"/>
      <c r="M91" s="414"/>
      <c r="N91" s="414"/>
      <c r="O91" s="414"/>
      <c r="P91" s="414"/>
      <c r="Q91" s="414"/>
      <c r="R91" s="414"/>
      <c r="S91" s="414"/>
      <c r="T91" s="414"/>
      <c r="U91" s="414" t="str">
        <f t="shared" si="2"/>
        <v/>
      </c>
      <c r="W91" s="480" t="str">
        <f t="shared" si="3"/>
        <v/>
      </c>
    </row>
    <row r="92" spans="1:23" ht="18" customHeight="1" x14ac:dyDescent="0.25">
      <c r="A92" s="415"/>
      <c r="B92" s="415"/>
      <c r="C92" s="415"/>
      <c r="D92" s="414"/>
      <c r="E92" s="414"/>
      <c r="F92" s="414"/>
      <c r="G92" s="414"/>
      <c r="H92" s="414"/>
      <c r="I92" s="414"/>
      <c r="J92" s="414"/>
      <c r="K92" s="414"/>
      <c r="L92" s="414"/>
      <c r="M92" s="414"/>
      <c r="N92" s="414"/>
      <c r="O92" s="414"/>
      <c r="P92" s="414"/>
      <c r="Q92" s="414"/>
      <c r="R92" s="414"/>
      <c r="S92" s="414"/>
      <c r="T92" s="414"/>
      <c r="U92" s="414" t="str">
        <f t="shared" si="2"/>
        <v/>
      </c>
      <c r="W92" s="480" t="str">
        <f t="shared" si="3"/>
        <v/>
      </c>
    </row>
    <row r="93" spans="1:23" ht="18" customHeight="1" x14ac:dyDescent="0.25">
      <c r="A93" s="415"/>
      <c r="B93" s="415"/>
      <c r="C93" s="415"/>
      <c r="D93" s="414"/>
      <c r="E93" s="414"/>
      <c r="F93" s="414"/>
      <c r="G93" s="414"/>
      <c r="H93" s="414"/>
      <c r="I93" s="414"/>
      <c r="J93" s="414"/>
      <c r="K93" s="414"/>
      <c r="L93" s="414"/>
      <c r="M93" s="414"/>
      <c r="N93" s="414"/>
      <c r="O93" s="414"/>
      <c r="P93" s="414"/>
      <c r="Q93" s="414"/>
      <c r="R93" s="414"/>
      <c r="S93" s="414"/>
      <c r="T93" s="414"/>
      <c r="U93" s="414" t="str">
        <f t="shared" si="2"/>
        <v/>
      </c>
      <c r="W93" s="480" t="str">
        <f t="shared" si="3"/>
        <v/>
      </c>
    </row>
    <row r="94" spans="1:23" ht="18" customHeight="1" x14ac:dyDescent="0.25">
      <c r="A94" s="415"/>
      <c r="B94" s="415"/>
      <c r="C94" s="415"/>
      <c r="D94" s="414"/>
      <c r="E94" s="414"/>
      <c r="F94" s="414"/>
      <c r="G94" s="414"/>
      <c r="H94" s="414"/>
      <c r="I94" s="414"/>
      <c r="J94" s="414"/>
      <c r="K94" s="414"/>
      <c r="L94" s="414"/>
      <c r="M94" s="414"/>
      <c r="N94" s="414"/>
      <c r="O94" s="414"/>
      <c r="P94" s="414"/>
      <c r="Q94" s="414"/>
      <c r="R94" s="414"/>
      <c r="S94" s="414"/>
      <c r="T94" s="414"/>
      <c r="U94" s="414" t="str">
        <f t="shared" si="2"/>
        <v/>
      </c>
      <c r="W94" s="480" t="str">
        <f t="shared" si="3"/>
        <v/>
      </c>
    </row>
    <row r="95" spans="1:23" ht="18" customHeight="1" x14ac:dyDescent="0.25">
      <c r="A95" s="415"/>
      <c r="B95" s="415"/>
      <c r="C95" s="415"/>
      <c r="D95" s="414"/>
      <c r="E95" s="414"/>
      <c r="F95" s="414"/>
      <c r="G95" s="414"/>
      <c r="H95" s="414"/>
      <c r="I95" s="414"/>
      <c r="J95" s="414"/>
      <c r="K95" s="414"/>
      <c r="L95" s="414"/>
      <c r="M95" s="414"/>
      <c r="N95" s="414"/>
      <c r="O95" s="414"/>
      <c r="P95" s="414"/>
      <c r="Q95" s="414"/>
      <c r="R95" s="414"/>
      <c r="S95" s="414"/>
      <c r="T95" s="414"/>
      <c r="U95" s="414" t="str">
        <f t="shared" si="2"/>
        <v/>
      </c>
      <c r="W95" s="480" t="str">
        <f t="shared" si="3"/>
        <v/>
      </c>
    </row>
    <row r="96" spans="1:23" ht="18" customHeight="1" x14ac:dyDescent="0.25">
      <c r="A96" s="415"/>
      <c r="B96" s="415"/>
      <c r="C96" s="415"/>
      <c r="D96" s="414"/>
      <c r="E96" s="414"/>
      <c r="F96" s="414"/>
      <c r="G96" s="414"/>
      <c r="H96" s="414"/>
      <c r="I96" s="414"/>
      <c r="J96" s="414"/>
      <c r="K96" s="414"/>
      <c r="L96" s="414"/>
      <c r="M96" s="414"/>
      <c r="N96" s="414"/>
      <c r="O96" s="414"/>
      <c r="P96" s="414"/>
      <c r="Q96" s="414"/>
      <c r="R96" s="414"/>
      <c r="S96" s="414"/>
      <c r="T96" s="414"/>
      <c r="U96" s="414" t="str">
        <f t="shared" si="2"/>
        <v/>
      </c>
      <c r="W96" s="480" t="str">
        <f t="shared" si="3"/>
        <v/>
      </c>
    </row>
    <row r="97" spans="1:23" ht="18" customHeight="1" x14ac:dyDescent="0.25">
      <c r="A97" s="415"/>
      <c r="B97" s="415"/>
      <c r="C97" s="415"/>
      <c r="D97" s="414"/>
      <c r="E97" s="414"/>
      <c r="F97" s="414"/>
      <c r="G97" s="414"/>
      <c r="H97" s="414"/>
      <c r="I97" s="414"/>
      <c r="J97" s="414"/>
      <c r="K97" s="414"/>
      <c r="L97" s="414"/>
      <c r="M97" s="414"/>
      <c r="N97" s="414"/>
      <c r="O97" s="414"/>
      <c r="P97" s="414"/>
      <c r="Q97" s="414"/>
      <c r="R97" s="414"/>
      <c r="S97" s="414"/>
      <c r="T97" s="414"/>
      <c r="U97" s="414" t="str">
        <f t="shared" si="2"/>
        <v/>
      </c>
      <c r="W97" s="480" t="str">
        <f t="shared" si="3"/>
        <v/>
      </c>
    </row>
    <row r="98" spans="1:23" ht="18" customHeight="1" x14ac:dyDescent="0.25">
      <c r="A98" s="415"/>
      <c r="B98" s="415"/>
      <c r="C98" s="415"/>
      <c r="D98" s="414"/>
      <c r="E98" s="414"/>
      <c r="F98" s="414"/>
      <c r="G98" s="414"/>
      <c r="H98" s="414"/>
      <c r="I98" s="414"/>
      <c r="J98" s="414"/>
      <c r="K98" s="414"/>
      <c r="L98" s="414"/>
      <c r="M98" s="414"/>
      <c r="N98" s="414"/>
      <c r="O98" s="414"/>
      <c r="P98" s="414"/>
      <c r="Q98" s="414"/>
      <c r="R98" s="414"/>
      <c r="S98" s="414"/>
      <c r="T98" s="414"/>
      <c r="U98" s="414" t="str">
        <f t="shared" si="2"/>
        <v/>
      </c>
      <c r="W98" s="480" t="str">
        <f t="shared" si="3"/>
        <v/>
      </c>
    </row>
    <row r="99" spans="1:23" ht="18" customHeight="1" x14ac:dyDescent="0.25">
      <c r="A99" s="415"/>
      <c r="B99" s="415"/>
      <c r="C99" s="415"/>
      <c r="D99" s="414"/>
      <c r="E99" s="414"/>
      <c r="F99" s="414"/>
      <c r="G99" s="414"/>
      <c r="H99" s="414"/>
      <c r="I99" s="414"/>
      <c r="J99" s="414"/>
      <c r="K99" s="414"/>
      <c r="L99" s="414"/>
      <c r="M99" s="414"/>
      <c r="N99" s="414"/>
      <c r="O99" s="414"/>
      <c r="P99" s="414"/>
      <c r="Q99" s="414"/>
      <c r="R99" s="414"/>
      <c r="S99" s="414"/>
      <c r="T99" s="414"/>
      <c r="U99" s="414" t="str">
        <f t="shared" si="2"/>
        <v/>
      </c>
      <c r="W99" s="480" t="str">
        <f t="shared" si="3"/>
        <v/>
      </c>
    </row>
    <row r="100" spans="1:23" ht="18" customHeight="1" x14ac:dyDescent="0.25">
      <c r="A100" s="415"/>
      <c r="B100" s="415"/>
      <c r="C100" s="415"/>
      <c r="D100" s="414"/>
      <c r="E100" s="414"/>
      <c r="F100" s="414"/>
      <c r="G100" s="414"/>
      <c r="H100" s="414"/>
      <c r="I100" s="414"/>
      <c r="J100" s="414"/>
      <c r="K100" s="414"/>
      <c r="L100" s="414"/>
      <c r="M100" s="414"/>
      <c r="N100" s="414"/>
      <c r="O100" s="414"/>
      <c r="P100" s="414"/>
      <c r="Q100" s="414"/>
      <c r="R100" s="414"/>
      <c r="S100" s="414"/>
      <c r="T100" s="414"/>
      <c r="U100" s="414" t="str">
        <f t="shared" si="2"/>
        <v/>
      </c>
      <c r="W100" s="480" t="str">
        <f t="shared" si="3"/>
        <v/>
      </c>
    </row>
    <row r="101" spans="1:23" ht="18" customHeight="1" x14ac:dyDescent="0.25">
      <c r="A101" s="415"/>
      <c r="B101" s="415"/>
      <c r="C101" s="415"/>
      <c r="D101" s="414"/>
      <c r="E101" s="414"/>
      <c r="F101" s="414"/>
      <c r="G101" s="414"/>
      <c r="H101" s="414"/>
      <c r="I101" s="414"/>
      <c r="J101" s="414"/>
      <c r="K101" s="414"/>
      <c r="L101" s="414"/>
      <c r="M101" s="414"/>
      <c r="N101" s="414"/>
      <c r="O101" s="414"/>
      <c r="P101" s="414"/>
      <c r="Q101" s="414"/>
      <c r="R101" s="414"/>
      <c r="S101" s="414"/>
      <c r="T101" s="414"/>
      <c r="U101" s="414" t="str">
        <f t="shared" si="2"/>
        <v/>
      </c>
      <c r="W101" s="480" t="str">
        <f t="shared" si="3"/>
        <v/>
      </c>
    </row>
    <row r="102" spans="1:23" ht="18" customHeight="1" x14ac:dyDescent="0.25">
      <c r="A102" s="415"/>
      <c r="B102" s="415"/>
      <c r="C102" s="415"/>
      <c r="D102" s="414"/>
      <c r="E102" s="414"/>
      <c r="F102" s="414"/>
      <c r="G102" s="414"/>
      <c r="H102" s="414"/>
      <c r="I102" s="414"/>
      <c r="J102" s="414"/>
      <c r="K102" s="414"/>
      <c r="L102" s="414"/>
      <c r="M102" s="414"/>
      <c r="N102" s="414"/>
      <c r="O102" s="414"/>
      <c r="P102" s="414"/>
      <c r="Q102" s="414"/>
      <c r="R102" s="414"/>
      <c r="S102" s="414"/>
      <c r="T102" s="414"/>
      <c r="U102" s="414" t="str">
        <f t="shared" si="2"/>
        <v/>
      </c>
      <c r="W102" s="480" t="str">
        <f t="shared" si="3"/>
        <v/>
      </c>
    </row>
    <row r="103" spans="1:23" ht="18" customHeight="1" x14ac:dyDescent="0.25">
      <c r="A103" s="415"/>
      <c r="B103" s="415"/>
      <c r="C103" s="415"/>
      <c r="D103" s="414"/>
      <c r="E103" s="414"/>
      <c r="F103" s="414"/>
      <c r="G103" s="414"/>
      <c r="H103" s="414"/>
      <c r="I103" s="414"/>
      <c r="J103" s="414"/>
      <c r="K103" s="414"/>
      <c r="L103" s="414"/>
      <c r="M103" s="414"/>
      <c r="N103" s="414"/>
      <c r="O103" s="414"/>
      <c r="P103" s="414"/>
      <c r="Q103" s="414"/>
      <c r="R103" s="414"/>
      <c r="S103" s="414"/>
      <c r="T103" s="414"/>
      <c r="U103" s="414" t="str">
        <f t="shared" si="2"/>
        <v/>
      </c>
      <c r="W103" s="480" t="str">
        <f t="shared" si="3"/>
        <v/>
      </c>
    </row>
    <row r="104" spans="1:23" ht="18" customHeight="1" x14ac:dyDescent="0.25">
      <c r="A104" s="415"/>
      <c r="B104" s="415"/>
      <c r="C104" s="415"/>
      <c r="D104" s="414"/>
      <c r="E104" s="414"/>
      <c r="F104" s="414"/>
      <c r="G104" s="414"/>
      <c r="H104" s="414"/>
      <c r="I104" s="414"/>
      <c r="J104" s="414"/>
      <c r="K104" s="414"/>
      <c r="L104" s="414"/>
      <c r="M104" s="414"/>
      <c r="N104" s="414"/>
      <c r="O104" s="414"/>
      <c r="P104" s="414"/>
      <c r="Q104" s="414"/>
      <c r="R104" s="414"/>
      <c r="S104" s="414"/>
      <c r="T104" s="414"/>
      <c r="U104" s="414" t="str">
        <f t="shared" si="2"/>
        <v/>
      </c>
      <c r="W104" s="480" t="str">
        <f t="shared" si="3"/>
        <v/>
      </c>
    </row>
    <row r="105" spans="1:23" ht="18" customHeight="1" x14ac:dyDescent="0.25">
      <c r="A105" s="415"/>
      <c r="B105" s="415"/>
      <c r="C105" s="415"/>
      <c r="D105" s="414"/>
      <c r="E105" s="414"/>
      <c r="F105" s="414"/>
      <c r="G105" s="414"/>
      <c r="H105" s="414"/>
      <c r="I105" s="414"/>
      <c r="J105" s="414"/>
      <c r="K105" s="414"/>
      <c r="L105" s="414"/>
      <c r="M105" s="414"/>
      <c r="N105" s="414"/>
      <c r="O105" s="414"/>
      <c r="P105" s="414"/>
      <c r="Q105" s="414"/>
      <c r="R105" s="414"/>
      <c r="S105" s="414"/>
      <c r="T105" s="414"/>
      <c r="U105" s="414" t="str">
        <f t="shared" si="2"/>
        <v/>
      </c>
      <c r="W105" s="480" t="str">
        <f t="shared" si="3"/>
        <v/>
      </c>
    </row>
    <row r="106" spans="1:23" ht="18" customHeight="1" x14ac:dyDescent="0.25">
      <c r="A106" s="415"/>
      <c r="B106" s="415"/>
      <c r="C106" s="415"/>
      <c r="D106" s="414"/>
      <c r="E106" s="414"/>
      <c r="F106" s="414"/>
      <c r="G106" s="414"/>
      <c r="H106" s="414"/>
      <c r="I106" s="414"/>
      <c r="J106" s="414"/>
      <c r="K106" s="414"/>
      <c r="L106" s="414"/>
      <c r="M106" s="414"/>
      <c r="N106" s="414"/>
      <c r="O106" s="414"/>
      <c r="P106" s="414"/>
      <c r="Q106" s="414"/>
      <c r="R106" s="414"/>
      <c r="S106" s="414"/>
      <c r="T106" s="414"/>
      <c r="U106" s="414" t="str">
        <f t="shared" si="2"/>
        <v/>
      </c>
      <c r="W106" s="480" t="str">
        <f t="shared" si="3"/>
        <v/>
      </c>
    </row>
    <row r="107" spans="1:23" ht="18" customHeight="1" x14ac:dyDescent="0.25">
      <c r="A107" s="415"/>
      <c r="B107" s="415"/>
      <c r="C107" s="415"/>
      <c r="D107" s="414"/>
      <c r="E107" s="414"/>
      <c r="F107" s="414"/>
      <c r="G107" s="414"/>
      <c r="H107" s="414"/>
      <c r="I107" s="414"/>
      <c r="J107" s="414"/>
      <c r="K107" s="414"/>
      <c r="L107" s="414"/>
      <c r="M107" s="414"/>
      <c r="N107" s="414"/>
      <c r="O107" s="414"/>
      <c r="P107" s="414"/>
      <c r="Q107" s="414"/>
      <c r="R107" s="414"/>
      <c r="S107" s="414"/>
      <c r="T107" s="414"/>
      <c r="U107" s="414" t="str">
        <f t="shared" si="2"/>
        <v/>
      </c>
      <c r="W107" s="480" t="str">
        <f t="shared" si="3"/>
        <v/>
      </c>
    </row>
    <row r="108" spans="1:23" ht="18" customHeight="1" x14ac:dyDescent="0.25">
      <c r="A108" s="415"/>
      <c r="B108" s="415"/>
      <c r="C108" s="415"/>
      <c r="D108" s="414"/>
      <c r="E108" s="414"/>
      <c r="F108" s="414"/>
      <c r="G108" s="414"/>
      <c r="H108" s="414"/>
      <c r="I108" s="414"/>
      <c r="J108" s="414"/>
      <c r="K108" s="414"/>
      <c r="L108" s="414"/>
      <c r="M108" s="414"/>
      <c r="N108" s="414"/>
      <c r="O108" s="414"/>
      <c r="P108" s="414"/>
      <c r="Q108" s="414"/>
      <c r="R108" s="414"/>
      <c r="S108" s="414"/>
      <c r="T108" s="414"/>
      <c r="U108" s="414" t="str">
        <f t="shared" si="2"/>
        <v/>
      </c>
      <c r="W108" s="480" t="str">
        <f t="shared" si="3"/>
        <v/>
      </c>
    </row>
    <row r="109" spans="1:23" ht="18" customHeight="1" x14ac:dyDescent="0.25">
      <c r="A109" s="415"/>
      <c r="B109" s="415"/>
      <c r="C109" s="415"/>
      <c r="D109" s="414"/>
      <c r="E109" s="414"/>
      <c r="F109" s="414"/>
      <c r="G109" s="414"/>
      <c r="H109" s="414"/>
      <c r="I109" s="414"/>
      <c r="J109" s="414"/>
      <c r="K109" s="414"/>
      <c r="L109" s="414"/>
      <c r="M109" s="414"/>
      <c r="N109" s="414"/>
      <c r="O109" s="414"/>
      <c r="P109" s="414"/>
      <c r="Q109" s="414"/>
      <c r="R109" s="414"/>
      <c r="S109" s="414"/>
      <c r="T109" s="414"/>
      <c r="U109" s="414" t="str">
        <f t="shared" si="2"/>
        <v/>
      </c>
      <c r="W109" s="480" t="str">
        <f t="shared" si="3"/>
        <v/>
      </c>
    </row>
    <row r="110" spans="1:23" ht="18" customHeight="1" x14ac:dyDescent="0.25">
      <c r="A110" s="415"/>
      <c r="B110" s="415"/>
      <c r="C110" s="415"/>
      <c r="D110" s="414"/>
      <c r="E110" s="414"/>
      <c r="F110" s="414"/>
      <c r="G110" s="414"/>
      <c r="H110" s="414"/>
      <c r="I110" s="414"/>
      <c r="J110" s="414"/>
      <c r="K110" s="414"/>
      <c r="L110" s="414"/>
      <c r="M110" s="414"/>
      <c r="N110" s="414"/>
      <c r="O110" s="414"/>
      <c r="P110" s="414"/>
      <c r="Q110" s="414"/>
      <c r="R110" s="414"/>
      <c r="S110" s="414"/>
      <c r="T110" s="414"/>
      <c r="U110" s="414" t="str">
        <f t="shared" si="2"/>
        <v/>
      </c>
      <c r="W110" s="480" t="str">
        <f t="shared" si="3"/>
        <v/>
      </c>
    </row>
    <row r="111" spans="1:23" ht="18" customHeight="1" x14ac:dyDescent="0.25">
      <c r="A111" s="415"/>
      <c r="B111" s="415"/>
      <c r="C111" s="415"/>
      <c r="D111" s="414"/>
      <c r="E111" s="414"/>
      <c r="F111" s="414"/>
      <c r="G111" s="414"/>
      <c r="H111" s="414"/>
      <c r="I111" s="414"/>
      <c r="J111" s="414"/>
      <c r="K111" s="414"/>
      <c r="L111" s="414"/>
      <c r="M111" s="414"/>
      <c r="N111" s="414"/>
      <c r="O111" s="414"/>
      <c r="P111" s="414"/>
      <c r="Q111" s="414"/>
      <c r="R111" s="414"/>
      <c r="S111" s="414"/>
      <c r="T111" s="414"/>
      <c r="U111" s="414" t="str">
        <f t="shared" si="2"/>
        <v/>
      </c>
      <c r="W111" s="480" t="str">
        <f t="shared" si="3"/>
        <v/>
      </c>
    </row>
    <row r="112" spans="1:23" ht="18" customHeight="1" x14ac:dyDescent="0.25">
      <c r="A112" s="415"/>
      <c r="B112" s="415"/>
      <c r="C112" s="415"/>
      <c r="D112" s="414"/>
      <c r="E112" s="414"/>
      <c r="F112" s="414"/>
      <c r="G112" s="414"/>
      <c r="H112" s="414"/>
      <c r="I112" s="414"/>
      <c r="J112" s="414"/>
      <c r="K112" s="414"/>
      <c r="L112" s="414"/>
      <c r="M112" s="414"/>
      <c r="N112" s="414"/>
      <c r="O112" s="414"/>
      <c r="P112" s="414"/>
      <c r="Q112" s="414"/>
      <c r="R112" s="414"/>
      <c r="S112" s="414"/>
      <c r="T112" s="414"/>
      <c r="U112" s="414" t="str">
        <f t="shared" si="2"/>
        <v/>
      </c>
      <c r="W112" s="480" t="str">
        <f t="shared" si="3"/>
        <v/>
      </c>
    </row>
    <row r="113" spans="1:23" ht="18" customHeight="1" x14ac:dyDescent="0.25">
      <c r="A113" s="415"/>
      <c r="B113" s="415"/>
      <c r="C113" s="415"/>
      <c r="D113" s="414"/>
      <c r="E113" s="414"/>
      <c r="F113" s="414"/>
      <c r="G113" s="414"/>
      <c r="H113" s="414"/>
      <c r="I113" s="414"/>
      <c r="J113" s="414"/>
      <c r="K113" s="414"/>
      <c r="L113" s="414"/>
      <c r="M113" s="414"/>
      <c r="N113" s="414"/>
      <c r="O113" s="414"/>
      <c r="P113" s="414"/>
      <c r="Q113" s="414"/>
      <c r="R113" s="414"/>
      <c r="S113" s="414"/>
      <c r="T113" s="414"/>
      <c r="U113" s="414" t="str">
        <f t="shared" si="2"/>
        <v/>
      </c>
      <c r="W113" s="480" t="str">
        <f t="shared" si="3"/>
        <v/>
      </c>
    </row>
    <row r="114" spans="1:23" ht="18" customHeight="1" x14ac:dyDescent="0.25">
      <c r="A114" s="415"/>
      <c r="B114" s="415"/>
      <c r="C114" s="415"/>
      <c r="D114" s="414"/>
      <c r="E114" s="414"/>
      <c r="F114" s="414"/>
      <c r="G114" s="414"/>
      <c r="H114" s="414"/>
      <c r="I114" s="414"/>
      <c r="J114" s="414"/>
      <c r="K114" s="414"/>
      <c r="L114" s="414"/>
      <c r="M114" s="414"/>
      <c r="N114" s="414"/>
      <c r="O114" s="414"/>
      <c r="P114" s="414"/>
      <c r="Q114" s="414"/>
      <c r="R114" s="414"/>
      <c r="S114" s="414"/>
      <c r="T114" s="414"/>
      <c r="U114" s="414" t="str">
        <f t="shared" si="2"/>
        <v/>
      </c>
      <c r="W114" s="480" t="str">
        <f t="shared" si="3"/>
        <v/>
      </c>
    </row>
    <row r="115" spans="1:23" ht="18" customHeight="1" x14ac:dyDescent="0.25">
      <c r="A115" s="415"/>
      <c r="B115" s="415"/>
      <c r="C115" s="415"/>
      <c r="D115" s="414"/>
      <c r="E115" s="414"/>
      <c r="F115" s="414"/>
      <c r="G115" s="414"/>
      <c r="H115" s="414"/>
      <c r="I115" s="414"/>
      <c r="J115" s="414"/>
      <c r="K115" s="414"/>
      <c r="L115" s="414"/>
      <c r="M115" s="414"/>
      <c r="N115" s="414"/>
      <c r="O115" s="414"/>
      <c r="P115" s="414"/>
      <c r="Q115" s="414"/>
      <c r="R115" s="414"/>
      <c r="S115" s="414"/>
      <c r="T115" s="414"/>
      <c r="U115" s="414" t="str">
        <f t="shared" si="2"/>
        <v/>
      </c>
      <c r="W115" s="480" t="str">
        <f t="shared" si="3"/>
        <v/>
      </c>
    </row>
    <row r="116" spans="1:23" ht="18" customHeight="1" x14ac:dyDescent="0.25">
      <c r="A116" s="415"/>
      <c r="B116" s="415"/>
      <c r="C116" s="415"/>
      <c r="D116" s="414"/>
      <c r="E116" s="414"/>
      <c r="F116" s="414"/>
      <c r="G116" s="414"/>
      <c r="H116" s="414"/>
      <c r="I116" s="414"/>
      <c r="J116" s="414"/>
      <c r="K116" s="414"/>
      <c r="L116" s="414"/>
      <c r="M116" s="414"/>
      <c r="N116" s="414"/>
      <c r="O116" s="414"/>
      <c r="P116" s="414"/>
      <c r="Q116" s="414"/>
      <c r="R116" s="414"/>
      <c r="S116" s="414"/>
      <c r="T116" s="414"/>
      <c r="U116" s="414" t="str">
        <f t="shared" si="2"/>
        <v/>
      </c>
      <c r="W116" s="480" t="str">
        <f t="shared" si="3"/>
        <v/>
      </c>
    </row>
    <row r="117" spans="1:23" ht="18" customHeight="1" x14ac:dyDescent="0.25">
      <c r="A117" s="415"/>
      <c r="B117" s="415"/>
      <c r="C117" s="415"/>
      <c r="D117" s="414"/>
      <c r="E117" s="414"/>
      <c r="F117" s="414"/>
      <c r="G117" s="414"/>
      <c r="H117" s="414"/>
      <c r="I117" s="414"/>
      <c r="J117" s="414"/>
      <c r="K117" s="414"/>
      <c r="L117" s="414"/>
      <c r="M117" s="414"/>
      <c r="N117" s="414"/>
      <c r="O117" s="414"/>
      <c r="P117" s="414"/>
      <c r="Q117" s="414"/>
      <c r="R117" s="414"/>
      <c r="S117" s="414"/>
      <c r="T117" s="414"/>
      <c r="U117" s="414" t="str">
        <f t="shared" si="2"/>
        <v/>
      </c>
      <c r="W117" s="480" t="str">
        <f t="shared" si="3"/>
        <v/>
      </c>
    </row>
    <row r="118" spans="1:23" ht="18" customHeight="1" x14ac:dyDescent="0.25">
      <c r="A118" s="415"/>
      <c r="B118" s="415"/>
      <c r="C118" s="415"/>
      <c r="D118" s="414"/>
      <c r="E118" s="414"/>
      <c r="F118" s="414"/>
      <c r="G118" s="414"/>
      <c r="H118" s="414"/>
      <c r="I118" s="414"/>
      <c r="J118" s="414"/>
      <c r="K118" s="414"/>
      <c r="L118" s="414"/>
      <c r="M118" s="414"/>
      <c r="N118" s="414"/>
      <c r="O118" s="414"/>
      <c r="P118" s="414"/>
      <c r="Q118" s="414"/>
      <c r="R118" s="414"/>
      <c r="S118" s="414"/>
      <c r="T118" s="414"/>
      <c r="U118" s="414" t="str">
        <f t="shared" si="2"/>
        <v/>
      </c>
      <c r="W118" s="480" t="str">
        <f t="shared" si="3"/>
        <v/>
      </c>
    </row>
    <row r="119" spans="1:23" ht="18" customHeight="1" x14ac:dyDescent="0.25">
      <c r="A119" s="415"/>
      <c r="B119" s="415"/>
      <c r="C119" s="415"/>
      <c r="D119" s="414"/>
      <c r="E119" s="414"/>
      <c r="F119" s="414"/>
      <c r="G119" s="414"/>
      <c r="H119" s="414"/>
      <c r="I119" s="414"/>
      <c r="J119" s="414"/>
      <c r="K119" s="414"/>
      <c r="L119" s="414"/>
      <c r="M119" s="414"/>
      <c r="N119" s="414"/>
      <c r="O119" s="414"/>
      <c r="P119" s="414"/>
      <c r="Q119" s="414"/>
      <c r="R119" s="414"/>
      <c r="S119" s="414"/>
      <c r="T119" s="414"/>
      <c r="U119" s="414" t="str">
        <f t="shared" si="2"/>
        <v/>
      </c>
      <c r="W119" s="480" t="str">
        <f t="shared" si="3"/>
        <v/>
      </c>
    </row>
    <row r="120" spans="1:23" ht="18" customHeight="1" x14ac:dyDescent="0.25">
      <c r="A120" s="415"/>
      <c r="B120" s="415"/>
      <c r="C120" s="415"/>
      <c r="D120" s="414"/>
      <c r="E120" s="414"/>
      <c r="F120" s="414"/>
      <c r="G120" s="414"/>
      <c r="H120" s="414"/>
      <c r="I120" s="414"/>
      <c r="J120" s="414"/>
      <c r="K120" s="414"/>
      <c r="L120" s="414"/>
      <c r="M120" s="414"/>
      <c r="N120" s="414"/>
      <c r="O120" s="414"/>
      <c r="P120" s="414"/>
      <c r="Q120" s="414"/>
      <c r="R120" s="414"/>
      <c r="S120" s="414"/>
      <c r="T120" s="414"/>
      <c r="U120" s="414" t="str">
        <f t="shared" si="2"/>
        <v/>
      </c>
      <c r="W120" s="480" t="str">
        <f t="shared" si="3"/>
        <v/>
      </c>
    </row>
    <row r="121" spans="1:23" ht="18" customHeight="1" x14ac:dyDescent="0.25">
      <c r="A121" s="415"/>
      <c r="B121" s="415"/>
      <c r="C121" s="415"/>
      <c r="D121" s="414"/>
      <c r="E121" s="414"/>
      <c r="F121" s="414"/>
      <c r="G121" s="414"/>
      <c r="H121" s="414"/>
      <c r="I121" s="414"/>
      <c r="J121" s="414"/>
      <c r="K121" s="414"/>
      <c r="L121" s="414"/>
      <c r="M121" s="414"/>
      <c r="N121" s="414"/>
      <c r="O121" s="414"/>
      <c r="P121" s="414"/>
      <c r="Q121" s="414"/>
      <c r="R121" s="414"/>
      <c r="S121" s="414"/>
      <c r="T121" s="414"/>
      <c r="U121" s="414" t="str">
        <f t="shared" si="2"/>
        <v/>
      </c>
      <c r="W121" s="480" t="str">
        <f t="shared" si="3"/>
        <v/>
      </c>
    </row>
    <row r="122" spans="1:23" ht="18" customHeight="1" x14ac:dyDescent="0.25">
      <c r="A122" s="415"/>
      <c r="B122" s="415"/>
      <c r="C122" s="415"/>
      <c r="D122" s="414"/>
      <c r="E122" s="414"/>
      <c r="F122" s="414"/>
      <c r="G122" s="414"/>
      <c r="H122" s="414"/>
      <c r="I122" s="414"/>
      <c r="J122" s="414"/>
      <c r="K122" s="414"/>
      <c r="L122" s="414"/>
      <c r="M122" s="414"/>
      <c r="N122" s="414"/>
      <c r="O122" s="414"/>
      <c r="P122" s="414"/>
      <c r="Q122" s="414"/>
      <c r="R122" s="414"/>
      <c r="S122" s="414"/>
      <c r="T122" s="414"/>
      <c r="U122" s="414" t="str">
        <f t="shared" si="2"/>
        <v/>
      </c>
      <c r="W122" s="480" t="str">
        <f t="shared" si="3"/>
        <v/>
      </c>
    </row>
    <row r="123" spans="1:23" ht="18" customHeight="1" x14ac:dyDescent="0.25">
      <c r="A123" s="415"/>
      <c r="B123" s="415"/>
      <c r="C123" s="415"/>
      <c r="D123" s="414"/>
      <c r="E123" s="414"/>
      <c r="F123" s="414"/>
      <c r="G123" s="414"/>
      <c r="H123" s="414"/>
      <c r="I123" s="414"/>
      <c r="J123" s="414"/>
      <c r="K123" s="414"/>
      <c r="L123" s="414"/>
      <c r="M123" s="414"/>
      <c r="N123" s="414"/>
      <c r="O123" s="414"/>
      <c r="P123" s="414"/>
      <c r="Q123" s="414"/>
      <c r="R123" s="414"/>
      <c r="S123" s="414"/>
      <c r="T123" s="414"/>
      <c r="U123" s="414" t="str">
        <f t="shared" si="2"/>
        <v/>
      </c>
      <c r="W123" s="480" t="str">
        <f t="shared" si="3"/>
        <v/>
      </c>
    </row>
    <row r="124" spans="1:23" ht="18" customHeight="1" x14ac:dyDescent="0.25">
      <c r="A124" s="415"/>
      <c r="B124" s="415"/>
      <c r="C124" s="415"/>
      <c r="D124" s="414"/>
      <c r="E124" s="414"/>
      <c r="F124" s="414"/>
      <c r="G124" s="414"/>
      <c r="H124" s="414"/>
      <c r="I124" s="414"/>
      <c r="J124" s="414"/>
      <c r="K124" s="414"/>
      <c r="L124" s="414"/>
      <c r="M124" s="414"/>
      <c r="N124" s="414"/>
      <c r="O124" s="414"/>
      <c r="P124" s="414"/>
      <c r="Q124" s="414"/>
      <c r="R124" s="414"/>
      <c r="S124" s="414"/>
      <c r="T124" s="414"/>
      <c r="U124" s="414" t="str">
        <f t="shared" si="2"/>
        <v/>
      </c>
      <c r="W124" s="480" t="str">
        <f t="shared" si="3"/>
        <v/>
      </c>
    </row>
    <row r="125" spans="1:23" ht="18" customHeight="1" x14ac:dyDescent="0.25">
      <c r="A125" s="415"/>
      <c r="B125" s="415"/>
      <c r="C125" s="415"/>
      <c r="D125" s="414"/>
      <c r="E125" s="414"/>
      <c r="F125" s="414"/>
      <c r="G125" s="414"/>
      <c r="H125" s="414"/>
      <c r="I125" s="414"/>
      <c r="J125" s="414"/>
      <c r="K125" s="414"/>
      <c r="L125" s="414"/>
      <c r="M125" s="414"/>
      <c r="N125" s="414"/>
      <c r="O125" s="414"/>
      <c r="P125" s="414"/>
      <c r="Q125" s="414"/>
      <c r="R125" s="414"/>
      <c r="S125" s="414"/>
      <c r="T125" s="414"/>
      <c r="U125" s="414" t="str">
        <f t="shared" si="2"/>
        <v/>
      </c>
      <c r="W125" s="480" t="str">
        <f t="shared" si="3"/>
        <v/>
      </c>
    </row>
    <row r="126" spans="1:23" ht="18" customHeight="1" x14ac:dyDescent="0.25">
      <c r="A126" s="415"/>
      <c r="B126" s="415"/>
      <c r="C126" s="415"/>
      <c r="D126" s="414"/>
      <c r="E126" s="414"/>
      <c r="F126" s="414"/>
      <c r="G126" s="414"/>
      <c r="H126" s="414"/>
      <c r="I126" s="414"/>
      <c r="J126" s="414"/>
      <c r="K126" s="414"/>
      <c r="L126" s="414"/>
      <c r="M126" s="414"/>
      <c r="N126" s="414"/>
      <c r="O126" s="414"/>
      <c r="P126" s="414"/>
      <c r="Q126" s="414"/>
      <c r="R126" s="414"/>
      <c r="S126" s="414"/>
      <c r="T126" s="414"/>
      <c r="U126" s="414" t="str">
        <f t="shared" si="2"/>
        <v/>
      </c>
      <c r="W126" s="480" t="str">
        <f t="shared" si="3"/>
        <v/>
      </c>
    </row>
    <row r="127" spans="1:23" ht="18" customHeight="1" x14ac:dyDescent="0.25">
      <c r="A127" s="415"/>
      <c r="B127" s="415"/>
      <c r="C127" s="415"/>
      <c r="D127" s="414"/>
      <c r="E127" s="414"/>
      <c r="F127" s="414"/>
      <c r="G127" s="414"/>
      <c r="H127" s="414"/>
      <c r="I127" s="414"/>
      <c r="J127" s="414"/>
      <c r="K127" s="414"/>
      <c r="L127" s="414"/>
      <c r="M127" s="414"/>
      <c r="N127" s="414"/>
      <c r="O127" s="414"/>
      <c r="P127" s="414"/>
      <c r="Q127" s="414"/>
      <c r="R127" s="414"/>
      <c r="S127" s="414"/>
      <c r="T127" s="414"/>
      <c r="U127" s="414" t="str">
        <f t="shared" si="2"/>
        <v/>
      </c>
      <c r="W127" s="480" t="str">
        <f t="shared" si="3"/>
        <v/>
      </c>
    </row>
    <row r="128" spans="1:23" ht="18" customHeight="1" x14ac:dyDescent="0.25">
      <c r="A128" s="415"/>
      <c r="B128" s="415"/>
      <c r="C128" s="415"/>
      <c r="D128" s="414"/>
      <c r="E128" s="414"/>
      <c r="F128" s="414"/>
      <c r="G128" s="414"/>
      <c r="H128" s="414"/>
      <c r="I128" s="414"/>
      <c r="J128" s="414"/>
      <c r="K128" s="414"/>
      <c r="L128" s="414"/>
      <c r="M128" s="414"/>
      <c r="N128" s="414"/>
      <c r="O128" s="414"/>
      <c r="P128" s="414"/>
      <c r="Q128" s="414"/>
      <c r="R128" s="414"/>
      <c r="S128" s="414"/>
      <c r="T128" s="414"/>
      <c r="U128" s="414" t="str">
        <f t="shared" si="2"/>
        <v/>
      </c>
      <c r="W128" s="480" t="str">
        <f t="shared" si="3"/>
        <v/>
      </c>
    </row>
    <row r="129" spans="1:23" ht="18" customHeight="1" x14ac:dyDescent="0.25">
      <c r="A129" s="415"/>
      <c r="B129" s="415"/>
      <c r="C129" s="415"/>
      <c r="D129" s="414"/>
      <c r="E129" s="414"/>
      <c r="F129" s="414"/>
      <c r="G129" s="414"/>
      <c r="H129" s="414"/>
      <c r="I129" s="414"/>
      <c r="J129" s="414"/>
      <c r="K129" s="414"/>
      <c r="L129" s="414"/>
      <c r="M129" s="414"/>
      <c r="N129" s="414"/>
      <c r="O129" s="414"/>
      <c r="P129" s="414"/>
      <c r="Q129" s="414"/>
      <c r="R129" s="414"/>
      <c r="S129" s="414"/>
      <c r="T129" s="414"/>
      <c r="U129" s="414" t="str">
        <f t="shared" si="2"/>
        <v/>
      </c>
      <c r="W129" s="480" t="str">
        <f t="shared" si="3"/>
        <v/>
      </c>
    </row>
    <row r="130" spans="1:23" ht="18" customHeight="1" x14ac:dyDescent="0.25">
      <c r="A130" s="415"/>
      <c r="B130" s="415"/>
      <c r="C130" s="415"/>
      <c r="D130" s="414"/>
      <c r="E130" s="414"/>
      <c r="F130" s="414"/>
      <c r="G130" s="414"/>
      <c r="H130" s="414"/>
      <c r="I130" s="414"/>
      <c r="J130" s="414"/>
      <c r="K130" s="414"/>
      <c r="L130" s="414"/>
      <c r="M130" s="414"/>
      <c r="N130" s="414"/>
      <c r="O130" s="414"/>
      <c r="P130" s="414"/>
      <c r="Q130" s="414"/>
      <c r="R130" s="414"/>
      <c r="S130" s="414"/>
      <c r="T130" s="414"/>
      <c r="U130" s="414" t="str">
        <f t="shared" si="2"/>
        <v/>
      </c>
      <c r="W130" s="480" t="str">
        <f t="shared" si="3"/>
        <v/>
      </c>
    </row>
    <row r="131" spans="1:23" ht="18" customHeight="1" x14ac:dyDescent="0.25">
      <c r="A131" s="415"/>
      <c r="B131" s="415"/>
      <c r="C131" s="415"/>
      <c r="D131" s="414"/>
      <c r="E131" s="414"/>
      <c r="F131" s="414"/>
      <c r="G131" s="414"/>
      <c r="H131" s="414"/>
      <c r="I131" s="414"/>
      <c r="J131" s="414"/>
      <c r="K131" s="414"/>
      <c r="L131" s="414"/>
      <c r="M131" s="414"/>
      <c r="N131" s="414"/>
      <c r="O131" s="414"/>
      <c r="P131" s="414"/>
      <c r="Q131" s="414"/>
      <c r="R131" s="414"/>
      <c r="S131" s="414"/>
      <c r="T131" s="414"/>
      <c r="U131" s="414" t="str">
        <f t="shared" si="2"/>
        <v/>
      </c>
      <c r="W131" s="480" t="str">
        <f t="shared" si="3"/>
        <v/>
      </c>
    </row>
    <row r="132" spans="1:23" ht="18" customHeight="1" x14ac:dyDescent="0.25">
      <c r="A132" s="415"/>
      <c r="B132" s="415"/>
      <c r="C132" s="415"/>
      <c r="D132" s="414"/>
      <c r="E132" s="414"/>
      <c r="F132" s="414"/>
      <c r="G132" s="414"/>
      <c r="H132" s="414"/>
      <c r="I132" s="414"/>
      <c r="J132" s="414"/>
      <c r="K132" s="414"/>
      <c r="L132" s="414"/>
      <c r="M132" s="414"/>
      <c r="N132" s="414"/>
      <c r="O132" s="414"/>
      <c r="P132" s="414"/>
      <c r="Q132" s="414"/>
      <c r="R132" s="414"/>
      <c r="S132" s="414"/>
      <c r="T132" s="414"/>
      <c r="U132" s="414" t="str">
        <f t="shared" si="2"/>
        <v/>
      </c>
      <c r="W132" s="480" t="str">
        <f t="shared" si="3"/>
        <v/>
      </c>
    </row>
    <row r="133" spans="1:23" ht="18" customHeight="1" x14ac:dyDescent="0.25">
      <c r="A133" s="415"/>
      <c r="B133" s="415"/>
      <c r="C133" s="415"/>
      <c r="D133" s="414"/>
      <c r="E133" s="414"/>
      <c r="F133" s="414"/>
      <c r="G133" s="414"/>
      <c r="H133" s="414"/>
      <c r="I133" s="414"/>
      <c r="J133" s="414"/>
      <c r="K133" s="414"/>
      <c r="L133" s="414"/>
      <c r="M133" s="414"/>
      <c r="N133" s="414"/>
      <c r="O133" s="414"/>
      <c r="P133" s="414"/>
      <c r="Q133" s="414"/>
      <c r="R133" s="414"/>
      <c r="S133" s="414"/>
      <c r="T133" s="414"/>
      <c r="U133" s="414" t="str">
        <f t="shared" si="2"/>
        <v/>
      </c>
      <c r="W133" s="480" t="str">
        <f t="shared" si="3"/>
        <v/>
      </c>
    </row>
    <row r="134" spans="1:23" ht="18" customHeight="1" x14ac:dyDescent="0.25">
      <c r="A134" s="415"/>
      <c r="B134" s="415"/>
      <c r="C134" s="415"/>
      <c r="D134" s="414"/>
      <c r="E134" s="414"/>
      <c r="F134" s="414"/>
      <c r="G134" s="414"/>
      <c r="H134" s="414"/>
      <c r="I134" s="414"/>
      <c r="J134" s="414"/>
      <c r="K134" s="414"/>
      <c r="L134" s="414"/>
      <c r="M134" s="414"/>
      <c r="N134" s="414"/>
      <c r="O134" s="414"/>
      <c r="P134" s="414"/>
      <c r="Q134" s="414"/>
      <c r="R134" s="414"/>
      <c r="S134" s="414"/>
      <c r="T134" s="414"/>
      <c r="U134" s="414" t="str">
        <f t="shared" si="2"/>
        <v/>
      </c>
      <c r="W134" s="480" t="str">
        <f t="shared" si="3"/>
        <v/>
      </c>
    </row>
    <row r="135" spans="1:23" ht="18" customHeight="1" x14ac:dyDescent="0.25">
      <c r="A135" s="415"/>
      <c r="B135" s="415"/>
      <c r="C135" s="415"/>
      <c r="D135" s="414"/>
      <c r="E135" s="414"/>
      <c r="F135" s="414"/>
      <c r="G135" s="414"/>
      <c r="H135" s="414"/>
      <c r="I135" s="414"/>
      <c r="J135" s="414"/>
      <c r="K135" s="414"/>
      <c r="L135" s="414"/>
      <c r="M135" s="414"/>
      <c r="N135" s="414"/>
      <c r="O135" s="414"/>
      <c r="P135" s="414"/>
      <c r="Q135" s="414"/>
      <c r="R135" s="414"/>
      <c r="S135" s="414"/>
      <c r="T135" s="414"/>
      <c r="U135" s="414" t="str">
        <f t="shared" si="2"/>
        <v/>
      </c>
      <c r="W135" s="480" t="str">
        <f t="shared" si="3"/>
        <v/>
      </c>
    </row>
    <row r="136" spans="1:23" ht="18" customHeight="1" x14ac:dyDescent="0.25">
      <c r="A136" s="415"/>
      <c r="B136" s="415"/>
      <c r="C136" s="415"/>
      <c r="D136" s="414"/>
      <c r="E136" s="414"/>
      <c r="F136" s="414"/>
      <c r="G136" s="414"/>
      <c r="H136" s="414"/>
      <c r="I136" s="414"/>
      <c r="J136" s="414"/>
      <c r="K136" s="414"/>
      <c r="L136" s="414"/>
      <c r="M136" s="414"/>
      <c r="N136" s="414"/>
      <c r="O136" s="414"/>
      <c r="P136" s="414"/>
      <c r="Q136" s="414"/>
      <c r="R136" s="414"/>
      <c r="S136" s="414"/>
      <c r="T136" s="414"/>
      <c r="U136" s="414" t="str">
        <f t="shared" si="2"/>
        <v/>
      </c>
      <c r="W136" s="480" t="str">
        <f t="shared" si="3"/>
        <v/>
      </c>
    </row>
    <row r="137" spans="1:23" ht="18" customHeight="1" x14ac:dyDescent="0.25">
      <c r="A137" s="415"/>
      <c r="B137" s="415"/>
      <c r="C137" s="415"/>
      <c r="D137" s="414"/>
      <c r="E137" s="414"/>
      <c r="F137" s="414"/>
      <c r="G137" s="414"/>
      <c r="H137" s="414"/>
      <c r="I137" s="414"/>
      <c r="J137" s="414"/>
      <c r="K137" s="414"/>
      <c r="L137" s="414"/>
      <c r="M137" s="414"/>
      <c r="N137" s="414"/>
      <c r="O137" s="414"/>
      <c r="P137" s="414"/>
      <c r="Q137" s="414"/>
      <c r="R137" s="414"/>
      <c r="S137" s="414"/>
      <c r="T137" s="414"/>
      <c r="U137" s="414" t="str">
        <f t="shared" si="2"/>
        <v/>
      </c>
      <c r="W137" s="480" t="str">
        <f t="shared" si="3"/>
        <v/>
      </c>
    </row>
    <row r="138" spans="1:23" ht="18" customHeight="1" x14ac:dyDescent="0.25">
      <c r="A138" s="415"/>
      <c r="B138" s="415"/>
      <c r="C138" s="415"/>
      <c r="D138" s="414"/>
      <c r="E138" s="414"/>
      <c r="F138" s="414"/>
      <c r="G138" s="414"/>
      <c r="H138" s="414"/>
      <c r="I138" s="414"/>
      <c r="J138" s="414"/>
      <c r="K138" s="414"/>
      <c r="L138" s="414"/>
      <c r="M138" s="414"/>
      <c r="N138" s="414"/>
      <c r="O138" s="414"/>
      <c r="P138" s="414"/>
      <c r="Q138" s="414"/>
      <c r="R138" s="414"/>
      <c r="S138" s="414"/>
      <c r="T138" s="414"/>
      <c r="U138" s="414" t="str">
        <f t="shared" si="2"/>
        <v/>
      </c>
      <c r="W138" s="480" t="str">
        <f t="shared" si="3"/>
        <v/>
      </c>
    </row>
    <row r="139" spans="1:23" ht="18" customHeight="1" x14ac:dyDescent="0.25">
      <c r="A139" s="415"/>
      <c r="B139" s="415"/>
      <c r="C139" s="415"/>
      <c r="D139" s="414"/>
      <c r="E139" s="414"/>
      <c r="F139" s="414"/>
      <c r="G139" s="414"/>
      <c r="H139" s="414"/>
      <c r="I139" s="414"/>
      <c r="J139" s="414"/>
      <c r="K139" s="414"/>
      <c r="L139" s="414"/>
      <c r="M139" s="414"/>
      <c r="N139" s="414"/>
      <c r="O139" s="414"/>
      <c r="P139" s="414"/>
      <c r="Q139" s="414"/>
      <c r="R139" s="414"/>
      <c r="S139" s="414"/>
      <c r="T139" s="414"/>
      <c r="U139" s="414" t="str">
        <f t="shared" si="2"/>
        <v/>
      </c>
      <c r="W139" s="480" t="str">
        <f t="shared" si="3"/>
        <v/>
      </c>
    </row>
    <row r="140" spans="1:23" ht="18" customHeight="1" x14ac:dyDescent="0.25">
      <c r="A140" s="415"/>
      <c r="B140" s="415"/>
      <c r="C140" s="415"/>
      <c r="D140" s="414"/>
      <c r="E140" s="414"/>
      <c r="F140" s="414"/>
      <c r="G140" s="414"/>
      <c r="H140" s="414"/>
      <c r="I140" s="414"/>
      <c r="J140" s="414"/>
      <c r="K140" s="414"/>
      <c r="L140" s="414"/>
      <c r="M140" s="414"/>
      <c r="N140" s="414"/>
      <c r="O140" s="414"/>
      <c r="P140" s="414"/>
      <c r="Q140" s="414"/>
      <c r="R140" s="414"/>
      <c r="S140" s="414"/>
      <c r="T140" s="414"/>
      <c r="U140" s="414" t="str">
        <f t="shared" ref="U140:U203" si="4">IFERROR(AVERAGEIF(D140:T140,"&gt;0",D140:T140),"")</f>
        <v/>
      </c>
      <c r="W140" s="480" t="str">
        <f t="shared" ref="W140:W203" si="5">IFERROR(MEDIAN(D140:J140),"")</f>
        <v/>
      </c>
    </row>
    <row r="141" spans="1:23" ht="18" customHeight="1" x14ac:dyDescent="0.25">
      <c r="A141" s="415"/>
      <c r="B141" s="415"/>
      <c r="C141" s="415"/>
      <c r="D141" s="414"/>
      <c r="E141" s="414"/>
      <c r="F141" s="414"/>
      <c r="G141" s="414"/>
      <c r="H141" s="414"/>
      <c r="I141" s="414"/>
      <c r="J141" s="414"/>
      <c r="K141" s="414"/>
      <c r="L141" s="414"/>
      <c r="M141" s="414"/>
      <c r="N141" s="414"/>
      <c r="O141" s="414"/>
      <c r="P141" s="414"/>
      <c r="Q141" s="414"/>
      <c r="R141" s="414"/>
      <c r="S141" s="414"/>
      <c r="T141" s="414"/>
      <c r="U141" s="414" t="str">
        <f t="shared" si="4"/>
        <v/>
      </c>
      <c r="W141" s="480" t="str">
        <f t="shared" si="5"/>
        <v/>
      </c>
    </row>
    <row r="142" spans="1:23" ht="18" customHeight="1" x14ac:dyDescent="0.25">
      <c r="A142" s="415"/>
      <c r="B142" s="415"/>
      <c r="C142" s="415"/>
      <c r="D142" s="414"/>
      <c r="E142" s="414"/>
      <c r="F142" s="414"/>
      <c r="G142" s="414"/>
      <c r="H142" s="414"/>
      <c r="I142" s="414"/>
      <c r="J142" s="414"/>
      <c r="K142" s="414"/>
      <c r="L142" s="414"/>
      <c r="M142" s="414"/>
      <c r="N142" s="414"/>
      <c r="O142" s="414"/>
      <c r="P142" s="414"/>
      <c r="Q142" s="414"/>
      <c r="R142" s="414"/>
      <c r="S142" s="414"/>
      <c r="T142" s="414"/>
      <c r="U142" s="414" t="str">
        <f t="shared" si="4"/>
        <v/>
      </c>
      <c r="W142" s="480" t="str">
        <f t="shared" si="5"/>
        <v/>
      </c>
    </row>
    <row r="143" spans="1:23" ht="18" customHeight="1" x14ac:dyDescent="0.25">
      <c r="A143" s="415"/>
      <c r="B143" s="415"/>
      <c r="C143" s="415"/>
      <c r="D143" s="414"/>
      <c r="E143" s="414"/>
      <c r="F143" s="414"/>
      <c r="G143" s="414"/>
      <c r="H143" s="414"/>
      <c r="I143" s="414"/>
      <c r="J143" s="414"/>
      <c r="K143" s="414"/>
      <c r="L143" s="414"/>
      <c r="M143" s="414"/>
      <c r="N143" s="414"/>
      <c r="O143" s="414"/>
      <c r="P143" s="414"/>
      <c r="Q143" s="414"/>
      <c r="R143" s="414"/>
      <c r="S143" s="414"/>
      <c r="T143" s="414"/>
      <c r="U143" s="414" t="str">
        <f t="shared" si="4"/>
        <v/>
      </c>
      <c r="W143" s="480" t="str">
        <f t="shared" si="5"/>
        <v/>
      </c>
    </row>
    <row r="144" spans="1:23" ht="18" customHeight="1" x14ac:dyDescent="0.25">
      <c r="A144" s="415"/>
      <c r="B144" s="415"/>
      <c r="C144" s="415"/>
      <c r="D144" s="414"/>
      <c r="E144" s="414"/>
      <c r="F144" s="414"/>
      <c r="G144" s="414"/>
      <c r="H144" s="414"/>
      <c r="I144" s="414"/>
      <c r="J144" s="414"/>
      <c r="K144" s="414"/>
      <c r="L144" s="414"/>
      <c r="M144" s="414"/>
      <c r="N144" s="414"/>
      <c r="O144" s="414"/>
      <c r="P144" s="414"/>
      <c r="Q144" s="414"/>
      <c r="R144" s="414"/>
      <c r="S144" s="414"/>
      <c r="T144" s="414"/>
      <c r="U144" s="414" t="str">
        <f t="shared" si="4"/>
        <v/>
      </c>
      <c r="W144" s="480" t="str">
        <f t="shared" si="5"/>
        <v/>
      </c>
    </row>
    <row r="145" spans="1:23" ht="18" customHeight="1" x14ac:dyDescent="0.25">
      <c r="A145" s="415"/>
      <c r="B145" s="415"/>
      <c r="C145" s="415"/>
      <c r="D145" s="414"/>
      <c r="E145" s="414"/>
      <c r="F145" s="414"/>
      <c r="G145" s="414"/>
      <c r="H145" s="414"/>
      <c r="I145" s="414"/>
      <c r="J145" s="414"/>
      <c r="K145" s="414"/>
      <c r="L145" s="414"/>
      <c r="M145" s="414"/>
      <c r="N145" s="414"/>
      <c r="O145" s="414"/>
      <c r="P145" s="414"/>
      <c r="Q145" s="414"/>
      <c r="R145" s="414"/>
      <c r="S145" s="414"/>
      <c r="T145" s="414"/>
      <c r="U145" s="414" t="str">
        <f t="shared" si="4"/>
        <v/>
      </c>
      <c r="W145" s="480" t="str">
        <f t="shared" si="5"/>
        <v/>
      </c>
    </row>
    <row r="146" spans="1:23" ht="18" customHeight="1" x14ac:dyDescent="0.25">
      <c r="A146" s="415"/>
      <c r="B146" s="415"/>
      <c r="C146" s="415"/>
      <c r="D146" s="414"/>
      <c r="E146" s="414"/>
      <c r="F146" s="414"/>
      <c r="G146" s="414"/>
      <c r="H146" s="414"/>
      <c r="I146" s="414"/>
      <c r="J146" s="414"/>
      <c r="K146" s="414"/>
      <c r="L146" s="414"/>
      <c r="M146" s="414"/>
      <c r="N146" s="414"/>
      <c r="O146" s="414"/>
      <c r="P146" s="414"/>
      <c r="Q146" s="414"/>
      <c r="R146" s="414"/>
      <c r="S146" s="414"/>
      <c r="T146" s="414"/>
      <c r="U146" s="414" t="str">
        <f t="shared" si="4"/>
        <v/>
      </c>
      <c r="W146" s="480" t="str">
        <f t="shared" si="5"/>
        <v/>
      </c>
    </row>
    <row r="147" spans="1:23" ht="18" customHeight="1" x14ac:dyDescent="0.25">
      <c r="A147" s="415"/>
      <c r="B147" s="415"/>
      <c r="C147" s="415"/>
      <c r="D147" s="414"/>
      <c r="E147" s="414"/>
      <c r="F147" s="414"/>
      <c r="G147" s="414"/>
      <c r="H147" s="414"/>
      <c r="I147" s="414"/>
      <c r="J147" s="414"/>
      <c r="K147" s="414"/>
      <c r="L147" s="414"/>
      <c r="M147" s="414"/>
      <c r="N147" s="414"/>
      <c r="O147" s="414"/>
      <c r="P147" s="414"/>
      <c r="Q147" s="414"/>
      <c r="R147" s="414"/>
      <c r="S147" s="414"/>
      <c r="T147" s="414"/>
      <c r="U147" s="414" t="str">
        <f t="shared" si="4"/>
        <v/>
      </c>
      <c r="W147" s="480" t="str">
        <f t="shared" si="5"/>
        <v/>
      </c>
    </row>
    <row r="148" spans="1:23" ht="18" customHeight="1" x14ac:dyDescent="0.25">
      <c r="A148" s="415"/>
      <c r="B148" s="415"/>
      <c r="C148" s="415"/>
      <c r="D148" s="414"/>
      <c r="E148" s="414"/>
      <c r="F148" s="414"/>
      <c r="G148" s="414"/>
      <c r="H148" s="414"/>
      <c r="I148" s="414"/>
      <c r="J148" s="414"/>
      <c r="K148" s="414"/>
      <c r="L148" s="414"/>
      <c r="M148" s="414"/>
      <c r="N148" s="414"/>
      <c r="O148" s="414"/>
      <c r="P148" s="414"/>
      <c r="Q148" s="414"/>
      <c r="R148" s="414"/>
      <c r="S148" s="414"/>
      <c r="T148" s="414"/>
      <c r="U148" s="414" t="str">
        <f t="shared" si="4"/>
        <v/>
      </c>
      <c r="W148" s="480" t="str">
        <f t="shared" si="5"/>
        <v/>
      </c>
    </row>
    <row r="149" spans="1:23" ht="18" customHeight="1" x14ac:dyDescent="0.25">
      <c r="A149" s="415"/>
      <c r="B149" s="415"/>
      <c r="C149" s="415"/>
      <c r="D149" s="414"/>
      <c r="E149" s="414"/>
      <c r="F149" s="414"/>
      <c r="G149" s="414"/>
      <c r="H149" s="414"/>
      <c r="I149" s="414"/>
      <c r="J149" s="414"/>
      <c r="K149" s="414"/>
      <c r="L149" s="414"/>
      <c r="M149" s="414"/>
      <c r="N149" s="414"/>
      <c r="O149" s="414"/>
      <c r="P149" s="414"/>
      <c r="Q149" s="414"/>
      <c r="R149" s="414"/>
      <c r="S149" s="414"/>
      <c r="T149" s="414"/>
      <c r="U149" s="414" t="str">
        <f t="shared" si="4"/>
        <v/>
      </c>
      <c r="W149" s="480" t="str">
        <f t="shared" si="5"/>
        <v/>
      </c>
    </row>
    <row r="150" spans="1:23" ht="18" customHeight="1" x14ac:dyDescent="0.25">
      <c r="A150" s="415"/>
      <c r="B150" s="415"/>
      <c r="C150" s="415"/>
      <c r="D150" s="414"/>
      <c r="E150" s="414"/>
      <c r="F150" s="414"/>
      <c r="G150" s="414"/>
      <c r="H150" s="414"/>
      <c r="I150" s="414"/>
      <c r="J150" s="414"/>
      <c r="K150" s="414"/>
      <c r="L150" s="414"/>
      <c r="M150" s="414"/>
      <c r="N150" s="414"/>
      <c r="O150" s="414"/>
      <c r="P150" s="414"/>
      <c r="Q150" s="414"/>
      <c r="R150" s="414"/>
      <c r="S150" s="414"/>
      <c r="T150" s="414"/>
      <c r="U150" s="414" t="str">
        <f t="shared" si="4"/>
        <v/>
      </c>
      <c r="W150" s="480" t="str">
        <f t="shared" si="5"/>
        <v/>
      </c>
    </row>
    <row r="151" spans="1:23" ht="18" customHeight="1" x14ac:dyDescent="0.25">
      <c r="A151" s="415"/>
      <c r="B151" s="415"/>
      <c r="C151" s="415"/>
      <c r="D151" s="414"/>
      <c r="E151" s="414"/>
      <c r="F151" s="414"/>
      <c r="G151" s="414"/>
      <c r="H151" s="414"/>
      <c r="I151" s="414"/>
      <c r="J151" s="414"/>
      <c r="K151" s="414"/>
      <c r="L151" s="414"/>
      <c r="M151" s="414"/>
      <c r="N151" s="414"/>
      <c r="O151" s="414"/>
      <c r="P151" s="414"/>
      <c r="Q151" s="414"/>
      <c r="R151" s="414"/>
      <c r="S151" s="414"/>
      <c r="T151" s="414"/>
      <c r="U151" s="414" t="str">
        <f t="shared" si="4"/>
        <v/>
      </c>
      <c r="W151" s="480" t="str">
        <f t="shared" si="5"/>
        <v/>
      </c>
    </row>
    <row r="152" spans="1:23" ht="18" customHeight="1" x14ac:dyDescent="0.25">
      <c r="A152" s="415"/>
      <c r="B152" s="415"/>
      <c r="C152" s="415"/>
      <c r="D152" s="414"/>
      <c r="E152" s="414"/>
      <c r="F152" s="414"/>
      <c r="G152" s="414"/>
      <c r="H152" s="414"/>
      <c r="I152" s="414"/>
      <c r="J152" s="414"/>
      <c r="K152" s="414"/>
      <c r="L152" s="414"/>
      <c r="M152" s="414"/>
      <c r="N152" s="414"/>
      <c r="O152" s="414"/>
      <c r="P152" s="414"/>
      <c r="Q152" s="414"/>
      <c r="R152" s="414"/>
      <c r="S152" s="414"/>
      <c r="T152" s="414"/>
      <c r="U152" s="414" t="str">
        <f t="shared" si="4"/>
        <v/>
      </c>
      <c r="W152" s="480" t="str">
        <f t="shared" si="5"/>
        <v/>
      </c>
    </row>
    <row r="153" spans="1:23" ht="18" customHeight="1" x14ac:dyDescent="0.25">
      <c r="A153" s="415"/>
      <c r="B153" s="415"/>
      <c r="C153" s="415"/>
      <c r="D153" s="414"/>
      <c r="E153" s="414"/>
      <c r="F153" s="414"/>
      <c r="G153" s="414"/>
      <c r="H153" s="414"/>
      <c r="I153" s="414"/>
      <c r="J153" s="414"/>
      <c r="K153" s="414"/>
      <c r="L153" s="414"/>
      <c r="M153" s="414"/>
      <c r="N153" s="414"/>
      <c r="O153" s="414"/>
      <c r="P153" s="414"/>
      <c r="Q153" s="414"/>
      <c r="R153" s="414"/>
      <c r="S153" s="414"/>
      <c r="T153" s="414"/>
      <c r="U153" s="414" t="str">
        <f t="shared" si="4"/>
        <v/>
      </c>
      <c r="W153" s="480" t="str">
        <f t="shared" si="5"/>
        <v/>
      </c>
    </row>
    <row r="154" spans="1:23" ht="18" customHeight="1" x14ac:dyDescent="0.25">
      <c r="A154" s="415"/>
      <c r="B154" s="415"/>
      <c r="C154" s="415"/>
      <c r="D154" s="414"/>
      <c r="E154" s="414"/>
      <c r="F154" s="414"/>
      <c r="G154" s="414"/>
      <c r="H154" s="414"/>
      <c r="I154" s="414"/>
      <c r="J154" s="414"/>
      <c r="K154" s="414"/>
      <c r="L154" s="414"/>
      <c r="M154" s="414"/>
      <c r="N154" s="414"/>
      <c r="O154" s="414"/>
      <c r="P154" s="414"/>
      <c r="Q154" s="414"/>
      <c r="R154" s="414"/>
      <c r="S154" s="414"/>
      <c r="T154" s="414"/>
      <c r="U154" s="414" t="str">
        <f t="shared" si="4"/>
        <v/>
      </c>
      <c r="W154" s="480" t="str">
        <f t="shared" si="5"/>
        <v/>
      </c>
    </row>
    <row r="155" spans="1:23" ht="18" customHeight="1" x14ac:dyDescent="0.25">
      <c r="A155" s="415"/>
      <c r="B155" s="415"/>
      <c r="C155" s="415"/>
      <c r="D155" s="414"/>
      <c r="E155" s="414"/>
      <c r="F155" s="414"/>
      <c r="G155" s="414"/>
      <c r="H155" s="414"/>
      <c r="I155" s="414"/>
      <c r="J155" s="414"/>
      <c r="K155" s="414"/>
      <c r="L155" s="414"/>
      <c r="M155" s="414"/>
      <c r="N155" s="414"/>
      <c r="O155" s="414"/>
      <c r="P155" s="414"/>
      <c r="Q155" s="414"/>
      <c r="R155" s="414"/>
      <c r="S155" s="414"/>
      <c r="T155" s="414"/>
      <c r="U155" s="414" t="str">
        <f t="shared" si="4"/>
        <v/>
      </c>
      <c r="W155" s="480" t="str">
        <f t="shared" si="5"/>
        <v/>
      </c>
    </row>
    <row r="156" spans="1:23" ht="18" customHeight="1" x14ac:dyDescent="0.25">
      <c r="A156" s="415"/>
      <c r="B156" s="415"/>
      <c r="C156" s="415"/>
      <c r="D156" s="414"/>
      <c r="E156" s="414"/>
      <c r="F156" s="414"/>
      <c r="G156" s="414"/>
      <c r="H156" s="414"/>
      <c r="I156" s="414"/>
      <c r="J156" s="414"/>
      <c r="K156" s="414"/>
      <c r="L156" s="414"/>
      <c r="M156" s="414"/>
      <c r="N156" s="414"/>
      <c r="O156" s="414"/>
      <c r="P156" s="414"/>
      <c r="Q156" s="414"/>
      <c r="R156" s="414"/>
      <c r="S156" s="414"/>
      <c r="T156" s="414"/>
      <c r="U156" s="414" t="str">
        <f t="shared" si="4"/>
        <v/>
      </c>
      <c r="W156" s="480" t="str">
        <f t="shared" si="5"/>
        <v/>
      </c>
    </row>
    <row r="157" spans="1:23" ht="18" customHeight="1" x14ac:dyDescent="0.25">
      <c r="A157" s="415"/>
      <c r="B157" s="415"/>
      <c r="C157" s="415"/>
      <c r="D157" s="414"/>
      <c r="E157" s="414"/>
      <c r="F157" s="414"/>
      <c r="G157" s="414"/>
      <c r="H157" s="414"/>
      <c r="I157" s="414"/>
      <c r="J157" s="414"/>
      <c r="K157" s="414"/>
      <c r="L157" s="414"/>
      <c r="M157" s="414"/>
      <c r="N157" s="414"/>
      <c r="O157" s="414"/>
      <c r="P157" s="414"/>
      <c r="Q157" s="414"/>
      <c r="R157" s="414"/>
      <c r="S157" s="414"/>
      <c r="T157" s="414"/>
      <c r="U157" s="414" t="str">
        <f t="shared" si="4"/>
        <v/>
      </c>
      <c r="W157" s="480" t="str">
        <f t="shared" si="5"/>
        <v/>
      </c>
    </row>
    <row r="158" spans="1:23" ht="18" customHeight="1" x14ac:dyDescent="0.25">
      <c r="A158" s="415"/>
      <c r="B158" s="415"/>
      <c r="C158" s="415"/>
      <c r="D158" s="414"/>
      <c r="E158" s="414"/>
      <c r="F158" s="414"/>
      <c r="G158" s="414"/>
      <c r="H158" s="414"/>
      <c r="I158" s="414"/>
      <c r="J158" s="414"/>
      <c r="K158" s="414"/>
      <c r="L158" s="414"/>
      <c r="M158" s="414"/>
      <c r="N158" s="414"/>
      <c r="O158" s="414"/>
      <c r="P158" s="414"/>
      <c r="Q158" s="414"/>
      <c r="R158" s="414"/>
      <c r="S158" s="414"/>
      <c r="T158" s="414"/>
      <c r="U158" s="414" t="str">
        <f t="shared" si="4"/>
        <v/>
      </c>
      <c r="W158" s="480" t="str">
        <f t="shared" si="5"/>
        <v/>
      </c>
    </row>
    <row r="159" spans="1:23" ht="18" customHeight="1" x14ac:dyDescent="0.25">
      <c r="A159" s="415"/>
      <c r="B159" s="415"/>
      <c r="C159" s="415"/>
      <c r="D159" s="414"/>
      <c r="E159" s="414"/>
      <c r="F159" s="414"/>
      <c r="G159" s="414"/>
      <c r="H159" s="414"/>
      <c r="I159" s="414"/>
      <c r="J159" s="414"/>
      <c r="K159" s="414"/>
      <c r="L159" s="414"/>
      <c r="M159" s="414"/>
      <c r="N159" s="414"/>
      <c r="O159" s="414"/>
      <c r="P159" s="414"/>
      <c r="Q159" s="414"/>
      <c r="R159" s="414"/>
      <c r="S159" s="414"/>
      <c r="T159" s="414"/>
      <c r="U159" s="414" t="str">
        <f t="shared" si="4"/>
        <v/>
      </c>
      <c r="W159" s="480" t="str">
        <f t="shared" si="5"/>
        <v/>
      </c>
    </row>
    <row r="160" spans="1:23" ht="18" customHeight="1" x14ac:dyDescent="0.25">
      <c r="A160" s="415"/>
      <c r="B160" s="415"/>
      <c r="C160" s="415"/>
      <c r="D160" s="414"/>
      <c r="E160" s="414"/>
      <c r="F160" s="414"/>
      <c r="G160" s="414"/>
      <c r="H160" s="414"/>
      <c r="I160" s="414"/>
      <c r="J160" s="414"/>
      <c r="K160" s="414"/>
      <c r="L160" s="414"/>
      <c r="M160" s="414"/>
      <c r="N160" s="414"/>
      <c r="O160" s="414"/>
      <c r="P160" s="414"/>
      <c r="Q160" s="414"/>
      <c r="R160" s="414"/>
      <c r="S160" s="414"/>
      <c r="T160" s="414"/>
      <c r="U160" s="414" t="str">
        <f t="shared" si="4"/>
        <v/>
      </c>
      <c r="W160" s="480" t="str">
        <f t="shared" si="5"/>
        <v/>
      </c>
    </row>
    <row r="161" spans="1:23" ht="18" customHeight="1" x14ac:dyDescent="0.25">
      <c r="A161" s="415"/>
      <c r="B161" s="415"/>
      <c r="C161" s="415"/>
      <c r="D161" s="414"/>
      <c r="E161" s="414"/>
      <c r="F161" s="414"/>
      <c r="G161" s="414"/>
      <c r="H161" s="414"/>
      <c r="I161" s="414"/>
      <c r="J161" s="414"/>
      <c r="K161" s="414"/>
      <c r="L161" s="414"/>
      <c r="M161" s="414"/>
      <c r="N161" s="414"/>
      <c r="O161" s="414"/>
      <c r="P161" s="414"/>
      <c r="Q161" s="414"/>
      <c r="R161" s="414"/>
      <c r="S161" s="414"/>
      <c r="T161" s="414"/>
      <c r="U161" s="414" t="str">
        <f t="shared" si="4"/>
        <v/>
      </c>
      <c r="W161" s="480" t="str">
        <f t="shared" si="5"/>
        <v/>
      </c>
    </row>
    <row r="162" spans="1:23" ht="18" customHeight="1" x14ac:dyDescent="0.25">
      <c r="A162" s="415"/>
      <c r="B162" s="415"/>
      <c r="C162" s="415"/>
      <c r="D162" s="414"/>
      <c r="E162" s="414"/>
      <c r="F162" s="414"/>
      <c r="G162" s="414"/>
      <c r="H162" s="414"/>
      <c r="I162" s="414"/>
      <c r="J162" s="414"/>
      <c r="K162" s="414"/>
      <c r="L162" s="414"/>
      <c r="M162" s="414"/>
      <c r="N162" s="414"/>
      <c r="O162" s="414"/>
      <c r="P162" s="414"/>
      <c r="Q162" s="414"/>
      <c r="R162" s="414"/>
      <c r="S162" s="414"/>
      <c r="T162" s="414"/>
      <c r="U162" s="414" t="str">
        <f t="shared" si="4"/>
        <v/>
      </c>
      <c r="W162" s="480" t="str">
        <f t="shared" si="5"/>
        <v/>
      </c>
    </row>
    <row r="163" spans="1:23" ht="18" customHeight="1" x14ac:dyDescent="0.25">
      <c r="A163" s="415"/>
      <c r="B163" s="415"/>
      <c r="C163" s="415"/>
      <c r="D163" s="414"/>
      <c r="E163" s="414"/>
      <c r="F163" s="414"/>
      <c r="G163" s="414"/>
      <c r="H163" s="414"/>
      <c r="I163" s="414"/>
      <c r="J163" s="414"/>
      <c r="K163" s="414"/>
      <c r="L163" s="414"/>
      <c r="M163" s="414"/>
      <c r="N163" s="414"/>
      <c r="O163" s="414"/>
      <c r="P163" s="414"/>
      <c r="Q163" s="414"/>
      <c r="R163" s="414"/>
      <c r="S163" s="414"/>
      <c r="T163" s="414"/>
      <c r="U163" s="414" t="str">
        <f t="shared" si="4"/>
        <v/>
      </c>
      <c r="W163" s="480" t="str">
        <f t="shared" si="5"/>
        <v/>
      </c>
    </row>
    <row r="164" spans="1:23" ht="18" customHeight="1" x14ac:dyDescent="0.25">
      <c r="A164" s="415"/>
      <c r="B164" s="415"/>
      <c r="C164" s="415"/>
      <c r="D164" s="414"/>
      <c r="E164" s="414"/>
      <c r="F164" s="414"/>
      <c r="G164" s="414"/>
      <c r="H164" s="414"/>
      <c r="I164" s="414"/>
      <c r="J164" s="414"/>
      <c r="K164" s="414"/>
      <c r="L164" s="414"/>
      <c r="M164" s="414"/>
      <c r="N164" s="414"/>
      <c r="O164" s="414"/>
      <c r="P164" s="414"/>
      <c r="Q164" s="414"/>
      <c r="R164" s="414"/>
      <c r="S164" s="414"/>
      <c r="T164" s="414"/>
      <c r="U164" s="414" t="str">
        <f t="shared" si="4"/>
        <v/>
      </c>
      <c r="W164" s="480" t="str">
        <f t="shared" si="5"/>
        <v/>
      </c>
    </row>
    <row r="165" spans="1:23" ht="18" customHeight="1" x14ac:dyDescent="0.25">
      <c r="A165" s="415"/>
      <c r="B165" s="415"/>
      <c r="C165" s="415"/>
      <c r="D165" s="414"/>
      <c r="E165" s="414"/>
      <c r="F165" s="414"/>
      <c r="G165" s="414"/>
      <c r="H165" s="414"/>
      <c r="I165" s="414"/>
      <c r="J165" s="414"/>
      <c r="K165" s="414"/>
      <c r="L165" s="414"/>
      <c r="M165" s="414"/>
      <c r="N165" s="414"/>
      <c r="O165" s="414"/>
      <c r="P165" s="414"/>
      <c r="Q165" s="414"/>
      <c r="R165" s="414"/>
      <c r="S165" s="414"/>
      <c r="T165" s="414"/>
      <c r="U165" s="414" t="str">
        <f t="shared" si="4"/>
        <v/>
      </c>
      <c r="W165" s="480" t="str">
        <f t="shared" si="5"/>
        <v/>
      </c>
    </row>
    <row r="166" spans="1:23" ht="18" customHeight="1" x14ac:dyDescent="0.25">
      <c r="A166" s="415"/>
      <c r="B166" s="415"/>
      <c r="C166" s="415"/>
      <c r="D166" s="414"/>
      <c r="E166" s="414"/>
      <c r="F166" s="414"/>
      <c r="G166" s="414"/>
      <c r="H166" s="414"/>
      <c r="I166" s="414"/>
      <c r="J166" s="414"/>
      <c r="K166" s="414"/>
      <c r="L166" s="414"/>
      <c r="M166" s="414"/>
      <c r="N166" s="414"/>
      <c r="O166" s="414"/>
      <c r="P166" s="414"/>
      <c r="Q166" s="414"/>
      <c r="R166" s="414"/>
      <c r="S166" s="414"/>
      <c r="T166" s="414"/>
      <c r="U166" s="414" t="str">
        <f t="shared" si="4"/>
        <v/>
      </c>
      <c r="W166" s="480" t="str">
        <f t="shared" si="5"/>
        <v/>
      </c>
    </row>
    <row r="167" spans="1:23" ht="18" customHeight="1" x14ac:dyDescent="0.25">
      <c r="A167" s="415"/>
      <c r="B167" s="415"/>
      <c r="C167" s="415"/>
      <c r="D167" s="414"/>
      <c r="E167" s="414"/>
      <c r="F167" s="414"/>
      <c r="G167" s="414"/>
      <c r="H167" s="414"/>
      <c r="I167" s="414"/>
      <c r="J167" s="414"/>
      <c r="K167" s="414"/>
      <c r="L167" s="414"/>
      <c r="M167" s="414"/>
      <c r="N167" s="414"/>
      <c r="O167" s="414"/>
      <c r="P167" s="414"/>
      <c r="Q167" s="414"/>
      <c r="R167" s="414"/>
      <c r="S167" s="414"/>
      <c r="T167" s="414"/>
      <c r="U167" s="414" t="str">
        <f t="shared" si="4"/>
        <v/>
      </c>
      <c r="W167" s="480" t="str">
        <f t="shared" si="5"/>
        <v/>
      </c>
    </row>
    <row r="168" spans="1:23" ht="18" customHeight="1" x14ac:dyDescent="0.25">
      <c r="A168" s="415"/>
      <c r="B168" s="415"/>
      <c r="C168" s="415"/>
      <c r="D168" s="414"/>
      <c r="E168" s="414"/>
      <c r="F168" s="414"/>
      <c r="G168" s="414"/>
      <c r="H168" s="414"/>
      <c r="I168" s="414"/>
      <c r="J168" s="414"/>
      <c r="K168" s="414"/>
      <c r="L168" s="414"/>
      <c r="M168" s="414"/>
      <c r="N168" s="414"/>
      <c r="O168" s="414"/>
      <c r="P168" s="414"/>
      <c r="Q168" s="414"/>
      <c r="R168" s="414"/>
      <c r="S168" s="414"/>
      <c r="T168" s="414"/>
      <c r="U168" s="414" t="str">
        <f t="shared" si="4"/>
        <v/>
      </c>
      <c r="W168" s="480" t="str">
        <f t="shared" si="5"/>
        <v/>
      </c>
    </row>
    <row r="169" spans="1:23" ht="18" customHeight="1" x14ac:dyDescent="0.25">
      <c r="A169" s="415"/>
      <c r="B169" s="415"/>
      <c r="C169" s="415"/>
      <c r="D169" s="414"/>
      <c r="E169" s="414"/>
      <c r="F169" s="414"/>
      <c r="G169" s="414"/>
      <c r="H169" s="414"/>
      <c r="I169" s="414"/>
      <c r="J169" s="414"/>
      <c r="K169" s="414"/>
      <c r="L169" s="414"/>
      <c r="M169" s="414"/>
      <c r="N169" s="414"/>
      <c r="O169" s="414"/>
      <c r="P169" s="414"/>
      <c r="Q169" s="414"/>
      <c r="R169" s="414"/>
      <c r="S169" s="414"/>
      <c r="T169" s="414"/>
      <c r="U169" s="414" t="str">
        <f t="shared" si="4"/>
        <v/>
      </c>
      <c r="W169" s="480" t="str">
        <f t="shared" si="5"/>
        <v/>
      </c>
    </row>
    <row r="170" spans="1:23" ht="18" customHeight="1" x14ac:dyDescent="0.25">
      <c r="A170" s="415"/>
      <c r="B170" s="415"/>
      <c r="C170" s="415"/>
      <c r="D170" s="414"/>
      <c r="E170" s="414"/>
      <c r="F170" s="414"/>
      <c r="G170" s="414"/>
      <c r="H170" s="414"/>
      <c r="I170" s="414"/>
      <c r="J170" s="414"/>
      <c r="K170" s="414"/>
      <c r="L170" s="414"/>
      <c r="M170" s="414"/>
      <c r="N170" s="414"/>
      <c r="O170" s="414"/>
      <c r="P170" s="414"/>
      <c r="Q170" s="414"/>
      <c r="R170" s="414"/>
      <c r="S170" s="414"/>
      <c r="T170" s="414"/>
      <c r="U170" s="414" t="str">
        <f t="shared" si="4"/>
        <v/>
      </c>
      <c r="W170" s="480" t="str">
        <f t="shared" si="5"/>
        <v/>
      </c>
    </row>
    <row r="171" spans="1:23" ht="18" customHeight="1" x14ac:dyDescent="0.25">
      <c r="A171" s="415"/>
      <c r="B171" s="415"/>
      <c r="C171" s="415"/>
      <c r="D171" s="414"/>
      <c r="E171" s="414"/>
      <c r="F171" s="414"/>
      <c r="G171" s="414"/>
      <c r="H171" s="414"/>
      <c r="I171" s="414"/>
      <c r="J171" s="414"/>
      <c r="K171" s="414"/>
      <c r="L171" s="414"/>
      <c r="M171" s="414"/>
      <c r="N171" s="414"/>
      <c r="O171" s="414"/>
      <c r="P171" s="414"/>
      <c r="Q171" s="414"/>
      <c r="R171" s="414"/>
      <c r="S171" s="414"/>
      <c r="T171" s="414"/>
      <c r="U171" s="414" t="str">
        <f t="shared" si="4"/>
        <v/>
      </c>
      <c r="W171" s="480" t="str">
        <f t="shared" si="5"/>
        <v/>
      </c>
    </row>
    <row r="172" spans="1:23" ht="18" customHeight="1" x14ac:dyDescent="0.25">
      <c r="A172" s="415"/>
      <c r="B172" s="415"/>
      <c r="C172" s="415"/>
      <c r="D172" s="414"/>
      <c r="E172" s="414"/>
      <c r="F172" s="414"/>
      <c r="G172" s="414"/>
      <c r="H172" s="414"/>
      <c r="I172" s="414"/>
      <c r="J172" s="414"/>
      <c r="K172" s="414"/>
      <c r="L172" s="414"/>
      <c r="M172" s="414"/>
      <c r="N172" s="414"/>
      <c r="O172" s="414"/>
      <c r="P172" s="414"/>
      <c r="Q172" s="414"/>
      <c r="R172" s="414"/>
      <c r="S172" s="414"/>
      <c r="T172" s="414"/>
      <c r="U172" s="414" t="str">
        <f t="shared" si="4"/>
        <v/>
      </c>
      <c r="W172" s="480" t="str">
        <f t="shared" si="5"/>
        <v/>
      </c>
    </row>
    <row r="173" spans="1:23" ht="18" customHeight="1" x14ac:dyDescent="0.25">
      <c r="A173" s="415"/>
      <c r="B173" s="415"/>
      <c r="C173" s="415"/>
      <c r="D173" s="414"/>
      <c r="E173" s="414"/>
      <c r="F173" s="414"/>
      <c r="G173" s="414"/>
      <c r="H173" s="414"/>
      <c r="I173" s="414"/>
      <c r="J173" s="414"/>
      <c r="K173" s="414"/>
      <c r="L173" s="414"/>
      <c r="M173" s="414"/>
      <c r="N173" s="414"/>
      <c r="O173" s="414"/>
      <c r="P173" s="414"/>
      <c r="Q173" s="414"/>
      <c r="R173" s="414"/>
      <c r="S173" s="414"/>
      <c r="T173" s="414"/>
      <c r="U173" s="414" t="str">
        <f t="shared" si="4"/>
        <v/>
      </c>
      <c r="W173" s="480" t="str">
        <f t="shared" si="5"/>
        <v/>
      </c>
    </row>
    <row r="174" spans="1:23" ht="18" customHeight="1" x14ac:dyDescent="0.25">
      <c r="A174" s="415"/>
      <c r="B174" s="415"/>
      <c r="C174" s="415"/>
      <c r="D174" s="414"/>
      <c r="E174" s="414"/>
      <c r="F174" s="414"/>
      <c r="G174" s="414"/>
      <c r="H174" s="414"/>
      <c r="I174" s="414"/>
      <c r="J174" s="414"/>
      <c r="K174" s="414"/>
      <c r="L174" s="414"/>
      <c r="M174" s="414"/>
      <c r="N174" s="414"/>
      <c r="O174" s="414"/>
      <c r="P174" s="414"/>
      <c r="Q174" s="414"/>
      <c r="R174" s="414"/>
      <c r="S174" s="414"/>
      <c r="T174" s="414"/>
      <c r="U174" s="414" t="str">
        <f t="shared" si="4"/>
        <v/>
      </c>
      <c r="W174" s="480" t="str">
        <f t="shared" si="5"/>
        <v/>
      </c>
    </row>
    <row r="175" spans="1:23" ht="18" customHeight="1" x14ac:dyDescent="0.25">
      <c r="A175" s="415"/>
      <c r="B175" s="415"/>
      <c r="C175" s="415"/>
      <c r="D175" s="414"/>
      <c r="E175" s="414"/>
      <c r="F175" s="414"/>
      <c r="G175" s="414"/>
      <c r="H175" s="414"/>
      <c r="I175" s="414"/>
      <c r="J175" s="414"/>
      <c r="K175" s="414"/>
      <c r="L175" s="414"/>
      <c r="M175" s="414"/>
      <c r="N175" s="414"/>
      <c r="O175" s="414"/>
      <c r="P175" s="414"/>
      <c r="Q175" s="414"/>
      <c r="R175" s="414"/>
      <c r="S175" s="414"/>
      <c r="T175" s="414"/>
      <c r="U175" s="414" t="str">
        <f t="shared" si="4"/>
        <v/>
      </c>
      <c r="W175" s="480" t="str">
        <f t="shared" si="5"/>
        <v/>
      </c>
    </row>
    <row r="176" spans="1:23" ht="18" customHeight="1" x14ac:dyDescent="0.25">
      <c r="A176" s="415"/>
      <c r="B176" s="415"/>
      <c r="C176" s="415"/>
      <c r="D176" s="414"/>
      <c r="E176" s="414"/>
      <c r="F176" s="414"/>
      <c r="G176" s="414"/>
      <c r="H176" s="414"/>
      <c r="I176" s="414"/>
      <c r="J176" s="414"/>
      <c r="K176" s="414"/>
      <c r="L176" s="414"/>
      <c r="M176" s="414"/>
      <c r="N176" s="414"/>
      <c r="O176" s="414"/>
      <c r="P176" s="414"/>
      <c r="Q176" s="414"/>
      <c r="R176" s="414"/>
      <c r="S176" s="414"/>
      <c r="T176" s="414"/>
      <c r="U176" s="414" t="str">
        <f t="shared" si="4"/>
        <v/>
      </c>
      <c r="W176" s="480" t="str">
        <f t="shared" si="5"/>
        <v/>
      </c>
    </row>
    <row r="177" spans="1:23" ht="18" customHeight="1" x14ac:dyDescent="0.25">
      <c r="A177" s="415"/>
      <c r="B177" s="415"/>
      <c r="C177" s="415"/>
      <c r="D177" s="414"/>
      <c r="E177" s="414"/>
      <c r="F177" s="414"/>
      <c r="G177" s="414"/>
      <c r="H177" s="414"/>
      <c r="I177" s="414"/>
      <c r="J177" s="414"/>
      <c r="K177" s="414"/>
      <c r="L177" s="414"/>
      <c r="M177" s="414"/>
      <c r="N177" s="414"/>
      <c r="O177" s="414"/>
      <c r="P177" s="414"/>
      <c r="Q177" s="414"/>
      <c r="R177" s="414"/>
      <c r="S177" s="414"/>
      <c r="T177" s="414"/>
      <c r="U177" s="414" t="str">
        <f t="shared" si="4"/>
        <v/>
      </c>
      <c r="W177" s="480" t="str">
        <f t="shared" si="5"/>
        <v/>
      </c>
    </row>
    <row r="178" spans="1:23" ht="18" customHeight="1" x14ac:dyDescent="0.25">
      <c r="A178" s="415"/>
      <c r="B178" s="415"/>
      <c r="C178" s="415"/>
      <c r="D178" s="414"/>
      <c r="E178" s="414"/>
      <c r="F178" s="414"/>
      <c r="G178" s="414"/>
      <c r="H178" s="414"/>
      <c r="I178" s="414"/>
      <c r="J178" s="414"/>
      <c r="K178" s="414"/>
      <c r="L178" s="414"/>
      <c r="M178" s="414"/>
      <c r="N178" s="414"/>
      <c r="O178" s="414"/>
      <c r="P178" s="414"/>
      <c r="Q178" s="414"/>
      <c r="R178" s="414"/>
      <c r="S178" s="414"/>
      <c r="T178" s="414"/>
      <c r="U178" s="414" t="str">
        <f t="shared" si="4"/>
        <v/>
      </c>
      <c r="W178" s="480" t="str">
        <f t="shared" si="5"/>
        <v/>
      </c>
    </row>
    <row r="179" spans="1:23" ht="18" customHeight="1" x14ac:dyDescent="0.25">
      <c r="A179" s="415"/>
      <c r="B179" s="415"/>
      <c r="C179" s="415"/>
      <c r="D179" s="414"/>
      <c r="E179" s="414"/>
      <c r="F179" s="414"/>
      <c r="G179" s="414"/>
      <c r="H179" s="414"/>
      <c r="I179" s="414"/>
      <c r="J179" s="414"/>
      <c r="K179" s="414"/>
      <c r="L179" s="414"/>
      <c r="M179" s="414"/>
      <c r="N179" s="414"/>
      <c r="O179" s="414"/>
      <c r="P179" s="414"/>
      <c r="Q179" s="414"/>
      <c r="R179" s="414"/>
      <c r="S179" s="414"/>
      <c r="T179" s="414"/>
      <c r="U179" s="414" t="str">
        <f t="shared" si="4"/>
        <v/>
      </c>
      <c r="W179" s="480" t="str">
        <f t="shared" si="5"/>
        <v/>
      </c>
    </row>
    <row r="180" spans="1:23" ht="18" customHeight="1" x14ac:dyDescent="0.25">
      <c r="A180" s="415"/>
      <c r="B180" s="415"/>
      <c r="C180" s="415"/>
      <c r="D180" s="414"/>
      <c r="E180" s="414"/>
      <c r="F180" s="414"/>
      <c r="G180" s="414"/>
      <c r="H180" s="414"/>
      <c r="I180" s="414"/>
      <c r="J180" s="414"/>
      <c r="K180" s="414"/>
      <c r="L180" s="414"/>
      <c r="M180" s="414"/>
      <c r="N180" s="414"/>
      <c r="O180" s="414"/>
      <c r="P180" s="414"/>
      <c r="Q180" s="414"/>
      <c r="R180" s="414"/>
      <c r="S180" s="414"/>
      <c r="T180" s="414"/>
      <c r="U180" s="414" t="str">
        <f t="shared" si="4"/>
        <v/>
      </c>
      <c r="W180" s="480" t="str">
        <f t="shared" si="5"/>
        <v/>
      </c>
    </row>
    <row r="181" spans="1:23" ht="18" customHeight="1" x14ac:dyDescent="0.25">
      <c r="A181" s="415"/>
      <c r="B181" s="415"/>
      <c r="C181" s="415"/>
      <c r="D181" s="414"/>
      <c r="E181" s="414"/>
      <c r="F181" s="414"/>
      <c r="G181" s="414"/>
      <c r="H181" s="414"/>
      <c r="I181" s="414"/>
      <c r="J181" s="414"/>
      <c r="K181" s="414"/>
      <c r="L181" s="414"/>
      <c r="M181" s="414"/>
      <c r="N181" s="414"/>
      <c r="O181" s="414"/>
      <c r="P181" s="414"/>
      <c r="Q181" s="414"/>
      <c r="R181" s="414"/>
      <c r="S181" s="414"/>
      <c r="T181" s="414"/>
      <c r="U181" s="414" t="str">
        <f t="shared" si="4"/>
        <v/>
      </c>
      <c r="W181" s="480" t="str">
        <f t="shared" si="5"/>
        <v/>
      </c>
    </row>
    <row r="182" spans="1:23" ht="18" customHeight="1" x14ac:dyDescent="0.25">
      <c r="A182" s="415"/>
      <c r="B182" s="415"/>
      <c r="C182" s="415"/>
      <c r="D182" s="414"/>
      <c r="E182" s="414"/>
      <c r="F182" s="414"/>
      <c r="G182" s="414"/>
      <c r="H182" s="414"/>
      <c r="I182" s="414"/>
      <c r="J182" s="414"/>
      <c r="K182" s="414"/>
      <c r="L182" s="414"/>
      <c r="M182" s="414"/>
      <c r="N182" s="414"/>
      <c r="O182" s="414"/>
      <c r="P182" s="414"/>
      <c r="Q182" s="414"/>
      <c r="R182" s="414"/>
      <c r="S182" s="414"/>
      <c r="T182" s="414"/>
      <c r="U182" s="414" t="str">
        <f t="shared" si="4"/>
        <v/>
      </c>
      <c r="W182" s="480" t="str">
        <f t="shared" si="5"/>
        <v/>
      </c>
    </row>
    <row r="183" spans="1:23" ht="18" customHeight="1" x14ac:dyDescent="0.25">
      <c r="A183" s="415"/>
      <c r="B183" s="415"/>
      <c r="C183" s="415"/>
      <c r="D183" s="414"/>
      <c r="E183" s="414"/>
      <c r="F183" s="414"/>
      <c r="G183" s="414"/>
      <c r="H183" s="414"/>
      <c r="I183" s="414"/>
      <c r="J183" s="414"/>
      <c r="K183" s="414"/>
      <c r="L183" s="414"/>
      <c r="M183" s="414"/>
      <c r="N183" s="414"/>
      <c r="O183" s="414"/>
      <c r="P183" s="414"/>
      <c r="Q183" s="414"/>
      <c r="R183" s="414"/>
      <c r="S183" s="414"/>
      <c r="T183" s="414"/>
      <c r="U183" s="414" t="str">
        <f t="shared" si="4"/>
        <v/>
      </c>
      <c r="W183" s="480" t="str">
        <f t="shared" si="5"/>
        <v/>
      </c>
    </row>
    <row r="184" spans="1:23" ht="18" customHeight="1" x14ac:dyDescent="0.25">
      <c r="A184" s="415"/>
      <c r="B184" s="415"/>
      <c r="C184" s="415"/>
      <c r="D184" s="414"/>
      <c r="E184" s="414"/>
      <c r="F184" s="414"/>
      <c r="G184" s="414"/>
      <c r="H184" s="414"/>
      <c r="I184" s="414"/>
      <c r="J184" s="414"/>
      <c r="K184" s="414"/>
      <c r="L184" s="414"/>
      <c r="M184" s="414"/>
      <c r="N184" s="414"/>
      <c r="O184" s="414"/>
      <c r="P184" s="414"/>
      <c r="Q184" s="414"/>
      <c r="R184" s="414"/>
      <c r="S184" s="414"/>
      <c r="T184" s="414"/>
      <c r="U184" s="414" t="str">
        <f t="shared" si="4"/>
        <v/>
      </c>
      <c r="W184" s="480" t="str">
        <f t="shared" si="5"/>
        <v/>
      </c>
    </row>
    <row r="185" spans="1:23" ht="18" customHeight="1" x14ac:dyDescent="0.25">
      <c r="A185" s="415"/>
      <c r="B185" s="415"/>
      <c r="C185" s="415"/>
      <c r="D185" s="414"/>
      <c r="E185" s="414"/>
      <c r="F185" s="414"/>
      <c r="G185" s="414"/>
      <c r="H185" s="414"/>
      <c r="I185" s="414"/>
      <c r="J185" s="414"/>
      <c r="K185" s="414"/>
      <c r="L185" s="414"/>
      <c r="M185" s="414"/>
      <c r="N185" s="414"/>
      <c r="O185" s="414"/>
      <c r="P185" s="414"/>
      <c r="Q185" s="414"/>
      <c r="R185" s="414"/>
      <c r="S185" s="414"/>
      <c r="T185" s="414"/>
      <c r="U185" s="414" t="str">
        <f t="shared" si="4"/>
        <v/>
      </c>
      <c r="W185" s="480" t="str">
        <f t="shared" si="5"/>
        <v/>
      </c>
    </row>
    <row r="186" spans="1:23" ht="18" customHeight="1" x14ac:dyDescent="0.25">
      <c r="A186" s="415"/>
      <c r="B186" s="415"/>
      <c r="C186" s="415"/>
      <c r="D186" s="414"/>
      <c r="E186" s="414"/>
      <c r="F186" s="414"/>
      <c r="G186" s="414"/>
      <c r="H186" s="414"/>
      <c r="I186" s="414"/>
      <c r="J186" s="414"/>
      <c r="K186" s="414"/>
      <c r="L186" s="414"/>
      <c r="M186" s="414"/>
      <c r="N186" s="414"/>
      <c r="O186" s="414"/>
      <c r="P186" s="414"/>
      <c r="Q186" s="414"/>
      <c r="R186" s="414"/>
      <c r="S186" s="414"/>
      <c r="T186" s="414"/>
      <c r="U186" s="414" t="str">
        <f t="shared" si="4"/>
        <v/>
      </c>
      <c r="W186" s="480" t="str">
        <f t="shared" si="5"/>
        <v/>
      </c>
    </row>
    <row r="187" spans="1:23" ht="18" customHeight="1" x14ac:dyDescent="0.25">
      <c r="A187" s="415"/>
      <c r="B187" s="415"/>
      <c r="C187" s="415"/>
      <c r="D187" s="414"/>
      <c r="E187" s="414"/>
      <c r="F187" s="414"/>
      <c r="G187" s="414"/>
      <c r="H187" s="414"/>
      <c r="I187" s="414"/>
      <c r="J187" s="414"/>
      <c r="K187" s="414"/>
      <c r="L187" s="414"/>
      <c r="M187" s="414"/>
      <c r="N187" s="414"/>
      <c r="O187" s="414"/>
      <c r="P187" s="414"/>
      <c r="Q187" s="414"/>
      <c r="R187" s="414"/>
      <c r="S187" s="414"/>
      <c r="T187" s="414"/>
      <c r="U187" s="414" t="str">
        <f t="shared" si="4"/>
        <v/>
      </c>
      <c r="W187" s="480" t="str">
        <f t="shared" si="5"/>
        <v/>
      </c>
    </row>
    <row r="188" spans="1:23" ht="18" customHeight="1" x14ac:dyDescent="0.25">
      <c r="A188" s="415"/>
      <c r="B188" s="415"/>
      <c r="C188" s="415"/>
      <c r="D188" s="414"/>
      <c r="E188" s="414"/>
      <c r="F188" s="414"/>
      <c r="G188" s="414"/>
      <c r="H188" s="414"/>
      <c r="I188" s="414"/>
      <c r="J188" s="414"/>
      <c r="K188" s="414"/>
      <c r="L188" s="414"/>
      <c r="M188" s="414"/>
      <c r="N188" s="414"/>
      <c r="O188" s="414"/>
      <c r="P188" s="414"/>
      <c r="Q188" s="414"/>
      <c r="R188" s="414"/>
      <c r="S188" s="414"/>
      <c r="T188" s="414"/>
      <c r="U188" s="414" t="str">
        <f t="shared" si="4"/>
        <v/>
      </c>
      <c r="W188" s="480" t="str">
        <f t="shared" si="5"/>
        <v/>
      </c>
    </row>
    <row r="189" spans="1:23" ht="18" customHeight="1" x14ac:dyDescent="0.25">
      <c r="A189" s="415"/>
      <c r="B189" s="415"/>
      <c r="C189" s="415"/>
      <c r="D189" s="414"/>
      <c r="E189" s="414"/>
      <c r="F189" s="414"/>
      <c r="G189" s="414"/>
      <c r="H189" s="414"/>
      <c r="I189" s="414"/>
      <c r="J189" s="414"/>
      <c r="K189" s="414"/>
      <c r="L189" s="414"/>
      <c r="M189" s="414"/>
      <c r="N189" s="414"/>
      <c r="O189" s="414"/>
      <c r="P189" s="414"/>
      <c r="Q189" s="414"/>
      <c r="R189" s="414"/>
      <c r="S189" s="414"/>
      <c r="T189" s="414"/>
      <c r="U189" s="414" t="str">
        <f t="shared" si="4"/>
        <v/>
      </c>
      <c r="W189" s="480" t="str">
        <f t="shared" si="5"/>
        <v/>
      </c>
    </row>
    <row r="190" spans="1:23" ht="18" customHeight="1" x14ac:dyDescent="0.25">
      <c r="A190" s="415"/>
      <c r="B190" s="415"/>
      <c r="C190" s="415"/>
      <c r="D190" s="414"/>
      <c r="E190" s="414"/>
      <c r="F190" s="414"/>
      <c r="G190" s="414"/>
      <c r="H190" s="414"/>
      <c r="I190" s="414"/>
      <c r="J190" s="414"/>
      <c r="K190" s="414"/>
      <c r="L190" s="414"/>
      <c r="M190" s="414"/>
      <c r="N190" s="414"/>
      <c r="O190" s="414"/>
      <c r="P190" s="414"/>
      <c r="Q190" s="414"/>
      <c r="R190" s="414"/>
      <c r="S190" s="414"/>
      <c r="T190" s="414"/>
      <c r="U190" s="414" t="str">
        <f t="shared" si="4"/>
        <v/>
      </c>
      <c r="W190" s="480" t="str">
        <f t="shared" si="5"/>
        <v/>
      </c>
    </row>
    <row r="191" spans="1:23" ht="18" customHeight="1" x14ac:dyDescent="0.25">
      <c r="A191" s="415"/>
      <c r="B191" s="415"/>
      <c r="C191" s="415"/>
      <c r="D191" s="414"/>
      <c r="E191" s="414"/>
      <c r="F191" s="414"/>
      <c r="G191" s="414"/>
      <c r="H191" s="414"/>
      <c r="I191" s="414"/>
      <c r="J191" s="414"/>
      <c r="K191" s="414"/>
      <c r="L191" s="414"/>
      <c r="M191" s="414"/>
      <c r="N191" s="414"/>
      <c r="O191" s="414"/>
      <c r="P191" s="414"/>
      <c r="Q191" s="414"/>
      <c r="R191" s="414"/>
      <c r="S191" s="414"/>
      <c r="T191" s="414"/>
      <c r="U191" s="414" t="str">
        <f t="shared" si="4"/>
        <v/>
      </c>
      <c r="W191" s="480" t="str">
        <f t="shared" si="5"/>
        <v/>
      </c>
    </row>
    <row r="192" spans="1:23" ht="18" customHeight="1" x14ac:dyDescent="0.25">
      <c r="A192" s="415"/>
      <c r="B192" s="415"/>
      <c r="C192" s="415"/>
      <c r="D192" s="414"/>
      <c r="E192" s="414"/>
      <c r="F192" s="414"/>
      <c r="G192" s="414"/>
      <c r="H192" s="414"/>
      <c r="I192" s="414"/>
      <c r="J192" s="414"/>
      <c r="K192" s="414"/>
      <c r="L192" s="414"/>
      <c r="M192" s="414"/>
      <c r="N192" s="414"/>
      <c r="O192" s="414"/>
      <c r="P192" s="414"/>
      <c r="Q192" s="414"/>
      <c r="R192" s="414"/>
      <c r="S192" s="414"/>
      <c r="T192" s="414"/>
      <c r="U192" s="414" t="str">
        <f t="shared" si="4"/>
        <v/>
      </c>
      <c r="W192" s="480" t="str">
        <f t="shared" si="5"/>
        <v/>
      </c>
    </row>
    <row r="193" spans="1:23" ht="18" customHeight="1" x14ac:dyDescent="0.25">
      <c r="A193" s="415"/>
      <c r="B193" s="415"/>
      <c r="C193" s="415"/>
      <c r="D193" s="414"/>
      <c r="E193" s="414"/>
      <c r="F193" s="414"/>
      <c r="G193" s="414"/>
      <c r="H193" s="414"/>
      <c r="I193" s="414"/>
      <c r="J193" s="414"/>
      <c r="K193" s="414"/>
      <c r="L193" s="414"/>
      <c r="M193" s="414"/>
      <c r="N193" s="414"/>
      <c r="O193" s="414"/>
      <c r="P193" s="414"/>
      <c r="Q193" s="414"/>
      <c r="R193" s="414"/>
      <c r="S193" s="414"/>
      <c r="T193" s="414"/>
      <c r="U193" s="414" t="str">
        <f t="shared" si="4"/>
        <v/>
      </c>
      <c r="W193" s="480" t="str">
        <f t="shared" si="5"/>
        <v/>
      </c>
    </row>
    <row r="194" spans="1:23" ht="18" customHeight="1" x14ac:dyDescent="0.25">
      <c r="A194" s="415"/>
      <c r="B194" s="415"/>
      <c r="C194" s="415"/>
      <c r="D194" s="414"/>
      <c r="E194" s="414"/>
      <c r="F194" s="414"/>
      <c r="G194" s="414"/>
      <c r="H194" s="414"/>
      <c r="I194" s="414"/>
      <c r="J194" s="414"/>
      <c r="K194" s="414"/>
      <c r="L194" s="414"/>
      <c r="M194" s="414"/>
      <c r="N194" s="414"/>
      <c r="O194" s="414"/>
      <c r="P194" s="414"/>
      <c r="Q194" s="414"/>
      <c r="R194" s="414"/>
      <c r="S194" s="414"/>
      <c r="T194" s="414"/>
      <c r="U194" s="414" t="str">
        <f t="shared" si="4"/>
        <v/>
      </c>
      <c r="W194" s="480" t="str">
        <f t="shared" si="5"/>
        <v/>
      </c>
    </row>
    <row r="195" spans="1:23" ht="18" customHeight="1" x14ac:dyDescent="0.25">
      <c r="A195" s="415"/>
      <c r="B195" s="415"/>
      <c r="C195" s="415"/>
      <c r="D195" s="414"/>
      <c r="E195" s="414"/>
      <c r="F195" s="414"/>
      <c r="G195" s="414"/>
      <c r="H195" s="414"/>
      <c r="I195" s="414"/>
      <c r="J195" s="414"/>
      <c r="K195" s="414"/>
      <c r="L195" s="414"/>
      <c r="M195" s="414"/>
      <c r="N195" s="414"/>
      <c r="O195" s="414"/>
      <c r="P195" s="414"/>
      <c r="Q195" s="414"/>
      <c r="R195" s="414"/>
      <c r="S195" s="414"/>
      <c r="T195" s="414"/>
      <c r="U195" s="414" t="str">
        <f t="shared" si="4"/>
        <v/>
      </c>
      <c r="W195" s="480" t="str">
        <f t="shared" si="5"/>
        <v/>
      </c>
    </row>
    <row r="196" spans="1:23" ht="18" customHeight="1" x14ac:dyDescent="0.25">
      <c r="A196" s="415"/>
      <c r="B196" s="415"/>
      <c r="C196" s="415"/>
      <c r="D196" s="414"/>
      <c r="E196" s="414"/>
      <c r="F196" s="414"/>
      <c r="G196" s="414"/>
      <c r="H196" s="414"/>
      <c r="I196" s="414"/>
      <c r="J196" s="414"/>
      <c r="K196" s="414"/>
      <c r="L196" s="414"/>
      <c r="M196" s="414"/>
      <c r="N196" s="414"/>
      <c r="O196" s="414"/>
      <c r="P196" s="414"/>
      <c r="Q196" s="414"/>
      <c r="R196" s="414"/>
      <c r="S196" s="414"/>
      <c r="T196" s="414"/>
      <c r="U196" s="414" t="str">
        <f t="shared" si="4"/>
        <v/>
      </c>
      <c r="W196" s="480" t="str">
        <f t="shared" si="5"/>
        <v/>
      </c>
    </row>
    <row r="197" spans="1:23" ht="18" customHeight="1" x14ac:dyDescent="0.25">
      <c r="A197" s="415"/>
      <c r="B197" s="415"/>
      <c r="C197" s="415"/>
      <c r="D197" s="414"/>
      <c r="E197" s="414"/>
      <c r="F197" s="414"/>
      <c r="G197" s="414"/>
      <c r="H197" s="414"/>
      <c r="I197" s="414"/>
      <c r="J197" s="414"/>
      <c r="K197" s="414"/>
      <c r="L197" s="414"/>
      <c r="M197" s="414"/>
      <c r="N197" s="414"/>
      <c r="O197" s="414"/>
      <c r="P197" s="414"/>
      <c r="Q197" s="414"/>
      <c r="R197" s="414"/>
      <c r="S197" s="414"/>
      <c r="T197" s="414"/>
      <c r="U197" s="414" t="str">
        <f t="shared" si="4"/>
        <v/>
      </c>
      <c r="W197" s="480" t="str">
        <f t="shared" si="5"/>
        <v/>
      </c>
    </row>
    <row r="198" spans="1:23" ht="18" customHeight="1" x14ac:dyDescent="0.25">
      <c r="A198" s="415"/>
      <c r="B198" s="415"/>
      <c r="C198" s="415"/>
      <c r="D198" s="414"/>
      <c r="E198" s="414"/>
      <c r="F198" s="414"/>
      <c r="G198" s="414"/>
      <c r="H198" s="414"/>
      <c r="I198" s="414"/>
      <c r="J198" s="414"/>
      <c r="K198" s="414"/>
      <c r="L198" s="414"/>
      <c r="M198" s="414"/>
      <c r="N198" s="414"/>
      <c r="O198" s="414"/>
      <c r="P198" s="414"/>
      <c r="Q198" s="414"/>
      <c r="R198" s="414"/>
      <c r="S198" s="414"/>
      <c r="T198" s="414"/>
      <c r="U198" s="414" t="str">
        <f t="shared" si="4"/>
        <v/>
      </c>
      <c r="W198" s="480" t="str">
        <f t="shared" si="5"/>
        <v/>
      </c>
    </row>
    <row r="199" spans="1:23" ht="18" customHeight="1" x14ac:dyDescent="0.25">
      <c r="A199" s="415"/>
      <c r="B199" s="415"/>
      <c r="C199" s="415"/>
      <c r="D199" s="414"/>
      <c r="E199" s="414"/>
      <c r="F199" s="414"/>
      <c r="G199" s="414"/>
      <c r="H199" s="414"/>
      <c r="I199" s="414"/>
      <c r="J199" s="414"/>
      <c r="K199" s="414"/>
      <c r="L199" s="414"/>
      <c r="M199" s="414"/>
      <c r="N199" s="414"/>
      <c r="O199" s="414"/>
      <c r="P199" s="414"/>
      <c r="Q199" s="414"/>
      <c r="R199" s="414"/>
      <c r="S199" s="414"/>
      <c r="T199" s="414"/>
      <c r="U199" s="414" t="str">
        <f t="shared" si="4"/>
        <v/>
      </c>
      <c r="W199" s="480" t="str">
        <f t="shared" si="5"/>
        <v/>
      </c>
    </row>
    <row r="200" spans="1:23" ht="18" customHeight="1" x14ac:dyDescent="0.25">
      <c r="A200" s="415"/>
      <c r="B200" s="415"/>
      <c r="C200" s="415"/>
      <c r="D200" s="414"/>
      <c r="E200" s="414"/>
      <c r="F200" s="414"/>
      <c r="G200" s="414"/>
      <c r="H200" s="414"/>
      <c r="I200" s="414"/>
      <c r="J200" s="414"/>
      <c r="K200" s="414"/>
      <c r="L200" s="414"/>
      <c r="M200" s="414"/>
      <c r="N200" s="414"/>
      <c r="O200" s="414"/>
      <c r="P200" s="414"/>
      <c r="Q200" s="414"/>
      <c r="R200" s="414"/>
      <c r="S200" s="414"/>
      <c r="T200" s="414"/>
      <c r="U200" s="414" t="str">
        <f t="shared" si="4"/>
        <v/>
      </c>
      <c r="W200" s="480" t="str">
        <f t="shared" si="5"/>
        <v/>
      </c>
    </row>
    <row r="201" spans="1:23" ht="18" customHeight="1" x14ac:dyDescent="0.25">
      <c r="A201" s="415"/>
      <c r="B201" s="415"/>
      <c r="C201" s="415"/>
      <c r="D201" s="414"/>
      <c r="E201" s="414"/>
      <c r="F201" s="414"/>
      <c r="G201" s="414"/>
      <c r="H201" s="414"/>
      <c r="I201" s="414"/>
      <c r="J201" s="414"/>
      <c r="K201" s="414"/>
      <c r="L201" s="414"/>
      <c r="M201" s="414"/>
      <c r="N201" s="414"/>
      <c r="O201" s="414"/>
      <c r="P201" s="414"/>
      <c r="Q201" s="414"/>
      <c r="R201" s="414"/>
      <c r="S201" s="414"/>
      <c r="T201" s="414"/>
      <c r="U201" s="414" t="str">
        <f t="shared" si="4"/>
        <v/>
      </c>
      <c r="W201" s="480" t="str">
        <f t="shared" si="5"/>
        <v/>
      </c>
    </row>
    <row r="202" spans="1:23" ht="18" customHeight="1" x14ac:dyDescent="0.25">
      <c r="A202" s="415"/>
      <c r="B202" s="415"/>
      <c r="C202" s="415"/>
      <c r="D202" s="414"/>
      <c r="E202" s="414"/>
      <c r="F202" s="414"/>
      <c r="G202" s="414"/>
      <c r="H202" s="414"/>
      <c r="I202" s="414"/>
      <c r="J202" s="414"/>
      <c r="K202" s="414"/>
      <c r="L202" s="414"/>
      <c r="M202" s="414"/>
      <c r="N202" s="414"/>
      <c r="O202" s="414"/>
      <c r="P202" s="414"/>
      <c r="Q202" s="414"/>
      <c r="R202" s="414"/>
      <c r="S202" s="414"/>
      <c r="T202" s="414"/>
      <c r="U202" s="414" t="str">
        <f t="shared" si="4"/>
        <v/>
      </c>
      <c r="W202" s="480" t="str">
        <f t="shared" si="5"/>
        <v/>
      </c>
    </row>
    <row r="203" spans="1:23" ht="18" customHeight="1" x14ac:dyDescent="0.25">
      <c r="A203" s="415"/>
      <c r="B203" s="415"/>
      <c r="C203" s="415"/>
      <c r="D203" s="414"/>
      <c r="E203" s="414"/>
      <c r="F203" s="414"/>
      <c r="G203" s="414"/>
      <c r="H203" s="414"/>
      <c r="I203" s="414"/>
      <c r="J203" s="414"/>
      <c r="K203" s="414"/>
      <c r="L203" s="414"/>
      <c r="M203" s="414"/>
      <c r="N203" s="414"/>
      <c r="O203" s="414"/>
      <c r="P203" s="414"/>
      <c r="Q203" s="414"/>
      <c r="R203" s="414"/>
      <c r="S203" s="414"/>
      <c r="T203" s="414"/>
      <c r="U203" s="414" t="str">
        <f t="shared" si="4"/>
        <v/>
      </c>
      <c r="W203" s="480" t="str">
        <f t="shared" si="5"/>
        <v/>
      </c>
    </row>
    <row r="204" spans="1:23" ht="18" customHeight="1" x14ac:dyDescent="0.25">
      <c r="A204" s="415"/>
      <c r="B204" s="415"/>
      <c r="C204" s="415"/>
      <c r="D204" s="414"/>
      <c r="E204" s="414"/>
      <c r="F204" s="414"/>
      <c r="G204" s="414"/>
      <c r="H204" s="414"/>
      <c r="I204" s="414"/>
      <c r="J204" s="414"/>
      <c r="K204" s="414"/>
      <c r="L204" s="414"/>
      <c r="M204" s="414"/>
      <c r="N204" s="414"/>
      <c r="O204" s="414"/>
      <c r="P204" s="414"/>
      <c r="Q204" s="414"/>
      <c r="R204" s="414"/>
      <c r="S204" s="414"/>
      <c r="T204" s="414"/>
      <c r="U204" s="414" t="str">
        <f t="shared" ref="U204:U267" si="6">IFERROR(AVERAGEIF(D204:T204,"&gt;0",D204:T204),"")</f>
        <v/>
      </c>
      <c r="W204" s="480" t="str">
        <f t="shared" ref="W204:W267" si="7">IFERROR(MEDIAN(D204:J204),"")</f>
        <v/>
      </c>
    </row>
    <row r="205" spans="1:23" ht="18" customHeight="1" x14ac:dyDescent="0.25">
      <c r="A205" s="415"/>
      <c r="B205" s="415"/>
      <c r="C205" s="415"/>
      <c r="D205" s="414"/>
      <c r="E205" s="414"/>
      <c r="F205" s="414"/>
      <c r="G205" s="414"/>
      <c r="H205" s="414"/>
      <c r="I205" s="414"/>
      <c r="J205" s="414"/>
      <c r="K205" s="414"/>
      <c r="L205" s="414"/>
      <c r="M205" s="414"/>
      <c r="N205" s="414"/>
      <c r="O205" s="414"/>
      <c r="P205" s="414"/>
      <c r="Q205" s="414"/>
      <c r="R205" s="414"/>
      <c r="S205" s="414"/>
      <c r="T205" s="414"/>
      <c r="U205" s="414" t="str">
        <f t="shared" si="6"/>
        <v/>
      </c>
      <c r="W205" s="480" t="str">
        <f t="shared" si="7"/>
        <v/>
      </c>
    </row>
    <row r="206" spans="1:23" ht="18" customHeight="1" x14ac:dyDescent="0.25">
      <c r="A206" s="415"/>
      <c r="B206" s="415"/>
      <c r="C206" s="415"/>
      <c r="D206" s="414"/>
      <c r="E206" s="414"/>
      <c r="F206" s="414"/>
      <c r="G206" s="414"/>
      <c r="H206" s="414"/>
      <c r="I206" s="414"/>
      <c r="J206" s="414"/>
      <c r="K206" s="414"/>
      <c r="L206" s="414"/>
      <c r="M206" s="414"/>
      <c r="N206" s="414"/>
      <c r="O206" s="414"/>
      <c r="P206" s="414"/>
      <c r="Q206" s="414"/>
      <c r="R206" s="414"/>
      <c r="S206" s="414"/>
      <c r="T206" s="414"/>
      <c r="U206" s="414" t="str">
        <f t="shared" si="6"/>
        <v/>
      </c>
      <c r="W206" s="480" t="str">
        <f t="shared" si="7"/>
        <v/>
      </c>
    </row>
    <row r="207" spans="1:23" ht="18" customHeight="1" x14ac:dyDescent="0.25">
      <c r="A207" s="415"/>
      <c r="B207" s="415"/>
      <c r="C207" s="415"/>
      <c r="D207" s="414"/>
      <c r="E207" s="414"/>
      <c r="F207" s="414"/>
      <c r="G207" s="414"/>
      <c r="H207" s="414"/>
      <c r="I207" s="414"/>
      <c r="J207" s="414"/>
      <c r="K207" s="414"/>
      <c r="L207" s="414"/>
      <c r="M207" s="414"/>
      <c r="N207" s="414"/>
      <c r="O207" s="414"/>
      <c r="P207" s="414"/>
      <c r="Q207" s="414"/>
      <c r="R207" s="414"/>
      <c r="S207" s="414"/>
      <c r="T207" s="414"/>
      <c r="U207" s="414" t="str">
        <f t="shared" si="6"/>
        <v/>
      </c>
      <c r="W207" s="480" t="str">
        <f t="shared" si="7"/>
        <v/>
      </c>
    </row>
    <row r="208" spans="1:23" ht="18" customHeight="1" x14ac:dyDescent="0.25">
      <c r="A208" s="415"/>
      <c r="B208" s="415"/>
      <c r="C208" s="415"/>
      <c r="D208" s="414"/>
      <c r="E208" s="414"/>
      <c r="F208" s="414"/>
      <c r="G208" s="414"/>
      <c r="H208" s="414"/>
      <c r="I208" s="414"/>
      <c r="J208" s="414"/>
      <c r="K208" s="414"/>
      <c r="L208" s="414"/>
      <c r="M208" s="414"/>
      <c r="N208" s="414"/>
      <c r="O208" s="414"/>
      <c r="P208" s="414"/>
      <c r="Q208" s="414"/>
      <c r="R208" s="414"/>
      <c r="S208" s="414"/>
      <c r="T208" s="414"/>
      <c r="U208" s="414" t="str">
        <f t="shared" si="6"/>
        <v/>
      </c>
      <c r="W208" s="480" t="str">
        <f t="shared" si="7"/>
        <v/>
      </c>
    </row>
    <row r="209" spans="1:23" ht="18" customHeight="1" x14ac:dyDescent="0.25">
      <c r="A209" s="415"/>
      <c r="B209" s="415"/>
      <c r="C209" s="415"/>
      <c r="D209" s="414"/>
      <c r="E209" s="414"/>
      <c r="F209" s="414"/>
      <c r="G209" s="414"/>
      <c r="H209" s="414"/>
      <c r="I209" s="414"/>
      <c r="J209" s="414"/>
      <c r="K209" s="414"/>
      <c r="L209" s="414"/>
      <c r="M209" s="414"/>
      <c r="N209" s="414"/>
      <c r="O209" s="414"/>
      <c r="P209" s="414"/>
      <c r="Q209" s="414"/>
      <c r="R209" s="414"/>
      <c r="S209" s="414"/>
      <c r="T209" s="414"/>
      <c r="U209" s="414" t="str">
        <f t="shared" si="6"/>
        <v/>
      </c>
      <c r="W209" s="480" t="str">
        <f t="shared" si="7"/>
        <v/>
      </c>
    </row>
    <row r="210" spans="1:23" ht="18" customHeight="1" x14ac:dyDescent="0.25">
      <c r="A210" s="415"/>
      <c r="B210" s="415"/>
      <c r="C210" s="415"/>
      <c r="D210" s="414"/>
      <c r="E210" s="414"/>
      <c r="F210" s="414"/>
      <c r="G210" s="414"/>
      <c r="H210" s="414"/>
      <c r="I210" s="414"/>
      <c r="J210" s="414"/>
      <c r="K210" s="414"/>
      <c r="L210" s="414"/>
      <c r="M210" s="414"/>
      <c r="N210" s="414"/>
      <c r="O210" s="414"/>
      <c r="P210" s="414"/>
      <c r="Q210" s="414"/>
      <c r="R210" s="414"/>
      <c r="S210" s="414"/>
      <c r="T210" s="414"/>
      <c r="U210" s="414" t="str">
        <f t="shared" si="6"/>
        <v/>
      </c>
      <c r="W210" s="480" t="str">
        <f t="shared" si="7"/>
        <v/>
      </c>
    </row>
    <row r="211" spans="1:23" ht="18" customHeight="1" x14ac:dyDescent="0.25">
      <c r="A211" s="415"/>
      <c r="B211" s="415"/>
      <c r="C211" s="415"/>
      <c r="D211" s="414"/>
      <c r="E211" s="414"/>
      <c r="F211" s="414"/>
      <c r="G211" s="414"/>
      <c r="H211" s="414"/>
      <c r="I211" s="414"/>
      <c r="J211" s="414"/>
      <c r="K211" s="414"/>
      <c r="L211" s="414"/>
      <c r="M211" s="414"/>
      <c r="N211" s="414"/>
      <c r="O211" s="414"/>
      <c r="P211" s="414"/>
      <c r="Q211" s="414"/>
      <c r="R211" s="414"/>
      <c r="S211" s="414"/>
      <c r="T211" s="414"/>
      <c r="U211" s="414" t="str">
        <f t="shared" si="6"/>
        <v/>
      </c>
      <c r="W211" s="480" t="str">
        <f t="shared" si="7"/>
        <v/>
      </c>
    </row>
    <row r="212" spans="1:23" ht="18" customHeight="1" x14ac:dyDescent="0.25">
      <c r="A212" s="415"/>
      <c r="B212" s="415"/>
      <c r="C212" s="415"/>
      <c r="D212" s="414"/>
      <c r="E212" s="414"/>
      <c r="F212" s="414"/>
      <c r="G212" s="414"/>
      <c r="H212" s="414"/>
      <c r="I212" s="414"/>
      <c r="J212" s="414"/>
      <c r="K212" s="414"/>
      <c r="L212" s="414"/>
      <c r="M212" s="414"/>
      <c r="N212" s="414"/>
      <c r="O212" s="414"/>
      <c r="P212" s="414"/>
      <c r="Q212" s="414"/>
      <c r="R212" s="414"/>
      <c r="S212" s="414"/>
      <c r="T212" s="414"/>
      <c r="U212" s="414" t="str">
        <f t="shared" si="6"/>
        <v/>
      </c>
      <c r="W212" s="480" t="str">
        <f t="shared" si="7"/>
        <v/>
      </c>
    </row>
    <row r="213" spans="1:23" ht="18" customHeight="1" x14ac:dyDescent="0.25">
      <c r="A213" s="415"/>
      <c r="B213" s="415"/>
      <c r="C213" s="415"/>
      <c r="D213" s="414"/>
      <c r="E213" s="414"/>
      <c r="F213" s="414"/>
      <c r="G213" s="414"/>
      <c r="H213" s="414"/>
      <c r="I213" s="414"/>
      <c r="J213" s="414"/>
      <c r="K213" s="414"/>
      <c r="L213" s="414"/>
      <c r="M213" s="414"/>
      <c r="N213" s="414"/>
      <c r="O213" s="414"/>
      <c r="P213" s="414"/>
      <c r="Q213" s="414"/>
      <c r="R213" s="414"/>
      <c r="S213" s="414"/>
      <c r="T213" s="414"/>
      <c r="U213" s="414" t="str">
        <f t="shared" si="6"/>
        <v/>
      </c>
      <c r="W213" s="480" t="str">
        <f t="shared" si="7"/>
        <v/>
      </c>
    </row>
    <row r="214" spans="1:23" ht="18" customHeight="1" x14ac:dyDescent="0.25">
      <c r="A214" s="415"/>
      <c r="B214" s="415"/>
      <c r="C214" s="415"/>
      <c r="D214" s="414"/>
      <c r="E214" s="414"/>
      <c r="F214" s="414"/>
      <c r="G214" s="414"/>
      <c r="H214" s="414"/>
      <c r="I214" s="414"/>
      <c r="J214" s="414"/>
      <c r="K214" s="414"/>
      <c r="L214" s="414"/>
      <c r="M214" s="414"/>
      <c r="N214" s="414"/>
      <c r="O214" s="414"/>
      <c r="P214" s="414"/>
      <c r="Q214" s="414"/>
      <c r="R214" s="414"/>
      <c r="S214" s="414"/>
      <c r="T214" s="414"/>
      <c r="U214" s="414" t="str">
        <f t="shared" si="6"/>
        <v/>
      </c>
      <c r="W214" s="480" t="str">
        <f t="shared" si="7"/>
        <v/>
      </c>
    </row>
    <row r="215" spans="1:23" ht="18" customHeight="1" x14ac:dyDescent="0.25">
      <c r="A215" s="415"/>
      <c r="B215" s="415"/>
      <c r="C215" s="415"/>
      <c r="D215" s="414"/>
      <c r="E215" s="414"/>
      <c r="F215" s="414"/>
      <c r="G215" s="414"/>
      <c r="H215" s="414"/>
      <c r="I215" s="414"/>
      <c r="J215" s="414"/>
      <c r="K215" s="414"/>
      <c r="L215" s="414"/>
      <c r="M215" s="414"/>
      <c r="N215" s="414"/>
      <c r="O215" s="414"/>
      <c r="P215" s="414"/>
      <c r="Q215" s="414"/>
      <c r="R215" s="414"/>
      <c r="S215" s="414"/>
      <c r="T215" s="414"/>
      <c r="U215" s="414" t="str">
        <f t="shared" si="6"/>
        <v/>
      </c>
      <c r="W215" s="480" t="str">
        <f t="shared" si="7"/>
        <v/>
      </c>
    </row>
    <row r="216" spans="1:23" ht="18" customHeight="1" x14ac:dyDescent="0.25">
      <c r="A216" s="415"/>
      <c r="B216" s="415"/>
      <c r="C216" s="415"/>
      <c r="D216" s="414"/>
      <c r="E216" s="414"/>
      <c r="F216" s="414"/>
      <c r="G216" s="414"/>
      <c r="H216" s="414"/>
      <c r="I216" s="414"/>
      <c r="J216" s="414"/>
      <c r="K216" s="414"/>
      <c r="L216" s="414"/>
      <c r="M216" s="414"/>
      <c r="N216" s="414"/>
      <c r="O216" s="414"/>
      <c r="P216" s="414"/>
      <c r="Q216" s="414"/>
      <c r="R216" s="414"/>
      <c r="S216" s="414"/>
      <c r="T216" s="414"/>
      <c r="U216" s="414" t="str">
        <f t="shared" si="6"/>
        <v/>
      </c>
      <c r="W216" s="480" t="str">
        <f t="shared" si="7"/>
        <v/>
      </c>
    </row>
    <row r="217" spans="1:23" ht="18" customHeight="1" x14ac:dyDescent="0.25">
      <c r="A217" s="415"/>
      <c r="B217" s="415"/>
      <c r="C217" s="415"/>
      <c r="D217" s="414"/>
      <c r="E217" s="414"/>
      <c r="F217" s="414"/>
      <c r="G217" s="414"/>
      <c r="H217" s="414"/>
      <c r="I217" s="414"/>
      <c r="J217" s="414"/>
      <c r="K217" s="414"/>
      <c r="L217" s="414"/>
      <c r="M217" s="414"/>
      <c r="N217" s="414"/>
      <c r="O217" s="414"/>
      <c r="P217" s="414"/>
      <c r="Q217" s="414"/>
      <c r="R217" s="414"/>
      <c r="S217" s="414"/>
      <c r="T217" s="414"/>
      <c r="U217" s="414" t="str">
        <f t="shared" si="6"/>
        <v/>
      </c>
      <c r="W217" s="480" t="str">
        <f t="shared" si="7"/>
        <v/>
      </c>
    </row>
    <row r="218" spans="1:23" ht="18" customHeight="1" x14ac:dyDescent="0.25">
      <c r="A218" s="415"/>
      <c r="B218" s="415"/>
      <c r="C218" s="415"/>
      <c r="D218" s="414"/>
      <c r="E218" s="414"/>
      <c r="F218" s="414"/>
      <c r="G218" s="414"/>
      <c r="H218" s="414"/>
      <c r="I218" s="414"/>
      <c r="J218" s="414"/>
      <c r="K218" s="414"/>
      <c r="L218" s="414"/>
      <c r="M218" s="414"/>
      <c r="N218" s="414"/>
      <c r="O218" s="414"/>
      <c r="P218" s="414"/>
      <c r="Q218" s="414"/>
      <c r="R218" s="414"/>
      <c r="S218" s="414"/>
      <c r="T218" s="414"/>
      <c r="U218" s="414" t="str">
        <f t="shared" si="6"/>
        <v/>
      </c>
      <c r="W218" s="480" t="str">
        <f t="shared" si="7"/>
        <v/>
      </c>
    </row>
    <row r="219" spans="1:23" ht="18" customHeight="1" x14ac:dyDescent="0.25">
      <c r="A219" s="415"/>
      <c r="B219" s="415"/>
      <c r="C219" s="415"/>
      <c r="D219" s="414"/>
      <c r="E219" s="414"/>
      <c r="F219" s="414"/>
      <c r="G219" s="414"/>
      <c r="H219" s="414"/>
      <c r="I219" s="414"/>
      <c r="J219" s="414"/>
      <c r="K219" s="414"/>
      <c r="L219" s="414"/>
      <c r="M219" s="414"/>
      <c r="N219" s="414"/>
      <c r="O219" s="414"/>
      <c r="P219" s="414"/>
      <c r="Q219" s="414"/>
      <c r="R219" s="414"/>
      <c r="S219" s="414"/>
      <c r="T219" s="414"/>
      <c r="U219" s="414" t="str">
        <f t="shared" si="6"/>
        <v/>
      </c>
      <c r="W219" s="480" t="str">
        <f t="shared" si="7"/>
        <v/>
      </c>
    </row>
    <row r="220" spans="1:23" ht="18" customHeight="1" x14ac:dyDescent="0.25">
      <c r="A220" s="415"/>
      <c r="B220" s="415"/>
      <c r="C220" s="415"/>
      <c r="D220" s="414"/>
      <c r="E220" s="414"/>
      <c r="F220" s="414"/>
      <c r="G220" s="414"/>
      <c r="H220" s="414"/>
      <c r="I220" s="414"/>
      <c r="J220" s="414"/>
      <c r="K220" s="414"/>
      <c r="L220" s="414"/>
      <c r="M220" s="414"/>
      <c r="N220" s="414"/>
      <c r="O220" s="414"/>
      <c r="P220" s="414"/>
      <c r="Q220" s="414"/>
      <c r="R220" s="414"/>
      <c r="S220" s="414"/>
      <c r="T220" s="414"/>
      <c r="U220" s="414" t="str">
        <f t="shared" si="6"/>
        <v/>
      </c>
      <c r="W220" s="480" t="str">
        <f t="shared" si="7"/>
        <v/>
      </c>
    </row>
    <row r="221" spans="1:23" ht="18" customHeight="1" x14ac:dyDescent="0.25">
      <c r="A221" s="415"/>
      <c r="B221" s="415"/>
      <c r="C221" s="415"/>
      <c r="D221" s="414"/>
      <c r="E221" s="414"/>
      <c r="F221" s="414"/>
      <c r="G221" s="414"/>
      <c r="H221" s="414"/>
      <c r="I221" s="414"/>
      <c r="J221" s="414"/>
      <c r="K221" s="414"/>
      <c r="L221" s="414"/>
      <c r="M221" s="414"/>
      <c r="N221" s="414"/>
      <c r="O221" s="414"/>
      <c r="P221" s="414"/>
      <c r="Q221" s="414"/>
      <c r="R221" s="414"/>
      <c r="S221" s="414"/>
      <c r="T221" s="414"/>
      <c r="U221" s="414" t="str">
        <f t="shared" si="6"/>
        <v/>
      </c>
      <c r="W221" s="480" t="str">
        <f t="shared" si="7"/>
        <v/>
      </c>
    </row>
    <row r="222" spans="1:23" ht="18" customHeight="1" x14ac:dyDescent="0.25">
      <c r="A222" s="415"/>
      <c r="B222" s="415"/>
      <c r="C222" s="415"/>
      <c r="D222" s="414"/>
      <c r="E222" s="414"/>
      <c r="F222" s="414"/>
      <c r="G222" s="414"/>
      <c r="H222" s="414"/>
      <c r="I222" s="414"/>
      <c r="J222" s="414"/>
      <c r="K222" s="414"/>
      <c r="L222" s="414"/>
      <c r="M222" s="414"/>
      <c r="N222" s="414"/>
      <c r="O222" s="414"/>
      <c r="P222" s="414"/>
      <c r="Q222" s="414"/>
      <c r="R222" s="414"/>
      <c r="S222" s="414"/>
      <c r="T222" s="414"/>
      <c r="U222" s="414" t="str">
        <f t="shared" si="6"/>
        <v/>
      </c>
      <c r="W222" s="480" t="str">
        <f t="shared" si="7"/>
        <v/>
      </c>
    </row>
    <row r="223" spans="1:23" ht="18" customHeight="1" x14ac:dyDescent="0.25">
      <c r="A223" s="415"/>
      <c r="B223" s="415"/>
      <c r="C223" s="415"/>
      <c r="D223" s="414"/>
      <c r="E223" s="414"/>
      <c r="F223" s="414"/>
      <c r="G223" s="414"/>
      <c r="H223" s="414"/>
      <c r="I223" s="414"/>
      <c r="J223" s="414"/>
      <c r="K223" s="414"/>
      <c r="L223" s="414"/>
      <c r="M223" s="414"/>
      <c r="N223" s="414"/>
      <c r="O223" s="414"/>
      <c r="P223" s="414"/>
      <c r="Q223" s="414"/>
      <c r="R223" s="414"/>
      <c r="S223" s="414"/>
      <c r="T223" s="414"/>
      <c r="U223" s="414" t="str">
        <f t="shared" si="6"/>
        <v/>
      </c>
      <c r="W223" s="480" t="str">
        <f t="shared" si="7"/>
        <v/>
      </c>
    </row>
    <row r="224" spans="1:23" ht="18" customHeight="1" x14ac:dyDescent="0.25">
      <c r="A224" s="415"/>
      <c r="B224" s="415"/>
      <c r="C224" s="415"/>
      <c r="D224" s="414"/>
      <c r="E224" s="414"/>
      <c r="F224" s="414"/>
      <c r="G224" s="414"/>
      <c r="H224" s="414"/>
      <c r="I224" s="414"/>
      <c r="J224" s="414"/>
      <c r="K224" s="414"/>
      <c r="L224" s="414"/>
      <c r="M224" s="414"/>
      <c r="N224" s="414"/>
      <c r="O224" s="414"/>
      <c r="P224" s="414"/>
      <c r="Q224" s="414"/>
      <c r="R224" s="414"/>
      <c r="S224" s="414"/>
      <c r="T224" s="414"/>
      <c r="U224" s="414" t="str">
        <f t="shared" si="6"/>
        <v/>
      </c>
      <c r="W224" s="480" t="str">
        <f t="shared" si="7"/>
        <v/>
      </c>
    </row>
    <row r="225" spans="1:23" ht="18" customHeight="1" x14ac:dyDescent="0.25">
      <c r="A225" s="415"/>
      <c r="B225" s="415"/>
      <c r="C225" s="415"/>
      <c r="D225" s="414"/>
      <c r="E225" s="414"/>
      <c r="F225" s="414"/>
      <c r="G225" s="414"/>
      <c r="H225" s="414"/>
      <c r="I225" s="414"/>
      <c r="J225" s="414"/>
      <c r="K225" s="414"/>
      <c r="L225" s="414"/>
      <c r="M225" s="414"/>
      <c r="N225" s="414"/>
      <c r="O225" s="414"/>
      <c r="P225" s="414"/>
      <c r="Q225" s="414"/>
      <c r="R225" s="414"/>
      <c r="S225" s="414"/>
      <c r="T225" s="414"/>
      <c r="U225" s="414" t="str">
        <f t="shared" si="6"/>
        <v/>
      </c>
      <c r="W225" s="480" t="str">
        <f t="shared" si="7"/>
        <v/>
      </c>
    </row>
    <row r="226" spans="1:23" ht="18" customHeight="1" x14ac:dyDescent="0.25">
      <c r="A226" s="415"/>
      <c r="B226" s="415"/>
      <c r="C226" s="415"/>
      <c r="D226" s="414"/>
      <c r="E226" s="414"/>
      <c r="F226" s="414"/>
      <c r="G226" s="414"/>
      <c r="H226" s="414"/>
      <c r="I226" s="414"/>
      <c r="J226" s="414"/>
      <c r="K226" s="414"/>
      <c r="L226" s="414"/>
      <c r="M226" s="414"/>
      <c r="N226" s="414"/>
      <c r="O226" s="414"/>
      <c r="P226" s="414"/>
      <c r="Q226" s="414"/>
      <c r="R226" s="414"/>
      <c r="S226" s="414"/>
      <c r="T226" s="414"/>
      <c r="U226" s="414" t="str">
        <f t="shared" si="6"/>
        <v/>
      </c>
      <c r="W226" s="480" t="str">
        <f t="shared" si="7"/>
        <v/>
      </c>
    </row>
    <row r="227" spans="1:23" ht="18" customHeight="1" x14ac:dyDescent="0.25">
      <c r="A227" s="415"/>
      <c r="B227" s="415"/>
      <c r="C227" s="415"/>
      <c r="D227" s="414"/>
      <c r="E227" s="414"/>
      <c r="F227" s="414"/>
      <c r="G227" s="414"/>
      <c r="H227" s="414"/>
      <c r="I227" s="414"/>
      <c r="J227" s="414"/>
      <c r="K227" s="414"/>
      <c r="L227" s="414"/>
      <c r="M227" s="414"/>
      <c r="N227" s="414"/>
      <c r="O227" s="414"/>
      <c r="P227" s="414"/>
      <c r="Q227" s="414"/>
      <c r="R227" s="414"/>
      <c r="S227" s="414"/>
      <c r="T227" s="414"/>
      <c r="U227" s="414" t="str">
        <f t="shared" si="6"/>
        <v/>
      </c>
      <c r="W227" s="480" t="str">
        <f t="shared" si="7"/>
        <v/>
      </c>
    </row>
    <row r="228" spans="1:23" ht="18" customHeight="1" x14ac:dyDescent="0.25">
      <c r="A228" s="415"/>
      <c r="B228" s="415"/>
      <c r="C228" s="415"/>
      <c r="D228" s="414"/>
      <c r="E228" s="414"/>
      <c r="F228" s="414"/>
      <c r="G228" s="414"/>
      <c r="H228" s="414"/>
      <c r="I228" s="414"/>
      <c r="J228" s="414"/>
      <c r="K228" s="414"/>
      <c r="L228" s="414"/>
      <c r="M228" s="414"/>
      <c r="N228" s="414"/>
      <c r="O228" s="414"/>
      <c r="P228" s="414"/>
      <c r="Q228" s="414"/>
      <c r="R228" s="414"/>
      <c r="S228" s="414"/>
      <c r="T228" s="414"/>
      <c r="U228" s="414" t="str">
        <f t="shared" si="6"/>
        <v/>
      </c>
      <c r="W228" s="480" t="str">
        <f t="shared" si="7"/>
        <v/>
      </c>
    </row>
    <row r="229" spans="1:23" ht="18" customHeight="1" x14ac:dyDescent="0.25">
      <c r="A229" s="415"/>
      <c r="B229" s="415"/>
      <c r="C229" s="415"/>
      <c r="D229" s="414"/>
      <c r="E229" s="414"/>
      <c r="F229" s="414"/>
      <c r="G229" s="414"/>
      <c r="H229" s="414"/>
      <c r="I229" s="414"/>
      <c r="J229" s="414"/>
      <c r="K229" s="414"/>
      <c r="L229" s="414"/>
      <c r="M229" s="414"/>
      <c r="N229" s="414"/>
      <c r="O229" s="414"/>
      <c r="P229" s="414"/>
      <c r="Q229" s="414"/>
      <c r="R229" s="414"/>
      <c r="S229" s="414"/>
      <c r="T229" s="414"/>
      <c r="U229" s="414" t="str">
        <f t="shared" si="6"/>
        <v/>
      </c>
      <c r="W229" s="480" t="str">
        <f t="shared" si="7"/>
        <v/>
      </c>
    </row>
    <row r="230" spans="1:23" ht="18" customHeight="1" x14ac:dyDescent="0.25">
      <c r="A230" s="415"/>
      <c r="B230" s="415"/>
      <c r="C230" s="415"/>
      <c r="D230" s="414"/>
      <c r="E230" s="414"/>
      <c r="F230" s="414"/>
      <c r="G230" s="414"/>
      <c r="H230" s="414"/>
      <c r="I230" s="414"/>
      <c r="J230" s="414"/>
      <c r="K230" s="414"/>
      <c r="L230" s="414"/>
      <c r="M230" s="414"/>
      <c r="N230" s="414"/>
      <c r="O230" s="414"/>
      <c r="P230" s="414"/>
      <c r="Q230" s="414"/>
      <c r="R230" s="414"/>
      <c r="S230" s="414"/>
      <c r="T230" s="414"/>
      <c r="U230" s="414" t="str">
        <f t="shared" si="6"/>
        <v/>
      </c>
      <c r="W230" s="480" t="str">
        <f t="shared" si="7"/>
        <v/>
      </c>
    </row>
    <row r="231" spans="1:23" ht="18" customHeight="1" x14ac:dyDescent="0.25">
      <c r="A231" s="415"/>
      <c r="B231" s="415"/>
      <c r="C231" s="415"/>
      <c r="D231" s="414"/>
      <c r="E231" s="414"/>
      <c r="F231" s="414"/>
      <c r="G231" s="414"/>
      <c r="H231" s="414"/>
      <c r="I231" s="414"/>
      <c r="J231" s="414"/>
      <c r="K231" s="414"/>
      <c r="L231" s="414"/>
      <c r="M231" s="414"/>
      <c r="N231" s="414"/>
      <c r="O231" s="414"/>
      <c r="P231" s="414"/>
      <c r="Q231" s="414"/>
      <c r="R231" s="414"/>
      <c r="S231" s="414"/>
      <c r="T231" s="414"/>
      <c r="U231" s="414" t="str">
        <f t="shared" si="6"/>
        <v/>
      </c>
      <c r="W231" s="480" t="str">
        <f t="shared" si="7"/>
        <v/>
      </c>
    </row>
    <row r="232" spans="1:23" ht="18" customHeight="1" x14ac:dyDescent="0.25">
      <c r="A232" s="415"/>
      <c r="B232" s="415"/>
      <c r="C232" s="415"/>
      <c r="D232" s="414"/>
      <c r="E232" s="414"/>
      <c r="F232" s="414"/>
      <c r="G232" s="414"/>
      <c r="H232" s="414"/>
      <c r="I232" s="414"/>
      <c r="J232" s="414"/>
      <c r="K232" s="414"/>
      <c r="L232" s="414"/>
      <c r="M232" s="414"/>
      <c r="N232" s="414"/>
      <c r="O232" s="414"/>
      <c r="P232" s="414"/>
      <c r="Q232" s="414"/>
      <c r="R232" s="414"/>
      <c r="S232" s="414"/>
      <c r="T232" s="414"/>
      <c r="U232" s="414" t="str">
        <f t="shared" si="6"/>
        <v/>
      </c>
      <c r="W232" s="480" t="str">
        <f t="shared" si="7"/>
        <v/>
      </c>
    </row>
    <row r="233" spans="1:23" ht="18" customHeight="1" x14ac:dyDescent="0.25">
      <c r="A233" s="415"/>
      <c r="B233" s="415"/>
      <c r="C233" s="415"/>
      <c r="D233" s="414"/>
      <c r="E233" s="414"/>
      <c r="F233" s="414"/>
      <c r="G233" s="414"/>
      <c r="H233" s="414"/>
      <c r="I233" s="414"/>
      <c r="J233" s="414"/>
      <c r="K233" s="414"/>
      <c r="L233" s="414"/>
      <c r="M233" s="414"/>
      <c r="N233" s="414"/>
      <c r="O233" s="414"/>
      <c r="P233" s="414"/>
      <c r="Q233" s="414"/>
      <c r="R233" s="414"/>
      <c r="S233" s="414"/>
      <c r="T233" s="414"/>
      <c r="U233" s="414" t="str">
        <f t="shared" si="6"/>
        <v/>
      </c>
      <c r="W233" s="480" t="str">
        <f t="shared" si="7"/>
        <v/>
      </c>
    </row>
    <row r="234" spans="1:23" ht="18" customHeight="1" x14ac:dyDescent="0.25">
      <c r="A234" s="415"/>
      <c r="B234" s="415"/>
      <c r="C234" s="415"/>
      <c r="D234" s="414"/>
      <c r="E234" s="414"/>
      <c r="F234" s="414"/>
      <c r="G234" s="414"/>
      <c r="H234" s="414"/>
      <c r="I234" s="414"/>
      <c r="J234" s="414"/>
      <c r="K234" s="414"/>
      <c r="L234" s="414"/>
      <c r="M234" s="414"/>
      <c r="N234" s="414"/>
      <c r="O234" s="414"/>
      <c r="P234" s="414"/>
      <c r="Q234" s="414"/>
      <c r="R234" s="414"/>
      <c r="S234" s="414"/>
      <c r="T234" s="414"/>
      <c r="U234" s="414" t="str">
        <f t="shared" si="6"/>
        <v/>
      </c>
      <c r="W234" s="480" t="str">
        <f t="shared" si="7"/>
        <v/>
      </c>
    </row>
    <row r="235" spans="1:23" ht="18" customHeight="1" x14ac:dyDescent="0.25">
      <c r="A235" s="415"/>
      <c r="B235" s="415"/>
      <c r="C235" s="415"/>
      <c r="D235" s="414"/>
      <c r="E235" s="414"/>
      <c r="F235" s="414"/>
      <c r="G235" s="414"/>
      <c r="H235" s="414"/>
      <c r="I235" s="414"/>
      <c r="J235" s="414"/>
      <c r="K235" s="414"/>
      <c r="L235" s="414"/>
      <c r="M235" s="414"/>
      <c r="N235" s="414"/>
      <c r="O235" s="414"/>
      <c r="P235" s="414"/>
      <c r="Q235" s="414"/>
      <c r="R235" s="414"/>
      <c r="S235" s="414"/>
      <c r="T235" s="414"/>
      <c r="U235" s="414" t="str">
        <f t="shared" si="6"/>
        <v/>
      </c>
      <c r="W235" s="480" t="str">
        <f t="shared" si="7"/>
        <v/>
      </c>
    </row>
    <row r="236" spans="1:23" ht="18" customHeight="1" x14ac:dyDescent="0.25">
      <c r="A236" s="415"/>
      <c r="B236" s="415"/>
      <c r="C236" s="415"/>
      <c r="D236" s="414"/>
      <c r="E236" s="414"/>
      <c r="F236" s="414"/>
      <c r="G236" s="414"/>
      <c r="H236" s="414"/>
      <c r="I236" s="414"/>
      <c r="J236" s="414"/>
      <c r="K236" s="414"/>
      <c r="L236" s="414"/>
      <c r="M236" s="414"/>
      <c r="N236" s="414"/>
      <c r="O236" s="414"/>
      <c r="P236" s="414"/>
      <c r="Q236" s="414"/>
      <c r="R236" s="414"/>
      <c r="S236" s="414"/>
      <c r="T236" s="414"/>
      <c r="U236" s="414" t="str">
        <f t="shared" si="6"/>
        <v/>
      </c>
      <c r="W236" s="480" t="str">
        <f t="shared" si="7"/>
        <v/>
      </c>
    </row>
    <row r="237" spans="1:23" ht="18" customHeight="1" x14ac:dyDescent="0.25">
      <c r="A237" s="415"/>
      <c r="B237" s="415"/>
      <c r="C237" s="415"/>
      <c r="D237" s="414"/>
      <c r="E237" s="414"/>
      <c r="F237" s="414"/>
      <c r="G237" s="414"/>
      <c r="H237" s="414"/>
      <c r="I237" s="414"/>
      <c r="J237" s="414"/>
      <c r="K237" s="414"/>
      <c r="L237" s="414"/>
      <c r="M237" s="414"/>
      <c r="N237" s="414"/>
      <c r="O237" s="414"/>
      <c r="P237" s="414"/>
      <c r="Q237" s="414"/>
      <c r="R237" s="414"/>
      <c r="S237" s="414"/>
      <c r="T237" s="414"/>
      <c r="U237" s="414" t="str">
        <f t="shared" si="6"/>
        <v/>
      </c>
      <c r="W237" s="480" t="str">
        <f t="shared" si="7"/>
        <v/>
      </c>
    </row>
    <row r="238" spans="1:23" ht="18" customHeight="1" x14ac:dyDescent="0.25">
      <c r="A238" s="415"/>
      <c r="B238" s="415"/>
      <c r="C238" s="415"/>
      <c r="D238" s="414"/>
      <c r="E238" s="414"/>
      <c r="F238" s="414"/>
      <c r="G238" s="414"/>
      <c r="H238" s="414"/>
      <c r="I238" s="414"/>
      <c r="J238" s="414"/>
      <c r="K238" s="414"/>
      <c r="L238" s="414"/>
      <c r="M238" s="414"/>
      <c r="N238" s="414"/>
      <c r="O238" s="414"/>
      <c r="P238" s="414"/>
      <c r="Q238" s="414"/>
      <c r="R238" s="414"/>
      <c r="S238" s="414"/>
      <c r="T238" s="414"/>
      <c r="U238" s="414" t="str">
        <f t="shared" si="6"/>
        <v/>
      </c>
      <c r="W238" s="480" t="str">
        <f t="shared" si="7"/>
        <v/>
      </c>
    </row>
    <row r="239" spans="1:23" ht="18" customHeight="1" x14ac:dyDescent="0.25">
      <c r="A239" s="415"/>
      <c r="B239" s="415"/>
      <c r="C239" s="415"/>
      <c r="D239" s="414"/>
      <c r="E239" s="414"/>
      <c r="F239" s="414"/>
      <c r="G239" s="414"/>
      <c r="H239" s="414"/>
      <c r="I239" s="414"/>
      <c r="J239" s="414"/>
      <c r="K239" s="414"/>
      <c r="L239" s="414"/>
      <c r="M239" s="414"/>
      <c r="N239" s="414"/>
      <c r="O239" s="414"/>
      <c r="P239" s="414"/>
      <c r="Q239" s="414"/>
      <c r="R239" s="414"/>
      <c r="S239" s="414"/>
      <c r="T239" s="414"/>
      <c r="U239" s="414" t="str">
        <f t="shared" si="6"/>
        <v/>
      </c>
      <c r="W239" s="480" t="str">
        <f t="shared" si="7"/>
        <v/>
      </c>
    </row>
    <row r="240" spans="1:23" ht="18" customHeight="1" x14ac:dyDescent="0.25">
      <c r="A240" s="415"/>
      <c r="B240" s="415"/>
      <c r="C240" s="415"/>
      <c r="D240" s="414"/>
      <c r="E240" s="414"/>
      <c r="F240" s="414"/>
      <c r="G240" s="414"/>
      <c r="H240" s="414"/>
      <c r="I240" s="414"/>
      <c r="J240" s="414"/>
      <c r="K240" s="414"/>
      <c r="L240" s="414"/>
      <c r="M240" s="414"/>
      <c r="N240" s="414"/>
      <c r="O240" s="414"/>
      <c r="P240" s="414"/>
      <c r="Q240" s="414"/>
      <c r="R240" s="414"/>
      <c r="S240" s="414"/>
      <c r="T240" s="414"/>
      <c r="U240" s="414" t="str">
        <f t="shared" si="6"/>
        <v/>
      </c>
      <c r="W240" s="480" t="str">
        <f t="shared" si="7"/>
        <v/>
      </c>
    </row>
    <row r="241" spans="1:23" ht="18" customHeight="1" x14ac:dyDescent="0.25">
      <c r="A241" s="415"/>
      <c r="B241" s="415"/>
      <c r="C241" s="415"/>
      <c r="D241" s="414"/>
      <c r="E241" s="414"/>
      <c r="F241" s="414"/>
      <c r="G241" s="414"/>
      <c r="H241" s="414"/>
      <c r="I241" s="414"/>
      <c r="J241" s="414"/>
      <c r="K241" s="414"/>
      <c r="L241" s="414"/>
      <c r="M241" s="414"/>
      <c r="N241" s="414"/>
      <c r="O241" s="414"/>
      <c r="P241" s="414"/>
      <c r="Q241" s="414"/>
      <c r="R241" s="414"/>
      <c r="S241" s="414"/>
      <c r="T241" s="414"/>
      <c r="U241" s="414" t="str">
        <f t="shared" si="6"/>
        <v/>
      </c>
      <c r="W241" s="480" t="str">
        <f t="shared" si="7"/>
        <v/>
      </c>
    </row>
    <row r="242" spans="1:23" ht="18" customHeight="1" x14ac:dyDescent="0.25">
      <c r="A242" s="415"/>
      <c r="B242" s="415"/>
      <c r="C242" s="415"/>
      <c r="D242" s="414"/>
      <c r="E242" s="414"/>
      <c r="F242" s="414"/>
      <c r="G242" s="414"/>
      <c r="H242" s="414"/>
      <c r="I242" s="414"/>
      <c r="J242" s="414"/>
      <c r="K242" s="414"/>
      <c r="L242" s="414"/>
      <c r="M242" s="414"/>
      <c r="N242" s="414"/>
      <c r="O242" s="414"/>
      <c r="P242" s="414"/>
      <c r="Q242" s="414"/>
      <c r="R242" s="414"/>
      <c r="S242" s="414"/>
      <c r="T242" s="414"/>
      <c r="U242" s="414" t="str">
        <f t="shared" si="6"/>
        <v/>
      </c>
      <c r="W242" s="480" t="str">
        <f t="shared" si="7"/>
        <v/>
      </c>
    </row>
    <row r="243" spans="1:23" ht="18" customHeight="1" x14ac:dyDescent="0.25">
      <c r="A243" s="415"/>
      <c r="B243" s="415"/>
      <c r="C243" s="415"/>
      <c r="D243" s="414"/>
      <c r="E243" s="414"/>
      <c r="F243" s="414"/>
      <c r="G243" s="414"/>
      <c r="H243" s="414"/>
      <c r="I243" s="414"/>
      <c r="J243" s="414"/>
      <c r="K243" s="414"/>
      <c r="L243" s="414"/>
      <c r="M243" s="414"/>
      <c r="N243" s="414"/>
      <c r="O243" s="414"/>
      <c r="P243" s="414"/>
      <c r="Q243" s="414"/>
      <c r="R243" s="414"/>
      <c r="S243" s="414"/>
      <c r="T243" s="414"/>
      <c r="U243" s="414" t="str">
        <f t="shared" si="6"/>
        <v/>
      </c>
      <c r="W243" s="480" t="str">
        <f t="shared" si="7"/>
        <v/>
      </c>
    </row>
    <row r="244" spans="1:23" ht="18" customHeight="1" x14ac:dyDescent="0.25">
      <c r="A244" s="415"/>
      <c r="B244" s="415"/>
      <c r="C244" s="415"/>
      <c r="D244" s="414"/>
      <c r="E244" s="414"/>
      <c r="F244" s="414"/>
      <c r="G244" s="414"/>
      <c r="H244" s="414"/>
      <c r="I244" s="414"/>
      <c r="J244" s="414"/>
      <c r="K244" s="414"/>
      <c r="L244" s="414"/>
      <c r="M244" s="414"/>
      <c r="N244" s="414"/>
      <c r="O244" s="414"/>
      <c r="P244" s="414"/>
      <c r="Q244" s="414"/>
      <c r="R244" s="414"/>
      <c r="S244" s="414"/>
      <c r="T244" s="414"/>
      <c r="U244" s="414" t="str">
        <f t="shared" si="6"/>
        <v/>
      </c>
      <c r="W244" s="480" t="str">
        <f t="shared" si="7"/>
        <v/>
      </c>
    </row>
    <row r="245" spans="1:23" ht="18" customHeight="1" x14ac:dyDescent="0.25">
      <c r="A245" s="415"/>
      <c r="B245" s="415"/>
      <c r="C245" s="415"/>
      <c r="D245" s="414"/>
      <c r="E245" s="414"/>
      <c r="F245" s="414"/>
      <c r="G245" s="414"/>
      <c r="H245" s="414"/>
      <c r="I245" s="414"/>
      <c r="J245" s="414"/>
      <c r="K245" s="414"/>
      <c r="L245" s="414"/>
      <c r="M245" s="414"/>
      <c r="N245" s="414"/>
      <c r="O245" s="414"/>
      <c r="P245" s="414"/>
      <c r="Q245" s="414"/>
      <c r="R245" s="414"/>
      <c r="S245" s="414"/>
      <c r="T245" s="414"/>
      <c r="U245" s="414" t="str">
        <f t="shared" si="6"/>
        <v/>
      </c>
      <c r="W245" s="480" t="str">
        <f t="shared" si="7"/>
        <v/>
      </c>
    </row>
    <row r="246" spans="1:23" ht="18" customHeight="1" x14ac:dyDescent="0.25">
      <c r="A246" s="415"/>
      <c r="B246" s="415"/>
      <c r="C246" s="415"/>
      <c r="D246" s="414"/>
      <c r="E246" s="414"/>
      <c r="F246" s="414"/>
      <c r="G246" s="414"/>
      <c r="H246" s="414"/>
      <c r="I246" s="414"/>
      <c r="J246" s="414"/>
      <c r="K246" s="414"/>
      <c r="L246" s="414"/>
      <c r="M246" s="414"/>
      <c r="N246" s="414"/>
      <c r="O246" s="414"/>
      <c r="P246" s="414"/>
      <c r="Q246" s="414"/>
      <c r="R246" s="414"/>
      <c r="S246" s="414"/>
      <c r="T246" s="414"/>
      <c r="U246" s="414" t="str">
        <f t="shared" si="6"/>
        <v/>
      </c>
      <c r="W246" s="480" t="str">
        <f t="shared" si="7"/>
        <v/>
      </c>
    </row>
    <row r="247" spans="1:23" ht="18" customHeight="1" x14ac:dyDescent="0.25">
      <c r="A247" s="415"/>
      <c r="B247" s="415"/>
      <c r="C247" s="415"/>
      <c r="D247" s="414"/>
      <c r="E247" s="414"/>
      <c r="F247" s="414"/>
      <c r="G247" s="414"/>
      <c r="H247" s="414"/>
      <c r="I247" s="414"/>
      <c r="J247" s="414"/>
      <c r="K247" s="414"/>
      <c r="L247" s="414"/>
      <c r="M247" s="414"/>
      <c r="N247" s="414"/>
      <c r="O247" s="414"/>
      <c r="P247" s="414"/>
      <c r="Q247" s="414"/>
      <c r="R247" s="414"/>
      <c r="S247" s="414"/>
      <c r="T247" s="414"/>
      <c r="U247" s="414" t="str">
        <f t="shared" si="6"/>
        <v/>
      </c>
      <c r="W247" s="480" t="str">
        <f t="shared" si="7"/>
        <v/>
      </c>
    </row>
    <row r="248" spans="1:23" ht="18" customHeight="1" x14ac:dyDescent="0.25">
      <c r="A248" s="415"/>
      <c r="B248" s="415"/>
      <c r="C248" s="415"/>
      <c r="D248" s="414"/>
      <c r="E248" s="414"/>
      <c r="F248" s="414"/>
      <c r="G248" s="414"/>
      <c r="H248" s="414"/>
      <c r="I248" s="414"/>
      <c r="J248" s="414"/>
      <c r="K248" s="414"/>
      <c r="L248" s="414"/>
      <c r="M248" s="414"/>
      <c r="N248" s="414"/>
      <c r="O248" s="414"/>
      <c r="P248" s="414"/>
      <c r="Q248" s="414"/>
      <c r="R248" s="414"/>
      <c r="S248" s="414"/>
      <c r="T248" s="414"/>
      <c r="U248" s="414" t="str">
        <f t="shared" si="6"/>
        <v/>
      </c>
      <c r="W248" s="480" t="str">
        <f t="shared" si="7"/>
        <v/>
      </c>
    </row>
    <row r="249" spans="1:23" ht="18" customHeight="1" x14ac:dyDescent="0.25">
      <c r="A249" s="415"/>
      <c r="B249" s="415"/>
      <c r="C249" s="415"/>
      <c r="D249" s="414"/>
      <c r="E249" s="414"/>
      <c r="F249" s="414"/>
      <c r="G249" s="414"/>
      <c r="H249" s="414"/>
      <c r="I249" s="414"/>
      <c r="J249" s="414"/>
      <c r="K249" s="414"/>
      <c r="L249" s="414"/>
      <c r="M249" s="414"/>
      <c r="N249" s="414"/>
      <c r="O249" s="414"/>
      <c r="P249" s="414"/>
      <c r="Q249" s="414"/>
      <c r="R249" s="414"/>
      <c r="S249" s="414"/>
      <c r="T249" s="414"/>
      <c r="U249" s="414" t="str">
        <f t="shared" si="6"/>
        <v/>
      </c>
      <c r="W249" s="480" t="str">
        <f t="shared" si="7"/>
        <v/>
      </c>
    </row>
    <row r="250" spans="1:23" ht="18" customHeight="1" x14ac:dyDescent="0.25">
      <c r="A250" s="415"/>
      <c r="B250" s="415"/>
      <c r="C250" s="415"/>
      <c r="D250" s="414"/>
      <c r="E250" s="414"/>
      <c r="F250" s="414"/>
      <c r="G250" s="414"/>
      <c r="H250" s="414"/>
      <c r="I250" s="414"/>
      <c r="J250" s="414"/>
      <c r="K250" s="414"/>
      <c r="L250" s="414"/>
      <c r="M250" s="414"/>
      <c r="N250" s="414"/>
      <c r="O250" s="414"/>
      <c r="P250" s="414"/>
      <c r="Q250" s="414"/>
      <c r="R250" s="414"/>
      <c r="S250" s="414"/>
      <c r="T250" s="414"/>
      <c r="U250" s="414" t="str">
        <f t="shared" si="6"/>
        <v/>
      </c>
      <c r="W250" s="480" t="str">
        <f t="shared" si="7"/>
        <v/>
      </c>
    </row>
    <row r="251" spans="1:23" ht="18" customHeight="1" x14ac:dyDescent="0.25">
      <c r="A251" s="415"/>
      <c r="B251" s="415"/>
      <c r="C251" s="415"/>
      <c r="D251" s="414"/>
      <c r="E251" s="414"/>
      <c r="F251" s="414"/>
      <c r="G251" s="414"/>
      <c r="H251" s="414"/>
      <c r="I251" s="414"/>
      <c r="J251" s="414"/>
      <c r="K251" s="414"/>
      <c r="L251" s="414"/>
      <c r="M251" s="414"/>
      <c r="N251" s="414"/>
      <c r="O251" s="414"/>
      <c r="P251" s="414"/>
      <c r="Q251" s="414"/>
      <c r="R251" s="414"/>
      <c r="S251" s="414"/>
      <c r="T251" s="414"/>
      <c r="U251" s="414" t="str">
        <f t="shared" si="6"/>
        <v/>
      </c>
      <c r="W251" s="480" t="str">
        <f t="shared" si="7"/>
        <v/>
      </c>
    </row>
    <row r="252" spans="1:23" ht="18" customHeight="1" x14ac:dyDescent="0.25">
      <c r="A252" s="415"/>
      <c r="B252" s="415"/>
      <c r="C252" s="415"/>
      <c r="D252" s="414"/>
      <c r="E252" s="414"/>
      <c r="F252" s="414"/>
      <c r="G252" s="414"/>
      <c r="H252" s="414"/>
      <c r="I252" s="414"/>
      <c r="J252" s="414"/>
      <c r="K252" s="414"/>
      <c r="L252" s="414"/>
      <c r="M252" s="414"/>
      <c r="N252" s="414"/>
      <c r="O252" s="414"/>
      <c r="P252" s="414"/>
      <c r="Q252" s="414"/>
      <c r="R252" s="414"/>
      <c r="S252" s="414"/>
      <c r="T252" s="414"/>
      <c r="U252" s="414" t="str">
        <f t="shared" si="6"/>
        <v/>
      </c>
      <c r="W252" s="480" t="str">
        <f t="shared" si="7"/>
        <v/>
      </c>
    </row>
    <row r="253" spans="1:23" ht="18" customHeight="1" x14ac:dyDescent="0.25">
      <c r="A253" s="415"/>
      <c r="B253" s="415"/>
      <c r="C253" s="415"/>
      <c r="D253" s="414"/>
      <c r="E253" s="414"/>
      <c r="F253" s="414"/>
      <c r="G253" s="414"/>
      <c r="H253" s="414"/>
      <c r="I253" s="414"/>
      <c r="J253" s="414"/>
      <c r="K253" s="414"/>
      <c r="L253" s="414"/>
      <c r="M253" s="414"/>
      <c r="N253" s="414"/>
      <c r="O253" s="414"/>
      <c r="P253" s="414"/>
      <c r="Q253" s="414"/>
      <c r="R253" s="414"/>
      <c r="S253" s="414"/>
      <c r="T253" s="414"/>
      <c r="U253" s="414" t="str">
        <f t="shared" si="6"/>
        <v/>
      </c>
      <c r="W253" s="480" t="str">
        <f t="shared" si="7"/>
        <v/>
      </c>
    </row>
    <row r="254" spans="1:23" ht="18" customHeight="1" x14ac:dyDescent="0.25">
      <c r="A254" s="415"/>
      <c r="B254" s="415"/>
      <c r="C254" s="415"/>
      <c r="D254" s="414"/>
      <c r="E254" s="414"/>
      <c r="F254" s="414"/>
      <c r="G254" s="414"/>
      <c r="H254" s="414"/>
      <c r="I254" s="414"/>
      <c r="J254" s="414"/>
      <c r="K254" s="414"/>
      <c r="L254" s="414"/>
      <c r="M254" s="414"/>
      <c r="N254" s="414"/>
      <c r="O254" s="414"/>
      <c r="P254" s="414"/>
      <c r="Q254" s="414"/>
      <c r="R254" s="414"/>
      <c r="S254" s="414"/>
      <c r="T254" s="414"/>
      <c r="U254" s="414" t="str">
        <f t="shared" si="6"/>
        <v/>
      </c>
      <c r="W254" s="480" t="str">
        <f t="shared" si="7"/>
        <v/>
      </c>
    </row>
    <row r="255" spans="1:23" ht="18" customHeight="1" x14ac:dyDescent="0.25">
      <c r="A255" s="415"/>
      <c r="B255" s="415"/>
      <c r="C255" s="415"/>
      <c r="D255" s="414"/>
      <c r="E255" s="414"/>
      <c r="F255" s="414"/>
      <c r="G255" s="414"/>
      <c r="H255" s="414"/>
      <c r="I255" s="414"/>
      <c r="J255" s="414"/>
      <c r="K255" s="414"/>
      <c r="L255" s="414"/>
      <c r="M255" s="414"/>
      <c r="N255" s="414"/>
      <c r="O255" s="414"/>
      <c r="P255" s="414"/>
      <c r="Q255" s="414"/>
      <c r="R255" s="414"/>
      <c r="S255" s="414"/>
      <c r="T255" s="414"/>
      <c r="U255" s="414" t="str">
        <f t="shared" si="6"/>
        <v/>
      </c>
      <c r="W255" s="480" t="str">
        <f t="shared" si="7"/>
        <v/>
      </c>
    </row>
    <row r="256" spans="1:23" ht="18" customHeight="1" x14ac:dyDescent="0.25">
      <c r="A256" s="415"/>
      <c r="B256" s="415"/>
      <c r="C256" s="415"/>
      <c r="D256" s="414"/>
      <c r="E256" s="414"/>
      <c r="F256" s="414"/>
      <c r="G256" s="414"/>
      <c r="H256" s="414"/>
      <c r="I256" s="414"/>
      <c r="J256" s="414"/>
      <c r="K256" s="414"/>
      <c r="L256" s="414"/>
      <c r="M256" s="414"/>
      <c r="N256" s="414"/>
      <c r="O256" s="414"/>
      <c r="P256" s="414"/>
      <c r="Q256" s="414"/>
      <c r="R256" s="414"/>
      <c r="S256" s="414"/>
      <c r="T256" s="414"/>
      <c r="U256" s="414" t="str">
        <f t="shared" si="6"/>
        <v/>
      </c>
      <c r="W256" s="480" t="str">
        <f t="shared" si="7"/>
        <v/>
      </c>
    </row>
    <row r="257" spans="1:23" ht="18" customHeight="1" x14ac:dyDescent="0.25">
      <c r="A257" s="415"/>
      <c r="B257" s="415"/>
      <c r="C257" s="415"/>
      <c r="D257" s="414"/>
      <c r="E257" s="414"/>
      <c r="F257" s="414"/>
      <c r="G257" s="414"/>
      <c r="H257" s="414"/>
      <c r="I257" s="414"/>
      <c r="J257" s="414"/>
      <c r="K257" s="414"/>
      <c r="L257" s="414"/>
      <c r="M257" s="414"/>
      <c r="N257" s="414"/>
      <c r="O257" s="414"/>
      <c r="P257" s="414"/>
      <c r="Q257" s="414"/>
      <c r="R257" s="414"/>
      <c r="S257" s="414"/>
      <c r="T257" s="414"/>
      <c r="U257" s="414" t="str">
        <f t="shared" si="6"/>
        <v/>
      </c>
      <c r="W257" s="480" t="str">
        <f t="shared" si="7"/>
        <v/>
      </c>
    </row>
    <row r="258" spans="1:23" ht="18" customHeight="1" x14ac:dyDescent="0.25">
      <c r="A258" s="415"/>
      <c r="B258" s="415"/>
      <c r="C258" s="415"/>
      <c r="D258" s="414"/>
      <c r="E258" s="414"/>
      <c r="F258" s="414"/>
      <c r="G258" s="414"/>
      <c r="H258" s="414"/>
      <c r="I258" s="414"/>
      <c r="J258" s="414"/>
      <c r="K258" s="414"/>
      <c r="L258" s="414"/>
      <c r="M258" s="414"/>
      <c r="N258" s="414"/>
      <c r="O258" s="414"/>
      <c r="P258" s="414"/>
      <c r="Q258" s="414"/>
      <c r="R258" s="414"/>
      <c r="S258" s="414"/>
      <c r="T258" s="414"/>
      <c r="U258" s="414" t="str">
        <f t="shared" si="6"/>
        <v/>
      </c>
      <c r="W258" s="480" t="str">
        <f t="shared" si="7"/>
        <v/>
      </c>
    </row>
    <row r="259" spans="1:23" ht="18" customHeight="1" x14ac:dyDescent="0.25">
      <c r="A259" s="415"/>
      <c r="B259" s="415"/>
      <c r="C259" s="415"/>
      <c r="D259" s="414"/>
      <c r="E259" s="414"/>
      <c r="F259" s="414"/>
      <c r="G259" s="414"/>
      <c r="H259" s="414"/>
      <c r="I259" s="414"/>
      <c r="J259" s="414"/>
      <c r="K259" s="414"/>
      <c r="L259" s="414"/>
      <c r="M259" s="414"/>
      <c r="N259" s="414"/>
      <c r="O259" s="414"/>
      <c r="P259" s="414"/>
      <c r="Q259" s="414"/>
      <c r="R259" s="414"/>
      <c r="S259" s="414"/>
      <c r="T259" s="414"/>
      <c r="U259" s="414" t="str">
        <f t="shared" si="6"/>
        <v/>
      </c>
      <c r="W259" s="480" t="str">
        <f t="shared" si="7"/>
        <v/>
      </c>
    </row>
    <row r="260" spans="1:23" ht="18" customHeight="1" x14ac:dyDescent="0.25">
      <c r="A260" s="415"/>
      <c r="B260" s="415"/>
      <c r="C260" s="415"/>
      <c r="D260" s="414"/>
      <c r="E260" s="414"/>
      <c r="F260" s="414"/>
      <c r="G260" s="414"/>
      <c r="H260" s="414"/>
      <c r="I260" s="414"/>
      <c r="J260" s="414"/>
      <c r="K260" s="414"/>
      <c r="L260" s="414"/>
      <c r="M260" s="414"/>
      <c r="N260" s="414"/>
      <c r="O260" s="414"/>
      <c r="P260" s="414"/>
      <c r="Q260" s="414"/>
      <c r="R260" s="414"/>
      <c r="S260" s="414"/>
      <c r="T260" s="414"/>
      <c r="U260" s="414" t="str">
        <f t="shared" si="6"/>
        <v/>
      </c>
      <c r="W260" s="480" t="str">
        <f t="shared" si="7"/>
        <v/>
      </c>
    </row>
    <row r="261" spans="1:23" ht="18" customHeight="1" x14ac:dyDescent="0.25">
      <c r="A261" s="415"/>
      <c r="B261" s="415"/>
      <c r="C261" s="415"/>
      <c r="D261" s="414"/>
      <c r="E261" s="414"/>
      <c r="F261" s="414"/>
      <c r="G261" s="414"/>
      <c r="H261" s="414"/>
      <c r="I261" s="414"/>
      <c r="J261" s="414"/>
      <c r="K261" s="414"/>
      <c r="L261" s="414"/>
      <c r="M261" s="414"/>
      <c r="N261" s="414"/>
      <c r="O261" s="414"/>
      <c r="P261" s="414"/>
      <c r="Q261" s="414"/>
      <c r="R261" s="414"/>
      <c r="S261" s="414"/>
      <c r="T261" s="414"/>
      <c r="U261" s="414" t="str">
        <f t="shared" si="6"/>
        <v/>
      </c>
      <c r="W261" s="480" t="str">
        <f t="shared" si="7"/>
        <v/>
      </c>
    </row>
    <row r="262" spans="1:23" ht="18" customHeight="1" x14ac:dyDescent="0.25">
      <c r="A262" s="415"/>
      <c r="B262" s="415"/>
      <c r="C262" s="415"/>
      <c r="D262" s="414"/>
      <c r="E262" s="414"/>
      <c r="F262" s="414"/>
      <c r="G262" s="414"/>
      <c r="H262" s="414"/>
      <c r="I262" s="414"/>
      <c r="J262" s="414"/>
      <c r="K262" s="414"/>
      <c r="L262" s="414"/>
      <c r="M262" s="414"/>
      <c r="N262" s="414"/>
      <c r="O262" s="414"/>
      <c r="P262" s="414"/>
      <c r="Q262" s="414"/>
      <c r="R262" s="414"/>
      <c r="S262" s="414"/>
      <c r="T262" s="414"/>
      <c r="U262" s="414" t="str">
        <f t="shared" si="6"/>
        <v/>
      </c>
      <c r="W262" s="480" t="str">
        <f t="shared" si="7"/>
        <v/>
      </c>
    </row>
    <row r="263" spans="1:23" ht="18" customHeight="1" x14ac:dyDescent="0.25">
      <c r="A263" s="415"/>
      <c r="B263" s="415"/>
      <c r="C263" s="415"/>
      <c r="D263" s="414"/>
      <c r="E263" s="414"/>
      <c r="F263" s="414"/>
      <c r="G263" s="414"/>
      <c r="H263" s="414"/>
      <c r="I263" s="414"/>
      <c r="J263" s="414"/>
      <c r="K263" s="414"/>
      <c r="L263" s="414"/>
      <c r="M263" s="414"/>
      <c r="N263" s="414"/>
      <c r="O263" s="414"/>
      <c r="P263" s="414"/>
      <c r="Q263" s="414"/>
      <c r="R263" s="414"/>
      <c r="S263" s="414"/>
      <c r="T263" s="414"/>
      <c r="U263" s="414" t="str">
        <f t="shared" si="6"/>
        <v/>
      </c>
      <c r="W263" s="480" t="str">
        <f t="shared" si="7"/>
        <v/>
      </c>
    </row>
    <row r="264" spans="1:23" ht="18" customHeight="1" x14ac:dyDescent="0.25">
      <c r="A264" s="415"/>
      <c r="B264" s="415"/>
      <c r="C264" s="415"/>
      <c r="D264" s="414"/>
      <c r="E264" s="414"/>
      <c r="F264" s="414"/>
      <c r="G264" s="414"/>
      <c r="H264" s="414"/>
      <c r="I264" s="414"/>
      <c r="J264" s="414"/>
      <c r="K264" s="414"/>
      <c r="L264" s="414"/>
      <c r="M264" s="414"/>
      <c r="N264" s="414"/>
      <c r="O264" s="414"/>
      <c r="P264" s="414"/>
      <c r="Q264" s="414"/>
      <c r="R264" s="414"/>
      <c r="S264" s="414"/>
      <c r="T264" s="414"/>
      <c r="U264" s="414" t="str">
        <f t="shared" si="6"/>
        <v/>
      </c>
      <c r="W264" s="480" t="str">
        <f t="shared" si="7"/>
        <v/>
      </c>
    </row>
    <row r="265" spans="1:23" ht="18" customHeight="1" x14ac:dyDescent="0.25">
      <c r="A265" s="415"/>
      <c r="B265" s="415"/>
      <c r="C265" s="415"/>
      <c r="D265" s="414"/>
      <c r="E265" s="414"/>
      <c r="F265" s="414"/>
      <c r="G265" s="414"/>
      <c r="H265" s="414"/>
      <c r="I265" s="414"/>
      <c r="J265" s="414"/>
      <c r="K265" s="414"/>
      <c r="L265" s="414"/>
      <c r="M265" s="414"/>
      <c r="N265" s="414"/>
      <c r="O265" s="414"/>
      <c r="P265" s="414"/>
      <c r="Q265" s="414"/>
      <c r="R265" s="414"/>
      <c r="S265" s="414"/>
      <c r="T265" s="414"/>
      <c r="U265" s="414" t="str">
        <f t="shared" si="6"/>
        <v/>
      </c>
      <c r="W265" s="480" t="str">
        <f t="shared" si="7"/>
        <v/>
      </c>
    </row>
    <row r="266" spans="1:23" ht="18" customHeight="1" x14ac:dyDescent="0.25">
      <c r="A266" s="415"/>
      <c r="B266" s="415"/>
      <c r="C266" s="415"/>
      <c r="D266" s="414"/>
      <c r="E266" s="414"/>
      <c r="F266" s="414"/>
      <c r="G266" s="414"/>
      <c r="H266" s="414"/>
      <c r="I266" s="414"/>
      <c r="J266" s="414"/>
      <c r="K266" s="414"/>
      <c r="L266" s="414"/>
      <c r="M266" s="414"/>
      <c r="N266" s="414"/>
      <c r="O266" s="414"/>
      <c r="P266" s="414"/>
      <c r="Q266" s="414"/>
      <c r="R266" s="414"/>
      <c r="S266" s="414"/>
      <c r="T266" s="414"/>
      <c r="U266" s="414" t="str">
        <f t="shared" si="6"/>
        <v/>
      </c>
      <c r="W266" s="480" t="str">
        <f t="shared" si="7"/>
        <v/>
      </c>
    </row>
    <row r="267" spans="1:23" ht="18" customHeight="1" x14ac:dyDescent="0.25">
      <c r="A267" s="415"/>
      <c r="B267" s="415"/>
      <c r="C267" s="415"/>
      <c r="D267" s="414"/>
      <c r="E267" s="414"/>
      <c r="F267" s="414"/>
      <c r="G267" s="414"/>
      <c r="H267" s="414"/>
      <c r="I267" s="414"/>
      <c r="J267" s="414"/>
      <c r="K267" s="414"/>
      <c r="L267" s="414"/>
      <c r="M267" s="414"/>
      <c r="N267" s="414"/>
      <c r="O267" s="414"/>
      <c r="P267" s="414"/>
      <c r="Q267" s="414"/>
      <c r="R267" s="414"/>
      <c r="S267" s="414"/>
      <c r="T267" s="414"/>
      <c r="U267" s="414" t="str">
        <f t="shared" si="6"/>
        <v/>
      </c>
      <c r="W267" s="480" t="str">
        <f t="shared" si="7"/>
        <v/>
      </c>
    </row>
    <row r="268" spans="1:23" ht="18" customHeight="1" x14ac:dyDescent="0.25">
      <c r="A268" s="415"/>
      <c r="B268" s="415"/>
      <c r="C268" s="415"/>
      <c r="D268" s="414"/>
      <c r="E268" s="414"/>
      <c r="F268" s="414"/>
      <c r="G268" s="414"/>
      <c r="H268" s="414"/>
      <c r="I268" s="414"/>
      <c r="J268" s="414"/>
      <c r="K268" s="414"/>
      <c r="L268" s="414"/>
      <c r="M268" s="414"/>
      <c r="N268" s="414"/>
      <c r="O268" s="414"/>
      <c r="P268" s="414"/>
      <c r="Q268" s="414"/>
      <c r="R268" s="414"/>
      <c r="S268" s="414"/>
      <c r="T268" s="414"/>
      <c r="U268" s="414" t="str">
        <f t="shared" ref="U268:U331" si="8">IFERROR(AVERAGEIF(D268:T268,"&gt;0",D268:T268),"")</f>
        <v/>
      </c>
      <c r="W268" s="480" t="str">
        <f t="shared" ref="W268:W331" si="9">IFERROR(MEDIAN(D268:J268),"")</f>
        <v/>
      </c>
    </row>
    <row r="269" spans="1:23" ht="18" customHeight="1" x14ac:dyDescent="0.25">
      <c r="A269" s="415"/>
      <c r="B269" s="415"/>
      <c r="C269" s="415"/>
      <c r="D269" s="414"/>
      <c r="E269" s="414"/>
      <c r="F269" s="414"/>
      <c r="G269" s="414"/>
      <c r="H269" s="414"/>
      <c r="I269" s="414"/>
      <c r="J269" s="414"/>
      <c r="K269" s="414"/>
      <c r="L269" s="414"/>
      <c r="M269" s="414"/>
      <c r="N269" s="414"/>
      <c r="O269" s="414"/>
      <c r="P269" s="414"/>
      <c r="Q269" s="414"/>
      <c r="R269" s="414"/>
      <c r="S269" s="414"/>
      <c r="T269" s="414"/>
      <c r="U269" s="414" t="str">
        <f t="shared" si="8"/>
        <v/>
      </c>
      <c r="W269" s="480" t="str">
        <f t="shared" si="9"/>
        <v/>
      </c>
    </row>
    <row r="270" spans="1:23" ht="18" customHeight="1" x14ac:dyDescent="0.25">
      <c r="A270" s="415"/>
      <c r="B270" s="415"/>
      <c r="C270" s="415"/>
      <c r="D270" s="414"/>
      <c r="E270" s="414"/>
      <c r="F270" s="414"/>
      <c r="G270" s="414"/>
      <c r="H270" s="414"/>
      <c r="I270" s="414"/>
      <c r="J270" s="414"/>
      <c r="K270" s="414"/>
      <c r="L270" s="414"/>
      <c r="M270" s="414"/>
      <c r="N270" s="414"/>
      <c r="O270" s="414"/>
      <c r="P270" s="414"/>
      <c r="Q270" s="414"/>
      <c r="R270" s="414"/>
      <c r="S270" s="414"/>
      <c r="T270" s="414"/>
      <c r="U270" s="414" t="str">
        <f t="shared" si="8"/>
        <v/>
      </c>
      <c r="W270" s="480" t="str">
        <f t="shared" si="9"/>
        <v/>
      </c>
    </row>
    <row r="271" spans="1:23" ht="18" customHeight="1" x14ac:dyDescent="0.25">
      <c r="A271" s="415"/>
      <c r="B271" s="415"/>
      <c r="C271" s="415"/>
      <c r="D271" s="414"/>
      <c r="E271" s="414"/>
      <c r="F271" s="414"/>
      <c r="G271" s="414"/>
      <c r="H271" s="414"/>
      <c r="I271" s="414"/>
      <c r="J271" s="414"/>
      <c r="K271" s="414"/>
      <c r="L271" s="414"/>
      <c r="M271" s="414"/>
      <c r="N271" s="414"/>
      <c r="O271" s="414"/>
      <c r="P271" s="414"/>
      <c r="Q271" s="414"/>
      <c r="R271" s="414"/>
      <c r="S271" s="414"/>
      <c r="T271" s="414"/>
      <c r="U271" s="414" t="str">
        <f t="shared" si="8"/>
        <v/>
      </c>
      <c r="W271" s="480" t="str">
        <f t="shared" si="9"/>
        <v/>
      </c>
    </row>
    <row r="272" spans="1:23" ht="18" customHeight="1" x14ac:dyDescent="0.25">
      <c r="A272" s="415"/>
      <c r="B272" s="415"/>
      <c r="C272" s="415"/>
      <c r="D272" s="414"/>
      <c r="E272" s="414"/>
      <c r="F272" s="414"/>
      <c r="G272" s="414"/>
      <c r="H272" s="414"/>
      <c r="I272" s="414"/>
      <c r="J272" s="414"/>
      <c r="K272" s="414"/>
      <c r="L272" s="414"/>
      <c r="M272" s="414"/>
      <c r="N272" s="414"/>
      <c r="O272" s="414"/>
      <c r="P272" s="414"/>
      <c r="Q272" s="414"/>
      <c r="R272" s="414"/>
      <c r="S272" s="414"/>
      <c r="T272" s="414"/>
      <c r="U272" s="414" t="str">
        <f t="shared" si="8"/>
        <v/>
      </c>
      <c r="W272" s="480" t="str">
        <f t="shared" si="9"/>
        <v/>
      </c>
    </row>
    <row r="273" spans="1:23" ht="18" customHeight="1" x14ac:dyDescent="0.25">
      <c r="A273" s="415"/>
      <c r="B273" s="415"/>
      <c r="C273" s="415"/>
      <c r="D273" s="414"/>
      <c r="E273" s="414"/>
      <c r="F273" s="414"/>
      <c r="G273" s="414"/>
      <c r="H273" s="414"/>
      <c r="I273" s="414"/>
      <c r="J273" s="414"/>
      <c r="K273" s="414"/>
      <c r="L273" s="414"/>
      <c r="M273" s="414"/>
      <c r="N273" s="414"/>
      <c r="O273" s="414"/>
      <c r="P273" s="414"/>
      <c r="Q273" s="414"/>
      <c r="R273" s="414"/>
      <c r="S273" s="414"/>
      <c r="T273" s="414"/>
      <c r="U273" s="414" t="str">
        <f t="shared" si="8"/>
        <v/>
      </c>
      <c r="W273" s="480" t="str">
        <f t="shared" si="9"/>
        <v/>
      </c>
    </row>
    <row r="274" spans="1:23" ht="18" customHeight="1" x14ac:dyDescent="0.25">
      <c r="A274" s="415"/>
      <c r="B274" s="415"/>
      <c r="C274" s="415"/>
      <c r="D274" s="414"/>
      <c r="E274" s="414"/>
      <c r="F274" s="414"/>
      <c r="G274" s="414"/>
      <c r="H274" s="414"/>
      <c r="I274" s="414"/>
      <c r="J274" s="414"/>
      <c r="K274" s="414"/>
      <c r="L274" s="414"/>
      <c r="M274" s="414"/>
      <c r="N274" s="414"/>
      <c r="O274" s="414"/>
      <c r="P274" s="414"/>
      <c r="Q274" s="414"/>
      <c r="R274" s="414"/>
      <c r="S274" s="414"/>
      <c r="T274" s="414"/>
      <c r="U274" s="414" t="str">
        <f t="shared" si="8"/>
        <v/>
      </c>
      <c r="W274" s="480" t="str">
        <f t="shared" si="9"/>
        <v/>
      </c>
    </row>
    <row r="275" spans="1:23" ht="18" customHeight="1" x14ac:dyDescent="0.25">
      <c r="A275" s="415"/>
      <c r="B275" s="415"/>
      <c r="C275" s="415"/>
      <c r="D275" s="414"/>
      <c r="E275" s="414"/>
      <c r="F275" s="414"/>
      <c r="G275" s="414"/>
      <c r="H275" s="414"/>
      <c r="I275" s="414"/>
      <c r="J275" s="414"/>
      <c r="K275" s="414"/>
      <c r="L275" s="414"/>
      <c r="M275" s="414"/>
      <c r="N275" s="414"/>
      <c r="O275" s="414"/>
      <c r="P275" s="414"/>
      <c r="Q275" s="414"/>
      <c r="R275" s="414"/>
      <c r="S275" s="414"/>
      <c r="T275" s="414"/>
      <c r="U275" s="414" t="str">
        <f t="shared" si="8"/>
        <v/>
      </c>
      <c r="W275" s="480" t="str">
        <f t="shared" si="9"/>
        <v/>
      </c>
    </row>
    <row r="276" spans="1:23" ht="18" customHeight="1" x14ac:dyDescent="0.25">
      <c r="A276" s="415"/>
      <c r="B276" s="415"/>
      <c r="C276" s="415"/>
      <c r="D276" s="414"/>
      <c r="E276" s="414"/>
      <c r="F276" s="414"/>
      <c r="G276" s="414"/>
      <c r="H276" s="414"/>
      <c r="I276" s="414"/>
      <c r="J276" s="414"/>
      <c r="K276" s="414"/>
      <c r="L276" s="414"/>
      <c r="M276" s="414"/>
      <c r="N276" s="414"/>
      <c r="O276" s="414"/>
      <c r="P276" s="414"/>
      <c r="Q276" s="414"/>
      <c r="R276" s="414"/>
      <c r="S276" s="414"/>
      <c r="T276" s="414"/>
      <c r="U276" s="414" t="str">
        <f t="shared" si="8"/>
        <v/>
      </c>
      <c r="W276" s="480" t="str">
        <f t="shared" si="9"/>
        <v/>
      </c>
    </row>
    <row r="277" spans="1:23" ht="18" customHeight="1" x14ac:dyDescent="0.25">
      <c r="A277" s="415"/>
      <c r="B277" s="415"/>
      <c r="C277" s="415"/>
      <c r="D277" s="414"/>
      <c r="E277" s="414"/>
      <c r="F277" s="414"/>
      <c r="G277" s="414"/>
      <c r="H277" s="414"/>
      <c r="I277" s="414"/>
      <c r="J277" s="414"/>
      <c r="K277" s="414"/>
      <c r="L277" s="414"/>
      <c r="M277" s="414"/>
      <c r="N277" s="414"/>
      <c r="O277" s="414"/>
      <c r="P277" s="414"/>
      <c r="Q277" s="414"/>
      <c r="R277" s="414"/>
      <c r="S277" s="414"/>
      <c r="T277" s="414"/>
      <c r="U277" s="414" t="str">
        <f t="shared" si="8"/>
        <v/>
      </c>
      <c r="W277" s="480" t="str">
        <f t="shared" si="9"/>
        <v/>
      </c>
    </row>
    <row r="278" spans="1:23" ht="18" customHeight="1" x14ac:dyDescent="0.25">
      <c r="A278" s="415"/>
      <c r="B278" s="415"/>
      <c r="C278" s="415"/>
      <c r="D278" s="414"/>
      <c r="E278" s="414"/>
      <c r="F278" s="414"/>
      <c r="G278" s="414"/>
      <c r="H278" s="414"/>
      <c r="I278" s="414"/>
      <c r="J278" s="414"/>
      <c r="K278" s="414"/>
      <c r="L278" s="414"/>
      <c r="M278" s="414"/>
      <c r="N278" s="414"/>
      <c r="O278" s="414"/>
      <c r="P278" s="414"/>
      <c r="Q278" s="414"/>
      <c r="R278" s="414"/>
      <c r="S278" s="414"/>
      <c r="T278" s="414"/>
      <c r="U278" s="414" t="str">
        <f t="shared" si="8"/>
        <v/>
      </c>
      <c r="W278" s="480" t="str">
        <f t="shared" si="9"/>
        <v/>
      </c>
    </row>
    <row r="279" spans="1:23" ht="18" customHeight="1" x14ac:dyDescent="0.25">
      <c r="A279" s="415"/>
      <c r="B279" s="415"/>
      <c r="C279" s="415"/>
      <c r="D279" s="414"/>
      <c r="E279" s="414"/>
      <c r="F279" s="414"/>
      <c r="G279" s="414"/>
      <c r="H279" s="414"/>
      <c r="I279" s="414"/>
      <c r="J279" s="414"/>
      <c r="K279" s="414"/>
      <c r="L279" s="414"/>
      <c r="M279" s="414"/>
      <c r="N279" s="414"/>
      <c r="O279" s="414"/>
      <c r="P279" s="414"/>
      <c r="Q279" s="414"/>
      <c r="R279" s="414"/>
      <c r="S279" s="414"/>
      <c r="T279" s="414"/>
      <c r="U279" s="414" t="str">
        <f t="shared" si="8"/>
        <v/>
      </c>
      <c r="W279" s="480" t="str">
        <f t="shared" si="9"/>
        <v/>
      </c>
    </row>
    <row r="280" spans="1:23" ht="18" customHeight="1" x14ac:dyDescent="0.25">
      <c r="A280" s="415"/>
      <c r="B280" s="415"/>
      <c r="C280" s="415"/>
      <c r="D280" s="414"/>
      <c r="E280" s="414"/>
      <c r="F280" s="414"/>
      <c r="G280" s="414"/>
      <c r="H280" s="414"/>
      <c r="I280" s="414"/>
      <c r="J280" s="414"/>
      <c r="K280" s="414"/>
      <c r="L280" s="414"/>
      <c r="M280" s="414"/>
      <c r="N280" s="414"/>
      <c r="O280" s="414"/>
      <c r="P280" s="414"/>
      <c r="Q280" s="414"/>
      <c r="R280" s="414"/>
      <c r="S280" s="414"/>
      <c r="T280" s="414"/>
      <c r="U280" s="414" t="str">
        <f t="shared" si="8"/>
        <v/>
      </c>
      <c r="W280" s="480" t="str">
        <f t="shared" si="9"/>
        <v/>
      </c>
    </row>
    <row r="281" spans="1:23" ht="18" customHeight="1" x14ac:dyDescent="0.25">
      <c r="A281" s="415"/>
      <c r="B281" s="415"/>
      <c r="C281" s="415"/>
      <c r="D281" s="414"/>
      <c r="E281" s="414"/>
      <c r="F281" s="414"/>
      <c r="G281" s="414"/>
      <c r="H281" s="414"/>
      <c r="I281" s="414"/>
      <c r="J281" s="414"/>
      <c r="K281" s="414"/>
      <c r="L281" s="414"/>
      <c r="M281" s="414"/>
      <c r="N281" s="414"/>
      <c r="O281" s="414"/>
      <c r="P281" s="414"/>
      <c r="Q281" s="414"/>
      <c r="R281" s="414"/>
      <c r="S281" s="414"/>
      <c r="T281" s="414"/>
      <c r="U281" s="414" t="str">
        <f t="shared" si="8"/>
        <v/>
      </c>
      <c r="W281" s="480" t="str">
        <f t="shared" si="9"/>
        <v/>
      </c>
    </row>
    <row r="282" spans="1:23" ht="18" customHeight="1" x14ac:dyDescent="0.25">
      <c r="A282" s="415"/>
      <c r="B282" s="415"/>
      <c r="C282" s="415"/>
      <c r="D282" s="414"/>
      <c r="E282" s="414"/>
      <c r="F282" s="414"/>
      <c r="G282" s="414"/>
      <c r="H282" s="414"/>
      <c r="I282" s="414"/>
      <c r="J282" s="414"/>
      <c r="K282" s="414"/>
      <c r="L282" s="414"/>
      <c r="M282" s="414"/>
      <c r="N282" s="414"/>
      <c r="O282" s="414"/>
      <c r="P282" s="414"/>
      <c r="Q282" s="414"/>
      <c r="R282" s="414"/>
      <c r="S282" s="414"/>
      <c r="T282" s="414"/>
      <c r="U282" s="414" t="str">
        <f t="shared" si="8"/>
        <v/>
      </c>
      <c r="W282" s="480" t="str">
        <f t="shared" si="9"/>
        <v/>
      </c>
    </row>
    <row r="283" spans="1:23" ht="18" customHeight="1" x14ac:dyDescent="0.25">
      <c r="A283" s="415"/>
      <c r="B283" s="415"/>
      <c r="C283" s="415"/>
      <c r="D283" s="414"/>
      <c r="E283" s="414"/>
      <c r="F283" s="414"/>
      <c r="G283" s="414"/>
      <c r="H283" s="414"/>
      <c r="I283" s="414"/>
      <c r="J283" s="414"/>
      <c r="K283" s="414"/>
      <c r="L283" s="414"/>
      <c r="M283" s="414"/>
      <c r="N283" s="414"/>
      <c r="O283" s="414"/>
      <c r="P283" s="414"/>
      <c r="Q283" s="414"/>
      <c r="R283" s="414"/>
      <c r="S283" s="414"/>
      <c r="T283" s="414"/>
      <c r="U283" s="414" t="str">
        <f t="shared" si="8"/>
        <v/>
      </c>
      <c r="W283" s="480" t="str">
        <f t="shared" si="9"/>
        <v/>
      </c>
    </row>
    <row r="284" spans="1:23" ht="18" customHeight="1" x14ac:dyDescent="0.25">
      <c r="A284" s="415"/>
      <c r="B284" s="415"/>
      <c r="C284" s="415"/>
      <c r="D284" s="414"/>
      <c r="E284" s="414"/>
      <c r="F284" s="414"/>
      <c r="G284" s="414"/>
      <c r="H284" s="414"/>
      <c r="I284" s="414"/>
      <c r="J284" s="414"/>
      <c r="K284" s="414"/>
      <c r="L284" s="414"/>
      <c r="M284" s="414"/>
      <c r="N284" s="414"/>
      <c r="O284" s="414"/>
      <c r="P284" s="414"/>
      <c r="Q284" s="414"/>
      <c r="R284" s="414"/>
      <c r="S284" s="414"/>
      <c r="T284" s="414"/>
      <c r="U284" s="414" t="str">
        <f t="shared" si="8"/>
        <v/>
      </c>
      <c r="W284" s="480" t="str">
        <f t="shared" si="9"/>
        <v/>
      </c>
    </row>
    <row r="285" spans="1:23" ht="18" customHeight="1" x14ac:dyDescent="0.25">
      <c r="A285" s="415"/>
      <c r="B285" s="415"/>
      <c r="C285" s="415"/>
      <c r="D285" s="414"/>
      <c r="E285" s="414"/>
      <c r="F285" s="414"/>
      <c r="G285" s="414"/>
      <c r="H285" s="414"/>
      <c r="I285" s="414"/>
      <c r="J285" s="414"/>
      <c r="K285" s="414"/>
      <c r="L285" s="414"/>
      <c r="M285" s="414"/>
      <c r="N285" s="414"/>
      <c r="O285" s="414"/>
      <c r="P285" s="414"/>
      <c r="Q285" s="414"/>
      <c r="R285" s="414"/>
      <c r="S285" s="414"/>
      <c r="T285" s="414"/>
      <c r="U285" s="414" t="str">
        <f t="shared" si="8"/>
        <v/>
      </c>
      <c r="W285" s="480" t="str">
        <f t="shared" si="9"/>
        <v/>
      </c>
    </row>
    <row r="286" spans="1:23" ht="18" customHeight="1" x14ac:dyDescent="0.25">
      <c r="A286" s="415"/>
      <c r="B286" s="415"/>
      <c r="C286" s="415"/>
      <c r="D286" s="414"/>
      <c r="E286" s="414"/>
      <c r="F286" s="414"/>
      <c r="G286" s="414"/>
      <c r="H286" s="414"/>
      <c r="I286" s="414"/>
      <c r="J286" s="414"/>
      <c r="K286" s="414"/>
      <c r="L286" s="414"/>
      <c r="M286" s="414"/>
      <c r="N286" s="414"/>
      <c r="O286" s="414"/>
      <c r="P286" s="414"/>
      <c r="Q286" s="414"/>
      <c r="R286" s="414"/>
      <c r="S286" s="414"/>
      <c r="T286" s="414"/>
      <c r="U286" s="414" t="str">
        <f t="shared" si="8"/>
        <v/>
      </c>
      <c r="W286" s="480" t="str">
        <f t="shared" si="9"/>
        <v/>
      </c>
    </row>
    <row r="287" spans="1:23" ht="18" customHeight="1" x14ac:dyDescent="0.25">
      <c r="A287" s="415"/>
      <c r="B287" s="415"/>
      <c r="C287" s="415"/>
      <c r="D287" s="414"/>
      <c r="E287" s="414"/>
      <c r="F287" s="414"/>
      <c r="G287" s="414"/>
      <c r="H287" s="414"/>
      <c r="I287" s="414"/>
      <c r="J287" s="414"/>
      <c r="K287" s="414"/>
      <c r="L287" s="414"/>
      <c r="M287" s="414"/>
      <c r="N287" s="414"/>
      <c r="O287" s="414"/>
      <c r="P287" s="414"/>
      <c r="Q287" s="414"/>
      <c r="R287" s="414"/>
      <c r="S287" s="414"/>
      <c r="T287" s="414"/>
      <c r="U287" s="414" t="str">
        <f t="shared" si="8"/>
        <v/>
      </c>
      <c r="W287" s="480" t="str">
        <f t="shared" si="9"/>
        <v/>
      </c>
    </row>
    <row r="288" spans="1:23" ht="18" customHeight="1" x14ac:dyDescent="0.25">
      <c r="A288" s="415"/>
      <c r="B288" s="415"/>
      <c r="C288" s="415"/>
      <c r="D288" s="414"/>
      <c r="E288" s="414"/>
      <c r="F288" s="414"/>
      <c r="G288" s="414"/>
      <c r="H288" s="414"/>
      <c r="I288" s="414"/>
      <c r="J288" s="414"/>
      <c r="K288" s="414"/>
      <c r="L288" s="414"/>
      <c r="M288" s="414"/>
      <c r="N288" s="414"/>
      <c r="O288" s="414"/>
      <c r="P288" s="414"/>
      <c r="Q288" s="414"/>
      <c r="R288" s="414"/>
      <c r="S288" s="414"/>
      <c r="T288" s="414"/>
      <c r="U288" s="414" t="str">
        <f t="shared" si="8"/>
        <v/>
      </c>
      <c r="W288" s="480" t="str">
        <f t="shared" si="9"/>
        <v/>
      </c>
    </row>
    <row r="289" spans="1:23" ht="18" customHeight="1" x14ac:dyDescent="0.25">
      <c r="A289" s="415"/>
      <c r="B289" s="415"/>
      <c r="C289" s="415"/>
      <c r="D289" s="414"/>
      <c r="E289" s="414"/>
      <c r="F289" s="414"/>
      <c r="G289" s="414"/>
      <c r="H289" s="414"/>
      <c r="I289" s="414"/>
      <c r="J289" s="414"/>
      <c r="K289" s="414"/>
      <c r="L289" s="414"/>
      <c r="M289" s="414"/>
      <c r="N289" s="414"/>
      <c r="O289" s="414"/>
      <c r="P289" s="414"/>
      <c r="Q289" s="414"/>
      <c r="R289" s="414"/>
      <c r="S289" s="414"/>
      <c r="T289" s="414"/>
      <c r="U289" s="414" t="str">
        <f t="shared" si="8"/>
        <v/>
      </c>
      <c r="W289" s="480" t="str">
        <f t="shared" si="9"/>
        <v/>
      </c>
    </row>
    <row r="290" spans="1:23" ht="18" customHeight="1" x14ac:dyDescent="0.25">
      <c r="A290" s="415"/>
      <c r="B290" s="415"/>
      <c r="C290" s="415"/>
      <c r="D290" s="414"/>
      <c r="E290" s="414"/>
      <c r="F290" s="414"/>
      <c r="G290" s="414"/>
      <c r="H290" s="414"/>
      <c r="I290" s="414"/>
      <c r="J290" s="414"/>
      <c r="K290" s="414"/>
      <c r="L290" s="414"/>
      <c r="M290" s="414"/>
      <c r="N290" s="414"/>
      <c r="O290" s="414"/>
      <c r="P290" s="414"/>
      <c r="Q290" s="414"/>
      <c r="R290" s="414"/>
      <c r="S290" s="414"/>
      <c r="T290" s="414"/>
      <c r="U290" s="414" t="str">
        <f t="shared" si="8"/>
        <v/>
      </c>
      <c r="W290" s="480" t="str">
        <f t="shared" si="9"/>
        <v/>
      </c>
    </row>
    <row r="291" spans="1:23" ht="18" customHeight="1" x14ac:dyDescent="0.25">
      <c r="A291" s="415"/>
      <c r="B291" s="415"/>
      <c r="C291" s="415"/>
      <c r="D291" s="414"/>
      <c r="E291" s="414"/>
      <c r="F291" s="414"/>
      <c r="G291" s="414"/>
      <c r="H291" s="414"/>
      <c r="I291" s="414"/>
      <c r="J291" s="414"/>
      <c r="K291" s="414"/>
      <c r="L291" s="414"/>
      <c r="M291" s="414"/>
      <c r="N291" s="414"/>
      <c r="O291" s="414"/>
      <c r="P291" s="414"/>
      <c r="Q291" s="414"/>
      <c r="R291" s="414"/>
      <c r="S291" s="414"/>
      <c r="T291" s="414"/>
      <c r="U291" s="414" t="str">
        <f t="shared" si="8"/>
        <v/>
      </c>
      <c r="W291" s="480" t="str">
        <f t="shared" si="9"/>
        <v/>
      </c>
    </row>
    <row r="292" spans="1:23" ht="18" customHeight="1" x14ac:dyDescent="0.25">
      <c r="A292" s="415"/>
      <c r="B292" s="415"/>
      <c r="C292" s="415"/>
      <c r="D292" s="414"/>
      <c r="E292" s="414"/>
      <c r="F292" s="414"/>
      <c r="G292" s="414"/>
      <c r="H292" s="414"/>
      <c r="I292" s="414"/>
      <c r="J292" s="414"/>
      <c r="K292" s="414"/>
      <c r="L292" s="414"/>
      <c r="M292" s="414"/>
      <c r="N292" s="414"/>
      <c r="O292" s="414"/>
      <c r="P292" s="414"/>
      <c r="Q292" s="414"/>
      <c r="R292" s="414"/>
      <c r="S292" s="414"/>
      <c r="T292" s="414"/>
      <c r="U292" s="414" t="str">
        <f t="shared" si="8"/>
        <v/>
      </c>
      <c r="W292" s="480" t="str">
        <f t="shared" si="9"/>
        <v/>
      </c>
    </row>
    <row r="293" spans="1:23" ht="18" customHeight="1" x14ac:dyDescent="0.25">
      <c r="A293" s="415"/>
      <c r="B293" s="415"/>
      <c r="C293" s="415"/>
      <c r="D293" s="414"/>
      <c r="E293" s="414"/>
      <c r="F293" s="414"/>
      <c r="G293" s="414"/>
      <c r="H293" s="414"/>
      <c r="I293" s="414"/>
      <c r="J293" s="414"/>
      <c r="K293" s="414"/>
      <c r="L293" s="414"/>
      <c r="M293" s="414"/>
      <c r="N293" s="414"/>
      <c r="O293" s="414"/>
      <c r="P293" s="414"/>
      <c r="Q293" s="414"/>
      <c r="R293" s="414"/>
      <c r="S293" s="414"/>
      <c r="T293" s="414"/>
      <c r="U293" s="414" t="str">
        <f t="shared" si="8"/>
        <v/>
      </c>
      <c r="W293" s="480" t="str">
        <f t="shared" si="9"/>
        <v/>
      </c>
    </row>
    <row r="294" spans="1:23" ht="18" customHeight="1" x14ac:dyDescent="0.25">
      <c r="A294" s="415"/>
      <c r="B294" s="415"/>
      <c r="C294" s="415"/>
      <c r="D294" s="414"/>
      <c r="E294" s="414"/>
      <c r="F294" s="414"/>
      <c r="G294" s="414"/>
      <c r="H294" s="414"/>
      <c r="I294" s="414"/>
      <c r="J294" s="414"/>
      <c r="K294" s="414"/>
      <c r="L294" s="414"/>
      <c r="M294" s="414"/>
      <c r="N294" s="414"/>
      <c r="O294" s="414"/>
      <c r="P294" s="414"/>
      <c r="Q294" s="414"/>
      <c r="R294" s="414"/>
      <c r="S294" s="414"/>
      <c r="T294" s="414"/>
      <c r="U294" s="414" t="str">
        <f t="shared" si="8"/>
        <v/>
      </c>
      <c r="W294" s="480" t="str">
        <f t="shared" si="9"/>
        <v/>
      </c>
    </row>
    <row r="295" spans="1:23" ht="18" customHeight="1" x14ac:dyDescent="0.25">
      <c r="A295" s="415"/>
      <c r="B295" s="415"/>
      <c r="C295" s="415"/>
      <c r="D295" s="414"/>
      <c r="E295" s="414"/>
      <c r="F295" s="414"/>
      <c r="G295" s="414"/>
      <c r="H295" s="414"/>
      <c r="I295" s="414"/>
      <c r="J295" s="414"/>
      <c r="K295" s="414"/>
      <c r="L295" s="414"/>
      <c r="M295" s="414"/>
      <c r="N295" s="414"/>
      <c r="O295" s="414"/>
      <c r="P295" s="414"/>
      <c r="Q295" s="414"/>
      <c r="R295" s="414"/>
      <c r="S295" s="414"/>
      <c r="T295" s="414"/>
      <c r="U295" s="414" t="str">
        <f t="shared" si="8"/>
        <v/>
      </c>
      <c r="W295" s="480" t="str">
        <f t="shared" si="9"/>
        <v/>
      </c>
    </row>
    <row r="296" spans="1:23" ht="18" customHeight="1" x14ac:dyDescent="0.25">
      <c r="A296" s="415"/>
      <c r="B296" s="415"/>
      <c r="C296" s="415"/>
      <c r="D296" s="414"/>
      <c r="E296" s="414"/>
      <c r="F296" s="414"/>
      <c r="G296" s="414"/>
      <c r="H296" s="414"/>
      <c r="I296" s="414"/>
      <c r="J296" s="414"/>
      <c r="K296" s="414"/>
      <c r="L296" s="414"/>
      <c r="M296" s="414"/>
      <c r="N296" s="414"/>
      <c r="O296" s="414"/>
      <c r="P296" s="414"/>
      <c r="Q296" s="414"/>
      <c r="R296" s="414"/>
      <c r="S296" s="414"/>
      <c r="T296" s="414"/>
      <c r="U296" s="414" t="str">
        <f t="shared" si="8"/>
        <v/>
      </c>
      <c r="W296" s="480" t="str">
        <f t="shared" si="9"/>
        <v/>
      </c>
    </row>
    <row r="297" spans="1:23" ht="18" customHeight="1" x14ac:dyDescent="0.25">
      <c r="A297" s="415"/>
      <c r="B297" s="415"/>
      <c r="C297" s="415"/>
      <c r="D297" s="414"/>
      <c r="E297" s="414"/>
      <c r="F297" s="414"/>
      <c r="G297" s="414"/>
      <c r="H297" s="414"/>
      <c r="I297" s="414"/>
      <c r="J297" s="414"/>
      <c r="K297" s="414"/>
      <c r="L297" s="414"/>
      <c r="M297" s="414"/>
      <c r="N297" s="414"/>
      <c r="O297" s="414"/>
      <c r="P297" s="414"/>
      <c r="Q297" s="414"/>
      <c r="R297" s="414"/>
      <c r="S297" s="414"/>
      <c r="T297" s="414"/>
      <c r="U297" s="414" t="str">
        <f t="shared" si="8"/>
        <v/>
      </c>
      <c r="W297" s="480" t="str">
        <f t="shared" si="9"/>
        <v/>
      </c>
    </row>
    <row r="298" spans="1:23" ht="18" customHeight="1" x14ac:dyDescent="0.25">
      <c r="A298" s="415"/>
      <c r="B298" s="415"/>
      <c r="C298" s="415"/>
      <c r="D298" s="414"/>
      <c r="E298" s="414"/>
      <c r="F298" s="414"/>
      <c r="G298" s="414"/>
      <c r="H298" s="414"/>
      <c r="I298" s="414"/>
      <c r="J298" s="414"/>
      <c r="K298" s="414"/>
      <c r="L298" s="414"/>
      <c r="M298" s="414"/>
      <c r="N298" s="414"/>
      <c r="O298" s="414"/>
      <c r="P298" s="414"/>
      <c r="Q298" s="414"/>
      <c r="R298" s="414"/>
      <c r="S298" s="414"/>
      <c r="T298" s="414"/>
      <c r="U298" s="414" t="str">
        <f t="shared" si="8"/>
        <v/>
      </c>
      <c r="W298" s="480" t="str">
        <f t="shared" si="9"/>
        <v/>
      </c>
    </row>
    <row r="299" spans="1:23" ht="18" customHeight="1" x14ac:dyDescent="0.25">
      <c r="A299" s="415"/>
      <c r="B299" s="415"/>
      <c r="C299" s="415"/>
      <c r="D299" s="414"/>
      <c r="E299" s="414"/>
      <c r="F299" s="414"/>
      <c r="G299" s="414"/>
      <c r="H299" s="414"/>
      <c r="I299" s="414"/>
      <c r="J299" s="414"/>
      <c r="K299" s="414"/>
      <c r="L299" s="414"/>
      <c r="M299" s="414"/>
      <c r="N299" s="414"/>
      <c r="O299" s="414"/>
      <c r="P299" s="414"/>
      <c r="Q299" s="414"/>
      <c r="R299" s="414"/>
      <c r="S299" s="414"/>
      <c r="T299" s="414"/>
      <c r="U299" s="414" t="str">
        <f t="shared" si="8"/>
        <v/>
      </c>
      <c r="W299" s="480" t="str">
        <f t="shared" si="9"/>
        <v/>
      </c>
    </row>
    <row r="300" spans="1:23" ht="18" customHeight="1" x14ac:dyDescent="0.25">
      <c r="A300" s="415"/>
      <c r="B300" s="415"/>
      <c r="C300" s="415"/>
      <c r="D300" s="414"/>
      <c r="E300" s="414"/>
      <c r="F300" s="414"/>
      <c r="G300" s="414"/>
      <c r="H300" s="414"/>
      <c r="I300" s="414"/>
      <c r="J300" s="414"/>
      <c r="K300" s="414"/>
      <c r="L300" s="414"/>
      <c r="M300" s="414"/>
      <c r="N300" s="414"/>
      <c r="O300" s="414"/>
      <c r="P300" s="414"/>
      <c r="Q300" s="414"/>
      <c r="R300" s="414"/>
      <c r="S300" s="414"/>
      <c r="T300" s="414"/>
      <c r="U300" s="414" t="str">
        <f t="shared" si="8"/>
        <v/>
      </c>
      <c r="W300" s="480" t="str">
        <f t="shared" si="9"/>
        <v/>
      </c>
    </row>
    <row r="301" spans="1:23" ht="18" customHeight="1" x14ac:dyDescent="0.25">
      <c r="A301" s="415"/>
      <c r="B301" s="415"/>
      <c r="C301" s="415"/>
      <c r="D301" s="414"/>
      <c r="E301" s="414"/>
      <c r="F301" s="414"/>
      <c r="G301" s="414"/>
      <c r="H301" s="414"/>
      <c r="I301" s="414"/>
      <c r="J301" s="414"/>
      <c r="K301" s="414"/>
      <c r="L301" s="414"/>
      <c r="M301" s="414"/>
      <c r="N301" s="414"/>
      <c r="O301" s="414"/>
      <c r="P301" s="414"/>
      <c r="Q301" s="414"/>
      <c r="R301" s="414"/>
      <c r="S301" s="414"/>
      <c r="T301" s="414"/>
      <c r="U301" s="414" t="str">
        <f t="shared" si="8"/>
        <v/>
      </c>
      <c r="W301" s="480" t="str">
        <f t="shared" si="9"/>
        <v/>
      </c>
    </row>
    <row r="302" spans="1:23" ht="18" customHeight="1" x14ac:dyDescent="0.25">
      <c r="A302" s="415"/>
      <c r="B302" s="415"/>
      <c r="C302" s="415"/>
      <c r="D302" s="414"/>
      <c r="E302" s="414"/>
      <c r="F302" s="414"/>
      <c r="G302" s="414"/>
      <c r="H302" s="414"/>
      <c r="I302" s="414"/>
      <c r="J302" s="414"/>
      <c r="K302" s="414"/>
      <c r="L302" s="414"/>
      <c r="M302" s="414"/>
      <c r="N302" s="414"/>
      <c r="O302" s="414"/>
      <c r="P302" s="414"/>
      <c r="Q302" s="414"/>
      <c r="R302" s="414"/>
      <c r="S302" s="414"/>
      <c r="T302" s="414"/>
      <c r="U302" s="414" t="str">
        <f t="shared" si="8"/>
        <v/>
      </c>
      <c r="W302" s="480" t="str">
        <f t="shared" si="9"/>
        <v/>
      </c>
    </row>
    <row r="303" spans="1:23" ht="18" customHeight="1" x14ac:dyDescent="0.25">
      <c r="A303" s="415"/>
      <c r="B303" s="415"/>
      <c r="C303" s="415"/>
      <c r="D303" s="414"/>
      <c r="E303" s="414"/>
      <c r="F303" s="414"/>
      <c r="G303" s="414"/>
      <c r="H303" s="414"/>
      <c r="I303" s="414"/>
      <c r="J303" s="414"/>
      <c r="K303" s="414"/>
      <c r="L303" s="414"/>
      <c r="M303" s="414"/>
      <c r="N303" s="414"/>
      <c r="O303" s="414"/>
      <c r="P303" s="414"/>
      <c r="Q303" s="414"/>
      <c r="R303" s="414"/>
      <c r="S303" s="414"/>
      <c r="T303" s="414"/>
      <c r="U303" s="414" t="str">
        <f t="shared" si="8"/>
        <v/>
      </c>
      <c r="W303" s="480" t="str">
        <f t="shared" si="9"/>
        <v/>
      </c>
    </row>
    <row r="304" spans="1:23" ht="18" customHeight="1" x14ac:dyDescent="0.25">
      <c r="A304" s="415"/>
      <c r="B304" s="415"/>
      <c r="C304" s="415"/>
      <c r="D304" s="414"/>
      <c r="E304" s="414"/>
      <c r="F304" s="414"/>
      <c r="G304" s="414"/>
      <c r="H304" s="414"/>
      <c r="I304" s="414"/>
      <c r="J304" s="414"/>
      <c r="K304" s="414"/>
      <c r="L304" s="414"/>
      <c r="M304" s="414"/>
      <c r="N304" s="414"/>
      <c r="O304" s="414"/>
      <c r="P304" s="414"/>
      <c r="Q304" s="414"/>
      <c r="R304" s="414"/>
      <c r="S304" s="414"/>
      <c r="T304" s="414"/>
      <c r="U304" s="414" t="str">
        <f t="shared" si="8"/>
        <v/>
      </c>
      <c r="W304" s="480" t="str">
        <f t="shared" si="9"/>
        <v/>
      </c>
    </row>
    <row r="305" spans="1:23" ht="18" customHeight="1" x14ac:dyDescent="0.25">
      <c r="A305" s="415"/>
      <c r="B305" s="415"/>
      <c r="C305" s="415"/>
      <c r="D305" s="414"/>
      <c r="E305" s="414"/>
      <c r="F305" s="414"/>
      <c r="G305" s="414"/>
      <c r="H305" s="414"/>
      <c r="I305" s="414"/>
      <c r="J305" s="414"/>
      <c r="K305" s="414"/>
      <c r="L305" s="414"/>
      <c r="M305" s="414"/>
      <c r="N305" s="414"/>
      <c r="O305" s="414"/>
      <c r="P305" s="414"/>
      <c r="Q305" s="414"/>
      <c r="R305" s="414"/>
      <c r="S305" s="414"/>
      <c r="T305" s="414"/>
      <c r="U305" s="414" t="str">
        <f t="shared" si="8"/>
        <v/>
      </c>
      <c r="W305" s="480" t="str">
        <f t="shared" si="9"/>
        <v/>
      </c>
    </row>
    <row r="306" spans="1:23" ht="18" customHeight="1" x14ac:dyDescent="0.25">
      <c r="A306" s="415"/>
      <c r="B306" s="415"/>
      <c r="C306" s="415"/>
      <c r="D306" s="414"/>
      <c r="E306" s="414"/>
      <c r="F306" s="414"/>
      <c r="G306" s="414"/>
      <c r="H306" s="414"/>
      <c r="I306" s="414"/>
      <c r="J306" s="414"/>
      <c r="K306" s="414"/>
      <c r="L306" s="414"/>
      <c r="M306" s="414"/>
      <c r="N306" s="414"/>
      <c r="O306" s="414"/>
      <c r="P306" s="414"/>
      <c r="Q306" s="414"/>
      <c r="R306" s="414"/>
      <c r="S306" s="414"/>
      <c r="T306" s="414"/>
      <c r="U306" s="414" t="str">
        <f t="shared" si="8"/>
        <v/>
      </c>
      <c r="W306" s="480" t="str">
        <f t="shared" si="9"/>
        <v/>
      </c>
    </row>
    <row r="307" spans="1:23" ht="18" customHeight="1" x14ac:dyDescent="0.25">
      <c r="A307" s="415"/>
      <c r="B307" s="415"/>
      <c r="C307" s="415"/>
      <c r="D307" s="414"/>
      <c r="E307" s="414"/>
      <c r="F307" s="414"/>
      <c r="G307" s="414"/>
      <c r="H307" s="414"/>
      <c r="I307" s="414"/>
      <c r="J307" s="414"/>
      <c r="K307" s="414"/>
      <c r="L307" s="414"/>
      <c r="M307" s="414"/>
      <c r="N307" s="414"/>
      <c r="O307" s="414"/>
      <c r="P307" s="414"/>
      <c r="Q307" s="414"/>
      <c r="R307" s="414"/>
      <c r="S307" s="414"/>
      <c r="T307" s="414"/>
      <c r="U307" s="414" t="str">
        <f t="shared" si="8"/>
        <v/>
      </c>
      <c r="W307" s="480" t="str">
        <f t="shared" si="9"/>
        <v/>
      </c>
    </row>
    <row r="308" spans="1:23" ht="18" customHeight="1" x14ac:dyDescent="0.25">
      <c r="A308" s="415"/>
      <c r="B308" s="415"/>
      <c r="C308" s="415"/>
      <c r="D308" s="414"/>
      <c r="E308" s="414"/>
      <c r="F308" s="414"/>
      <c r="G308" s="414"/>
      <c r="H308" s="414"/>
      <c r="I308" s="414"/>
      <c r="J308" s="414"/>
      <c r="K308" s="414"/>
      <c r="L308" s="414"/>
      <c r="M308" s="414"/>
      <c r="N308" s="414"/>
      <c r="O308" s="414"/>
      <c r="P308" s="414"/>
      <c r="Q308" s="414"/>
      <c r="R308" s="414"/>
      <c r="S308" s="414"/>
      <c r="T308" s="414"/>
      <c r="U308" s="414" t="str">
        <f t="shared" si="8"/>
        <v/>
      </c>
      <c r="W308" s="480" t="str">
        <f t="shared" si="9"/>
        <v/>
      </c>
    </row>
    <row r="309" spans="1:23" ht="18" customHeight="1" x14ac:dyDescent="0.25">
      <c r="A309" s="415"/>
      <c r="B309" s="415"/>
      <c r="C309" s="415"/>
      <c r="D309" s="414"/>
      <c r="E309" s="414"/>
      <c r="F309" s="414"/>
      <c r="G309" s="414"/>
      <c r="H309" s="414"/>
      <c r="I309" s="414"/>
      <c r="J309" s="414"/>
      <c r="K309" s="414"/>
      <c r="L309" s="414"/>
      <c r="M309" s="414"/>
      <c r="N309" s="414"/>
      <c r="O309" s="414"/>
      <c r="P309" s="414"/>
      <c r="Q309" s="414"/>
      <c r="R309" s="414"/>
      <c r="S309" s="414"/>
      <c r="T309" s="414"/>
      <c r="U309" s="414" t="str">
        <f t="shared" si="8"/>
        <v/>
      </c>
      <c r="W309" s="480" t="str">
        <f t="shared" si="9"/>
        <v/>
      </c>
    </row>
    <row r="310" spans="1:23" ht="18" customHeight="1" x14ac:dyDescent="0.25">
      <c r="A310" s="415"/>
      <c r="B310" s="415"/>
      <c r="C310" s="415"/>
      <c r="D310" s="414"/>
      <c r="E310" s="414"/>
      <c r="F310" s="414"/>
      <c r="G310" s="414"/>
      <c r="H310" s="414"/>
      <c r="I310" s="414"/>
      <c r="J310" s="414"/>
      <c r="K310" s="414"/>
      <c r="L310" s="414"/>
      <c r="M310" s="414"/>
      <c r="N310" s="414"/>
      <c r="O310" s="414"/>
      <c r="P310" s="414"/>
      <c r="Q310" s="414"/>
      <c r="R310" s="414"/>
      <c r="S310" s="414"/>
      <c r="T310" s="414"/>
      <c r="U310" s="414" t="str">
        <f t="shared" si="8"/>
        <v/>
      </c>
      <c r="W310" s="480" t="str">
        <f t="shared" si="9"/>
        <v/>
      </c>
    </row>
    <row r="311" spans="1:23" ht="18" customHeight="1" x14ac:dyDescent="0.25">
      <c r="A311" s="415"/>
      <c r="B311" s="415"/>
      <c r="C311" s="415"/>
      <c r="D311" s="414"/>
      <c r="E311" s="414"/>
      <c r="F311" s="414"/>
      <c r="G311" s="414"/>
      <c r="H311" s="414"/>
      <c r="I311" s="414"/>
      <c r="J311" s="414"/>
      <c r="K311" s="414"/>
      <c r="L311" s="414"/>
      <c r="M311" s="414"/>
      <c r="N311" s="414"/>
      <c r="O311" s="414"/>
      <c r="P311" s="414"/>
      <c r="Q311" s="414"/>
      <c r="R311" s="414"/>
      <c r="S311" s="414"/>
      <c r="T311" s="414"/>
      <c r="U311" s="414" t="str">
        <f t="shared" si="8"/>
        <v/>
      </c>
      <c r="W311" s="480" t="str">
        <f t="shared" si="9"/>
        <v/>
      </c>
    </row>
    <row r="312" spans="1:23" ht="18" customHeight="1" x14ac:dyDescent="0.25">
      <c r="A312" s="415"/>
      <c r="B312" s="415"/>
      <c r="C312" s="415"/>
      <c r="D312" s="414"/>
      <c r="E312" s="414"/>
      <c r="F312" s="414"/>
      <c r="G312" s="414"/>
      <c r="H312" s="414"/>
      <c r="I312" s="414"/>
      <c r="J312" s="414"/>
      <c r="K312" s="414"/>
      <c r="L312" s="414"/>
      <c r="M312" s="414"/>
      <c r="N312" s="414"/>
      <c r="O312" s="414"/>
      <c r="P312" s="414"/>
      <c r="Q312" s="414"/>
      <c r="R312" s="414"/>
      <c r="S312" s="414"/>
      <c r="T312" s="414"/>
      <c r="U312" s="414" t="str">
        <f t="shared" si="8"/>
        <v/>
      </c>
      <c r="W312" s="480" t="str">
        <f t="shared" si="9"/>
        <v/>
      </c>
    </row>
    <row r="313" spans="1:23" ht="18" customHeight="1" x14ac:dyDescent="0.25">
      <c r="A313" s="415"/>
      <c r="B313" s="415"/>
      <c r="C313" s="415"/>
      <c r="D313" s="414"/>
      <c r="E313" s="414"/>
      <c r="F313" s="414"/>
      <c r="G313" s="414"/>
      <c r="H313" s="414"/>
      <c r="I313" s="414"/>
      <c r="J313" s="414"/>
      <c r="K313" s="414"/>
      <c r="L313" s="414"/>
      <c r="M313" s="414"/>
      <c r="N313" s="414"/>
      <c r="O313" s="414"/>
      <c r="P313" s="414"/>
      <c r="Q313" s="414"/>
      <c r="R313" s="414"/>
      <c r="S313" s="414"/>
      <c r="T313" s="414"/>
      <c r="U313" s="414" t="str">
        <f t="shared" si="8"/>
        <v/>
      </c>
      <c r="W313" s="480" t="str">
        <f t="shared" si="9"/>
        <v/>
      </c>
    </row>
    <row r="314" spans="1:23" ht="18" customHeight="1" x14ac:dyDescent="0.25">
      <c r="A314" s="415"/>
      <c r="B314" s="415"/>
      <c r="C314" s="415"/>
      <c r="D314" s="414"/>
      <c r="E314" s="414"/>
      <c r="F314" s="414"/>
      <c r="G314" s="414"/>
      <c r="H314" s="414"/>
      <c r="I314" s="414"/>
      <c r="J314" s="414"/>
      <c r="K314" s="414"/>
      <c r="L314" s="414"/>
      <c r="M314" s="414"/>
      <c r="N314" s="414"/>
      <c r="O314" s="414"/>
      <c r="P314" s="414"/>
      <c r="Q314" s="414"/>
      <c r="R314" s="414"/>
      <c r="S314" s="414"/>
      <c r="T314" s="414"/>
      <c r="U314" s="414" t="str">
        <f t="shared" si="8"/>
        <v/>
      </c>
      <c r="W314" s="480" t="str">
        <f t="shared" si="9"/>
        <v/>
      </c>
    </row>
    <row r="315" spans="1:23" ht="18" customHeight="1" x14ac:dyDescent="0.25">
      <c r="A315" s="415"/>
      <c r="B315" s="415"/>
      <c r="C315" s="415"/>
      <c r="D315" s="414"/>
      <c r="E315" s="414"/>
      <c r="F315" s="414"/>
      <c r="G315" s="414"/>
      <c r="H315" s="414"/>
      <c r="I315" s="414"/>
      <c r="J315" s="414"/>
      <c r="K315" s="414"/>
      <c r="L315" s="414"/>
      <c r="M315" s="414"/>
      <c r="N315" s="414"/>
      <c r="O315" s="414"/>
      <c r="P315" s="414"/>
      <c r="Q315" s="414"/>
      <c r="R315" s="414"/>
      <c r="S315" s="414"/>
      <c r="T315" s="414"/>
      <c r="U315" s="414" t="str">
        <f t="shared" si="8"/>
        <v/>
      </c>
      <c r="W315" s="480" t="str">
        <f t="shared" si="9"/>
        <v/>
      </c>
    </row>
    <row r="316" spans="1:23" ht="18" customHeight="1" x14ac:dyDescent="0.25">
      <c r="A316" s="415"/>
      <c r="B316" s="415"/>
      <c r="C316" s="415"/>
      <c r="D316" s="414"/>
      <c r="E316" s="414"/>
      <c r="F316" s="414"/>
      <c r="G316" s="414"/>
      <c r="H316" s="414"/>
      <c r="I316" s="414"/>
      <c r="J316" s="414"/>
      <c r="K316" s="414"/>
      <c r="L316" s="414"/>
      <c r="M316" s="414"/>
      <c r="N316" s="414"/>
      <c r="O316" s="414"/>
      <c r="P316" s="414"/>
      <c r="Q316" s="414"/>
      <c r="R316" s="414"/>
      <c r="S316" s="414"/>
      <c r="T316" s="414"/>
      <c r="U316" s="414" t="str">
        <f t="shared" si="8"/>
        <v/>
      </c>
      <c r="W316" s="480" t="str">
        <f t="shared" si="9"/>
        <v/>
      </c>
    </row>
    <row r="317" spans="1:23" ht="18" customHeight="1" x14ac:dyDescent="0.25">
      <c r="A317" s="415"/>
      <c r="B317" s="415"/>
      <c r="C317" s="415"/>
      <c r="D317" s="414"/>
      <c r="E317" s="414"/>
      <c r="F317" s="414"/>
      <c r="G317" s="414"/>
      <c r="H317" s="414"/>
      <c r="I317" s="414"/>
      <c r="J317" s="414"/>
      <c r="K317" s="414"/>
      <c r="L317" s="414"/>
      <c r="M317" s="414"/>
      <c r="N317" s="414"/>
      <c r="O317" s="414"/>
      <c r="P317" s="414"/>
      <c r="Q317" s="414"/>
      <c r="R317" s="414"/>
      <c r="S317" s="414"/>
      <c r="T317" s="414"/>
      <c r="U317" s="414" t="str">
        <f t="shared" si="8"/>
        <v/>
      </c>
      <c r="W317" s="480" t="str">
        <f t="shared" si="9"/>
        <v/>
      </c>
    </row>
    <row r="318" spans="1:23" ht="18" customHeight="1" x14ac:dyDescent="0.25">
      <c r="A318" s="415"/>
      <c r="B318" s="415"/>
      <c r="C318" s="415"/>
      <c r="D318" s="414"/>
      <c r="E318" s="414"/>
      <c r="F318" s="414"/>
      <c r="G318" s="414"/>
      <c r="H318" s="414"/>
      <c r="I318" s="414"/>
      <c r="J318" s="414"/>
      <c r="K318" s="414"/>
      <c r="L318" s="414"/>
      <c r="M318" s="414"/>
      <c r="N318" s="414"/>
      <c r="O318" s="414"/>
      <c r="P318" s="414"/>
      <c r="Q318" s="414"/>
      <c r="R318" s="414"/>
      <c r="S318" s="414"/>
      <c r="T318" s="414"/>
      <c r="U318" s="414" t="str">
        <f t="shared" si="8"/>
        <v/>
      </c>
      <c r="W318" s="480" t="str">
        <f t="shared" si="9"/>
        <v/>
      </c>
    </row>
    <row r="319" spans="1:23" ht="18" customHeight="1" x14ac:dyDescent="0.25">
      <c r="A319" s="415"/>
      <c r="B319" s="415"/>
      <c r="C319" s="415"/>
      <c r="D319" s="414"/>
      <c r="E319" s="414"/>
      <c r="F319" s="414"/>
      <c r="G319" s="414"/>
      <c r="H319" s="414"/>
      <c r="I319" s="414"/>
      <c r="J319" s="414"/>
      <c r="K319" s="414"/>
      <c r="L319" s="414"/>
      <c r="M319" s="414"/>
      <c r="N319" s="414"/>
      <c r="O319" s="414"/>
      <c r="P319" s="414"/>
      <c r="Q319" s="414"/>
      <c r="R319" s="414"/>
      <c r="S319" s="414"/>
      <c r="T319" s="414"/>
      <c r="U319" s="414" t="str">
        <f t="shared" si="8"/>
        <v/>
      </c>
      <c r="W319" s="480" t="str">
        <f t="shared" si="9"/>
        <v/>
      </c>
    </row>
    <row r="320" spans="1:23" ht="18" customHeight="1" x14ac:dyDescent="0.25">
      <c r="A320" s="415"/>
      <c r="B320" s="415"/>
      <c r="C320" s="415"/>
      <c r="D320" s="414"/>
      <c r="E320" s="414"/>
      <c r="F320" s="414"/>
      <c r="G320" s="414"/>
      <c r="H320" s="414"/>
      <c r="I320" s="414"/>
      <c r="J320" s="414"/>
      <c r="K320" s="414"/>
      <c r="L320" s="414"/>
      <c r="M320" s="414"/>
      <c r="N320" s="414"/>
      <c r="O320" s="414"/>
      <c r="P320" s="414"/>
      <c r="Q320" s="414"/>
      <c r="R320" s="414"/>
      <c r="S320" s="414"/>
      <c r="T320" s="414"/>
      <c r="U320" s="414" t="str">
        <f t="shared" si="8"/>
        <v/>
      </c>
      <c r="W320" s="480" t="str">
        <f t="shared" si="9"/>
        <v/>
      </c>
    </row>
    <row r="321" spans="1:23" ht="18" customHeight="1" x14ac:dyDescent="0.25">
      <c r="A321" s="415"/>
      <c r="B321" s="415"/>
      <c r="C321" s="415"/>
      <c r="D321" s="414"/>
      <c r="E321" s="414"/>
      <c r="F321" s="414"/>
      <c r="G321" s="414"/>
      <c r="H321" s="414"/>
      <c r="I321" s="414"/>
      <c r="J321" s="414"/>
      <c r="K321" s="414"/>
      <c r="L321" s="414"/>
      <c r="M321" s="414"/>
      <c r="N321" s="414"/>
      <c r="O321" s="414"/>
      <c r="P321" s="414"/>
      <c r="Q321" s="414"/>
      <c r="R321" s="414"/>
      <c r="S321" s="414"/>
      <c r="T321" s="414"/>
      <c r="U321" s="414" t="str">
        <f t="shared" si="8"/>
        <v/>
      </c>
      <c r="W321" s="480" t="str">
        <f t="shared" si="9"/>
        <v/>
      </c>
    </row>
    <row r="322" spans="1:23" ht="18" customHeight="1" x14ac:dyDescent="0.25">
      <c r="A322" s="415"/>
      <c r="B322" s="415"/>
      <c r="C322" s="415"/>
      <c r="D322" s="414"/>
      <c r="E322" s="414"/>
      <c r="F322" s="414"/>
      <c r="G322" s="414"/>
      <c r="H322" s="414"/>
      <c r="I322" s="414"/>
      <c r="J322" s="414"/>
      <c r="K322" s="414"/>
      <c r="L322" s="414"/>
      <c r="M322" s="414"/>
      <c r="N322" s="414"/>
      <c r="O322" s="414"/>
      <c r="P322" s="414"/>
      <c r="Q322" s="414"/>
      <c r="R322" s="414"/>
      <c r="S322" s="414"/>
      <c r="T322" s="414"/>
      <c r="U322" s="414" t="str">
        <f t="shared" si="8"/>
        <v/>
      </c>
      <c r="W322" s="480" t="str">
        <f t="shared" si="9"/>
        <v/>
      </c>
    </row>
    <row r="323" spans="1:23" ht="18" customHeight="1" x14ac:dyDescent="0.25">
      <c r="A323" s="415"/>
      <c r="B323" s="415"/>
      <c r="C323" s="415"/>
      <c r="D323" s="414"/>
      <c r="E323" s="414"/>
      <c r="F323" s="414"/>
      <c r="G323" s="414"/>
      <c r="H323" s="414"/>
      <c r="I323" s="414"/>
      <c r="J323" s="414"/>
      <c r="K323" s="414"/>
      <c r="L323" s="414"/>
      <c r="M323" s="414"/>
      <c r="N323" s="414"/>
      <c r="O323" s="414"/>
      <c r="P323" s="414"/>
      <c r="Q323" s="414"/>
      <c r="R323" s="414"/>
      <c r="S323" s="414"/>
      <c r="T323" s="414"/>
      <c r="U323" s="414" t="str">
        <f t="shared" si="8"/>
        <v/>
      </c>
      <c r="W323" s="480" t="str">
        <f t="shared" si="9"/>
        <v/>
      </c>
    </row>
    <row r="324" spans="1:23" ht="18" customHeight="1" x14ac:dyDescent="0.25">
      <c r="A324" s="415"/>
      <c r="B324" s="415"/>
      <c r="C324" s="415"/>
      <c r="D324" s="414"/>
      <c r="E324" s="414"/>
      <c r="F324" s="414"/>
      <c r="G324" s="414"/>
      <c r="H324" s="414"/>
      <c r="I324" s="414"/>
      <c r="J324" s="414"/>
      <c r="K324" s="414"/>
      <c r="L324" s="414"/>
      <c r="M324" s="414"/>
      <c r="N324" s="414"/>
      <c r="O324" s="414"/>
      <c r="P324" s="414"/>
      <c r="Q324" s="414"/>
      <c r="R324" s="414"/>
      <c r="S324" s="414"/>
      <c r="T324" s="414"/>
      <c r="U324" s="414" t="str">
        <f t="shared" si="8"/>
        <v/>
      </c>
      <c r="W324" s="480" t="str">
        <f t="shared" si="9"/>
        <v/>
      </c>
    </row>
    <row r="325" spans="1:23" ht="18" customHeight="1" x14ac:dyDescent="0.25">
      <c r="A325" s="415"/>
      <c r="B325" s="415"/>
      <c r="C325" s="415"/>
      <c r="D325" s="414"/>
      <c r="E325" s="414"/>
      <c r="F325" s="414"/>
      <c r="G325" s="414"/>
      <c r="H325" s="414"/>
      <c r="I325" s="414"/>
      <c r="J325" s="414"/>
      <c r="K325" s="414"/>
      <c r="L325" s="414"/>
      <c r="M325" s="414"/>
      <c r="N325" s="414"/>
      <c r="O325" s="414"/>
      <c r="P325" s="414"/>
      <c r="Q325" s="414"/>
      <c r="R325" s="414"/>
      <c r="S325" s="414"/>
      <c r="T325" s="414"/>
      <c r="U325" s="414" t="str">
        <f t="shared" si="8"/>
        <v/>
      </c>
      <c r="W325" s="480" t="str">
        <f t="shared" si="9"/>
        <v/>
      </c>
    </row>
    <row r="326" spans="1:23" ht="18" customHeight="1" x14ac:dyDescent="0.25">
      <c r="A326" s="415"/>
      <c r="B326" s="415"/>
      <c r="C326" s="415"/>
      <c r="D326" s="414"/>
      <c r="E326" s="414"/>
      <c r="F326" s="414"/>
      <c r="G326" s="414"/>
      <c r="H326" s="414"/>
      <c r="I326" s="414"/>
      <c r="J326" s="414"/>
      <c r="K326" s="414"/>
      <c r="L326" s="414"/>
      <c r="M326" s="414"/>
      <c r="N326" s="414"/>
      <c r="O326" s="414"/>
      <c r="P326" s="414"/>
      <c r="Q326" s="414"/>
      <c r="R326" s="414"/>
      <c r="S326" s="414"/>
      <c r="T326" s="414"/>
      <c r="U326" s="414" t="str">
        <f t="shared" si="8"/>
        <v/>
      </c>
      <c r="W326" s="480" t="str">
        <f t="shared" si="9"/>
        <v/>
      </c>
    </row>
    <row r="327" spans="1:23" ht="18" customHeight="1" x14ac:dyDescent="0.25">
      <c r="A327" s="415"/>
      <c r="B327" s="415"/>
      <c r="C327" s="415"/>
      <c r="D327" s="414"/>
      <c r="E327" s="414"/>
      <c r="F327" s="414"/>
      <c r="G327" s="414"/>
      <c r="H327" s="414"/>
      <c r="I327" s="414"/>
      <c r="J327" s="414"/>
      <c r="K327" s="414"/>
      <c r="L327" s="414"/>
      <c r="M327" s="414"/>
      <c r="N327" s="414"/>
      <c r="O327" s="414"/>
      <c r="P327" s="414"/>
      <c r="Q327" s="414"/>
      <c r="R327" s="414"/>
      <c r="S327" s="414"/>
      <c r="T327" s="414"/>
      <c r="U327" s="414" t="str">
        <f t="shared" si="8"/>
        <v/>
      </c>
      <c r="W327" s="480" t="str">
        <f t="shared" si="9"/>
        <v/>
      </c>
    </row>
    <row r="328" spans="1:23" ht="18" customHeight="1" x14ac:dyDescent="0.25">
      <c r="A328" s="415"/>
      <c r="B328" s="415"/>
      <c r="C328" s="415"/>
      <c r="D328" s="414"/>
      <c r="E328" s="414"/>
      <c r="F328" s="414"/>
      <c r="G328" s="414"/>
      <c r="H328" s="414"/>
      <c r="I328" s="414"/>
      <c r="J328" s="414"/>
      <c r="K328" s="414"/>
      <c r="L328" s="414"/>
      <c r="M328" s="414"/>
      <c r="N328" s="414"/>
      <c r="O328" s="414"/>
      <c r="P328" s="414"/>
      <c r="Q328" s="414"/>
      <c r="R328" s="414"/>
      <c r="S328" s="414"/>
      <c r="T328" s="414"/>
      <c r="U328" s="414" t="str">
        <f t="shared" si="8"/>
        <v/>
      </c>
      <c r="W328" s="480" t="str">
        <f t="shared" si="9"/>
        <v/>
      </c>
    </row>
    <row r="329" spans="1:23" ht="18" customHeight="1" x14ac:dyDescent="0.25">
      <c r="A329" s="415"/>
      <c r="B329" s="415"/>
      <c r="C329" s="415"/>
      <c r="D329" s="414"/>
      <c r="E329" s="414"/>
      <c r="F329" s="414"/>
      <c r="G329" s="414"/>
      <c r="H329" s="414"/>
      <c r="I329" s="414"/>
      <c r="J329" s="414"/>
      <c r="K329" s="414"/>
      <c r="L329" s="414"/>
      <c r="M329" s="414"/>
      <c r="N329" s="414"/>
      <c r="O329" s="414"/>
      <c r="P329" s="414"/>
      <c r="Q329" s="414"/>
      <c r="R329" s="414"/>
      <c r="S329" s="414"/>
      <c r="T329" s="414"/>
      <c r="U329" s="414" t="str">
        <f t="shared" si="8"/>
        <v/>
      </c>
      <c r="W329" s="480" t="str">
        <f t="shared" si="9"/>
        <v/>
      </c>
    </row>
    <row r="330" spans="1:23" ht="18" customHeight="1" x14ac:dyDescent="0.25">
      <c r="A330" s="415"/>
      <c r="B330" s="415"/>
      <c r="C330" s="415"/>
      <c r="D330" s="414"/>
      <c r="E330" s="414"/>
      <c r="F330" s="414"/>
      <c r="G330" s="414"/>
      <c r="H330" s="414"/>
      <c r="I330" s="414"/>
      <c r="J330" s="414"/>
      <c r="K330" s="414"/>
      <c r="L330" s="414"/>
      <c r="M330" s="414"/>
      <c r="N330" s="414"/>
      <c r="O330" s="414"/>
      <c r="P330" s="414"/>
      <c r="Q330" s="414"/>
      <c r="R330" s="414"/>
      <c r="S330" s="414"/>
      <c r="T330" s="414"/>
      <c r="U330" s="414" t="str">
        <f t="shared" si="8"/>
        <v/>
      </c>
      <c r="W330" s="480" t="str">
        <f t="shared" si="9"/>
        <v/>
      </c>
    </row>
    <row r="331" spans="1:23" ht="18" customHeight="1" x14ac:dyDescent="0.25">
      <c r="A331" s="415"/>
      <c r="B331" s="415"/>
      <c r="C331" s="415"/>
      <c r="D331" s="414"/>
      <c r="E331" s="414"/>
      <c r="F331" s="414"/>
      <c r="G331" s="414"/>
      <c r="H331" s="414"/>
      <c r="I331" s="414"/>
      <c r="J331" s="414"/>
      <c r="K331" s="414"/>
      <c r="L331" s="414"/>
      <c r="M331" s="414"/>
      <c r="N331" s="414"/>
      <c r="O331" s="414"/>
      <c r="P331" s="414"/>
      <c r="Q331" s="414"/>
      <c r="R331" s="414"/>
      <c r="S331" s="414"/>
      <c r="T331" s="414"/>
      <c r="U331" s="414" t="str">
        <f t="shared" si="8"/>
        <v/>
      </c>
      <c r="W331" s="480" t="str">
        <f t="shared" si="9"/>
        <v/>
      </c>
    </row>
    <row r="332" spans="1:23" ht="18" customHeight="1" x14ac:dyDescent="0.25">
      <c r="A332" s="415"/>
      <c r="B332" s="415"/>
      <c r="C332" s="415"/>
      <c r="D332" s="414"/>
      <c r="E332" s="414"/>
      <c r="F332" s="414"/>
      <c r="G332" s="414"/>
      <c r="H332" s="414"/>
      <c r="I332" s="414"/>
      <c r="J332" s="414"/>
      <c r="K332" s="414"/>
      <c r="L332" s="414"/>
      <c r="M332" s="414"/>
      <c r="N332" s="414"/>
      <c r="O332" s="414"/>
      <c r="P332" s="414"/>
      <c r="Q332" s="414"/>
      <c r="R332" s="414"/>
      <c r="S332" s="414"/>
      <c r="T332" s="414"/>
      <c r="U332" s="414" t="str">
        <f t="shared" ref="U332:U395" si="10">IFERROR(AVERAGEIF(D332:T332,"&gt;0",D332:T332),"")</f>
        <v/>
      </c>
      <c r="W332" s="480" t="str">
        <f t="shared" ref="W332:W354" si="11">IFERROR(MEDIAN(D332:J332),"")</f>
        <v/>
      </c>
    </row>
    <row r="333" spans="1:23" ht="18" customHeight="1" x14ac:dyDescent="0.25">
      <c r="A333" s="415"/>
      <c r="B333" s="415"/>
      <c r="C333" s="415"/>
      <c r="D333" s="414"/>
      <c r="E333" s="414"/>
      <c r="F333" s="414"/>
      <c r="G333" s="414"/>
      <c r="H333" s="414"/>
      <c r="I333" s="414"/>
      <c r="J333" s="414"/>
      <c r="K333" s="414"/>
      <c r="L333" s="414"/>
      <c r="M333" s="414"/>
      <c r="N333" s="414"/>
      <c r="O333" s="414"/>
      <c r="P333" s="414"/>
      <c r="Q333" s="414"/>
      <c r="R333" s="414"/>
      <c r="S333" s="414"/>
      <c r="T333" s="414"/>
      <c r="U333" s="414" t="str">
        <f t="shared" si="10"/>
        <v/>
      </c>
      <c r="W333" s="480" t="str">
        <f t="shared" si="11"/>
        <v/>
      </c>
    </row>
    <row r="334" spans="1:23" ht="18" customHeight="1" x14ac:dyDescent="0.25">
      <c r="A334" s="415"/>
      <c r="B334" s="415"/>
      <c r="C334" s="415"/>
      <c r="D334" s="414"/>
      <c r="E334" s="414"/>
      <c r="F334" s="414"/>
      <c r="G334" s="414"/>
      <c r="H334" s="414"/>
      <c r="I334" s="414"/>
      <c r="J334" s="414"/>
      <c r="K334" s="414"/>
      <c r="L334" s="414"/>
      <c r="M334" s="414"/>
      <c r="N334" s="414"/>
      <c r="O334" s="414"/>
      <c r="P334" s="414"/>
      <c r="Q334" s="414"/>
      <c r="R334" s="414"/>
      <c r="S334" s="414"/>
      <c r="T334" s="414"/>
      <c r="U334" s="414" t="str">
        <f t="shared" si="10"/>
        <v/>
      </c>
      <c r="W334" s="480" t="str">
        <f t="shared" si="11"/>
        <v/>
      </c>
    </row>
    <row r="335" spans="1:23" ht="18" customHeight="1" x14ac:dyDescent="0.25">
      <c r="A335" s="415"/>
      <c r="B335" s="415"/>
      <c r="C335" s="415"/>
      <c r="D335" s="414"/>
      <c r="E335" s="414"/>
      <c r="F335" s="414"/>
      <c r="G335" s="414"/>
      <c r="H335" s="414"/>
      <c r="I335" s="414"/>
      <c r="J335" s="414"/>
      <c r="K335" s="414"/>
      <c r="L335" s="414"/>
      <c r="M335" s="414"/>
      <c r="N335" s="414"/>
      <c r="O335" s="414"/>
      <c r="P335" s="414"/>
      <c r="Q335" s="414"/>
      <c r="R335" s="414"/>
      <c r="S335" s="414"/>
      <c r="T335" s="414"/>
      <c r="U335" s="414" t="str">
        <f t="shared" si="10"/>
        <v/>
      </c>
      <c r="W335" s="480" t="str">
        <f t="shared" si="11"/>
        <v/>
      </c>
    </row>
    <row r="336" spans="1:23" ht="18" customHeight="1" x14ac:dyDescent="0.25">
      <c r="A336" s="415"/>
      <c r="B336" s="415"/>
      <c r="C336" s="415"/>
      <c r="D336" s="414"/>
      <c r="E336" s="414"/>
      <c r="F336" s="414"/>
      <c r="G336" s="414"/>
      <c r="H336" s="414"/>
      <c r="I336" s="414"/>
      <c r="J336" s="414"/>
      <c r="K336" s="414"/>
      <c r="L336" s="414"/>
      <c r="M336" s="414"/>
      <c r="N336" s="414"/>
      <c r="O336" s="414"/>
      <c r="P336" s="414"/>
      <c r="Q336" s="414"/>
      <c r="R336" s="414"/>
      <c r="S336" s="414"/>
      <c r="T336" s="414"/>
      <c r="U336" s="414" t="str">
        <f t="shared" si="10"/>
        <v/>
      </c>
      <c r="W336" s="480" t="str">
        <f t="shared" si="11"/>
        <v/>
      </c>
    </row>
    <row r="337" spans="1:23" ht="18" customHeight="1" x14ac:dyDescent="0.25">
      <c r="A337" s="415"/>
      <c r="B337" s="415"/>
      <c r="C337" s="415"/>
      <c r="D337" s="414"/>
      <c r="E337" s="414"/>
      <c r="F337" s="414"/>
      <c r="G337" s="414"/>
      <c r="H337" s="414"/>
      <c r="I337" s="414"/>
      <c r="J337" s="414"/>
      <c r="K337" s="414"/>
      <c r="L337" s="414"/>
      <c r="M337" s="414"/>
      <c r="N337" s="414"/>
      <c r="O337" s="414"/>
      <c r="P337" s="414"/>
      <c r="Q337" s="414"/>
      <c r="R337" s="414"/>
      <c r="S337" s="414"/>
      <c r="T337" s="414"/>
      <c r="U337" s="414" t="str">
        <f t="shared" si="10"/>
        <v/>
      </c>
      <c r="W337" s="480" t="str">
        <f t="shared" si="11"/>
        <v/>
      </c>
    </row>
    <row r="338" spans="1:23" ht="18" customHeight="1" x14ac:dyDescent="0.25">
      <c r="A338" s="415"/>
      <c r="B338" s="415"/>
      <c r="C338" s="415"/>
      <c r="D338" s="414"/>
      <c r="E338" s="414"/>
      <c r="F338" s="414"/>
      <c r="G338" s="414"/>
      <c r="H338" s="414"/>
      <c r="I338" s="414"/>
      <c r="J338" s="414"/>
      <c r="K338" s="414"/>
      <c r="L338" s="414"/>
      <c r="M338" s="414"/>
      <c r="N338" s="414"/>
      <c r="O338" s="414"/>
      <c r="P338" s="414"/>
      <c r="Q338" s="414"/>
      <c r="R338" s="414"/>
      <c r="S338" s="414"/>
      <c r="T338" s="414"/>
      <c r="U338" s="414" t="str">
        <f t="shared" si="10"/>
        <v/>
      </c>
      <c r="W338" s="480" t="str">
        <f t="shared" si="11"/>
        <v/>
      </c>
    </row>
    <row r="339" spans="1:23" ht="18" customHeight="1" x14ac:dyDescent="0.25">
      <c r="A339" s="415"/>
      <c r="B339" s="415"/>
      <c r="C339" s="415"/>
      <c r="D339" s="414"/>
      <c r="E339" s="414"/>
      <c r="F339" s="414"/>
      <c r="G339" s="414"/>
      <c r="H339" s="414"/>
      <c r="I339" s="414"/>
      <c r="J339" s="414"/>
      <c r="K339" s="414"/>
      <c r="L339" s="414"/>
      <c r="M339" s="414"/>
      <c r="N339" s="414"/>
      <c r="O339" s="414"/>
      <c r="P339" s="414"/>
      <c r="Q339" s="414"/>
      <c r="R339" s="414"/>
      <c r="S339" s="414"/>
      <c r="T339" s="414"/>
      <c r="U339" s="414" t="str">
        <f t="shared" si="10"/>
        <v/>
      </c>
      <c r="W339" s="480" t="str">
        <f t="shared" si="11"/>
        <v/>
      </c>
    </row>
    <row r="340" spans="1:23" ht="18" customHeight="1" x14ac:dyDescent="0.25">
      <c r="A340" s="415"/>
      <c r="B340" s="415"/>
      <c r="C340" s="415"/>
      <c r="D340" s="414"/>
      <c r="E340" s="414"/>
      <c r="F340" s="414"/>
      <c r="G340" s="414"/>
      <c r="H340" s="414"/>
      <c r="I340" s="414"/>
      <c r="J340" s="414"/>
      <c r="K340" s="414"/>
      <c r="L340" s="414"/>
      <c r="M340" s="414"/>
      <c r="N340" s="414"/>
      <c r="O340" s="414"/>
      <c r="P340" s="414"/>
      <c r="Q340" s="414"/>
      <c r="R340" s="414"/>
      <c r="S340" s="414"/>
      <c r="T340" s="414"/>
      <c r="U340" s="414" t="str">
        <f t="shared" si="10"/>
        <v/>
      </c>
      <c r="W340" s="480" t="str">
        <f t="shared" si="11"/>
        <v/>
      </c>
    </row>
    <row r="341" spans="1:23" ht="18" customHeight="1" x14ac:dyDescent="0.25">
      <c r="A341" s="415"/>
      <c r="B341" s="415"/>
      <c r="C341" s="415"/>
      <c r="D341" s="414"/>
      <c r="E341" s="414"/>
      <c r="F341" s="414"/>
      <c r="G341" s="414"/>
      <c r="H341" s="414"/>
      <c r="I341" s="414"/>
      <c r="J341" s="414"/>
      <c r="K341" s="414"/>
      <c r="L341" s="414"/>
      <c r="M341" s="414"/>
      <c r="N341" s="414"/>
      <c r="O341" s="414"/>
      <c r="P341" s="414"/>
      <c r="Q341" s="414"/>
      <c r="R341" s="414"/>
      <c r="S341" s="414"/>
      <c r="T341" s="414"/>
      <c r="U341" s="414" t="str">
        <f t="shared" si="10"/>
        <v/>
      </c>
      <c r="W341" s="480" t="str">
        <f t="shared" si="11"/>
        <v/>
      </c>
    </row>
    <row r="342" spans="1:23" ht="18" customHeight="1" x14ac:dyDescent="0.25">
      <c r="A342" s="415"/>
      <c r="B342" s="415"/>
      <c r="C342" s="415"/>
      <c r="D342" s="414"/>
      <c r="E342" s="414"/>
      <c r="F342" s="414"/>
      <c r="G342" s="414"/>
      <c r="H342" s="414"/>
      <c r="I342" s="414"/>
      <c r="J342" s="414"/>
      <c r="K342" s="414"/>
      <c r="L342" s="414"/>
      <c r="M342" s="414"/>
      <c r="N342" s="414"/>
      <c r="O342" s="414"/>
      <c r="P342" s="414"/>
      <c r="Q342" s="414"/>
      <c r="R342" s="414"/>
      <c r="S342" s="414"/>
      <c r="T342" s="414"/>
      <c r="U342" s="414" t="str">
        <f t="shared" si="10"/>
        <v/>
      </c>
      <c r="W342" s="480" t="str">
        <f t="shared" si="11"/>
        <v/>
      </c>
    </row>
    <row r="343" spans="1:23" ht="18" customHeight="1" x14ac:dyDescent="0.25">
      <c r="A343" s="415"/>
      <c r="B343" s="415"/>
      <c r="C343" s="415"/>
      <c r="D343" s="414"/>
      <c r="E343" s="414"/>
      <c r="F343" s="414"/>
      <c r="G343" s="414"/>
      <c r="H343" s="414"/>
      <c r="I343" s="414"/>
      <c r="J343" s="414"/>
      <c r="K343" s="414"/>
      <c r="L343" s="414"/>
      <c r="M343" s="414"/>
      <c r="N343" s="414"/>
      <c r="O343" s="414"/>
      <c r="P343" s="414"/>
      <c r="Q343" s="414"/>
      <c r="R343" s="414"/>
      <c r="S343" s="414"/>
      <c r="T343" s="414"/>
      <c r="U343" s="414" t="str">
        <f t="shared" si="10"/>
        <v/>
      </c>
      <c r="W343" s="480" t="str">
        <f t="shared" si="11"/>
        <v/>
      </c>
    </row>
    <row r="344" spans="1:23" ht="18" customHeight="1" x14ac:dyDescent="0.25">
      <c r="A344" s="415"/>
      <c r="B344" s="415"/>
      <c r="C344" s="415"/>
      <c r="D344" s="414"/>
      <c r="E344" s="414"/>
      <c r="F344" s="414"/>
      <c r="G344" s="414"/>
      <c r="H344" s="414"/>
      <c r="I344" s="414"/>
      <c r="J344" s="414"/>
      <c r="K344" s="414"/>
      <c r="L344" s="414"/>
      <c r="M344" s="414"/>
      <c r="N344" s="414"/>
      <c r="O344" s="414"/>
      <c r="P344" s="414"/>
      <c r="Q344" s="414"/>
      <c r="R344" s="414"/>
      <c r="S344" s="414"/>
      <c r="T344" s="414"/>
      <c r="U344" s="414" t="str">
        <f t="shared" si="10"/>
        <v/>
      </c>
      <c r="W344" s="480" t="str">
        <f t="shared" si="11"/>
        <v/>
      </c>
    </row>
    <row r="345" spans="1:23" ht="18" customHeight="1" x14ac:dyDescent="0.25">
      <c r="A345" s="415"/>
      <c r="B345" s="415"/>
      <c r="C345" s="415"/>
      <c r="D345" s="414"/>
      <c r="E345" s="414"/>
      <c r="F345" s="414"/>
      <c r="G345" s="414"/>
      <c r="H345" s="414"/>
      <c r="I345" s="414"/>
      <c r="J345" s="414"/>
      <c r="K345" s="414"/>
      <c r="L345" s="414"/>
      <c r="M345" s="414"/>
      <c r="N345" s="414"/>
      <c r="O345" s="414"/>
      <c r="P345" s="414"/>
      <c r="Q345" s="414"/>
      <c r="R345" s="414"/>
      <c r="S345" s="414"/>
      <c r="T345" s="414"/>
      <c r="U345" s="414" t="str">
        <f t="shared" si="10"/>
        <v/>
      </c>
      <c r="W345" s="480" t="str">
        <f t="shared" si="11"/>
        <v/>
      </c>
    </row>
    <row r="346" spans="1:23" ht="18" customHeight="1" x14ac:dyDescent="0.25">
      <c r="A346" s="415"/>
      <c r="B346" s="415"/>
      <c r="C346" s="415"/>
      <c r="D346" s="414"/>
      <c r="E346" s="414"/>
      <c r="F346" s="414"/>
      <c r="G346" s="414"/>
      <c r="H346" s="414"/>
      <c r="I346" s="414"/>
      <c r="J346" s="414"/>
      <c r="K346" s="414"/>
      <c r="L346" s="414"/>
      <c r="M346" s="414"/>
      <c r="N346" s="414"/>
      <c r="O346" s="414"/>
      <c r="P346" s="414"/>
      <c r="Q346" s="414"/>
      <c r="R346" s="414"/>
      <c r="S346" s="414"/>
      <c r="T346" s="414"/>
      <c r="U346" s="414" t="str">
        <f t="shared" si="10"/>
        <v/>
      </c>
      <c r="W346" s="480" t="str">
        <f t="shared" si="11"/>
        <v/>
      </c>
    </row>
    <row r="347" spans="1:23" ht="18" customHeight="1" x14ac:dyDescent="0.25">
      <c r="A347" s="415"/>
      <c r="B347" s="415"/>
      <c r="C347" s="415"/>
      <c r="D347" s="414"/>
      <c r="E347" s="414"/>
      <c r="F347" s="414"/>
      <c r="G347" s="414"/>
      <c r="H347" s="414"/>
      <c r="I347" s="414"/>
      <c r="J347" s="414"/>
      <c r="K347" s="414"/>
      <c r="L347" s="414"/>
      <c r="M347" s="414"/>
      <c r="N347" s="414"/>
      <c r="O347" s="414"/>
      <c r="P347" s="414"/>
      <c r="Q347" s="414"/>
      <c r="R347" s="414"/>
      <c r="S347" s="414"/>
      <c r="T347" s="414"/>
      <c r="U347" s="414" t="str">
        <f t="shared" si="10"/>
        <v/>
      </c>
      <c r="W347" s="480" t="str">
        <f t="shared" si="11"/>
        <v/>
      </c>
    </row>
    <row r="348" spans="1:23" ht="18" customHeight="1" x14ac:dyDescent="0.25">
      <c r="A348" s="415"/>
      <c r="B348" s="415"/>
      <c r="C348" s="415"/>
      <c r="D348" s="414"/>
      <c r="E348" s="414"/>
      <c r="F348" s="414"/>
      <c r="G348" s="414"/>
      <c r="H348" s="414"/>
      <c r="I348" s="414"/>
      <c r="J348" s="414"/>
      <c r="K348" s="414"/>
      <c r="L348" s="414"/>
      <c r="M348" s="414"/>
      <c r="N348" s="414"/>
      <c r="O348" s="414"/>
      <c r="P348" s="414"/>
      <c r="Q348" s="414"/>
      <c r="R348" s="414"/>
      <c r="S348" s="414"/>
      <c r="T348" s="414"/>
      <c r="U348" s="414" t="str">
        <f t="shared" si="10"/>
        <v/>
      </c>
      <c r="W348" s="480" t="str">
        <f t="shared" si="11"/>
        <v/>
      </c>
    </row>
    <row r="349" spans="1:23" ht="18" customHeight="1" x14ac:dyDescent="0.25">
      <c r="A349" s="415"/>
      <c r="B349" s="415"/>
      <c r="C349" s="415"/>
      <c r="D349" s="414"/>
      <c r="E349" s="414"/>
      <c r="F349" s="414"/>
      <c r="G349" s="414"/>
      <c r="H349" s="414"/>
      <c r="I349" s="414"/>
      <c r="J349" s="414"/>
      <c r="K349" s="414"/>
      <c r="L349" s="414"/>
      <c r="M349" s="414"/>
      <c r="N349" s="414"/>
      <c r="O349" s="414"/>
      <c r="P349" s="414"/>
      <c r="Q349" s="414"/>
      <c r="R349" s="414"/>
      <c r="S349" s="414"/>
      <c r="T349" s="414"/>
      <c r="U349" s="414" t="str">
        <f t="shared" si="10"/>
        <v/>
      </c>
      <c r="W349" s="480" t="str">
        <f t="shared" si="11"/>
        <v/>
      </c>
    </row>
    <row r="350" spans="1:23" ht="18" customHeight="1" x14ac:dyDescent="0.25">
      <c r="A350" s="415"/>
      <c r="B350" s="415"/>
      <c r="C350" s="415"/>
      <c r="D350" s="414"/>
      <c r="E350" s="414"/>
      <c r="F350" s="414"/>
      <c r="G350" s="414"/>
      <c r="H350" s="414"/>
      <c r="I350" s="414"/>
      <c r="J350" s="414"/>
      <c r="K350" s="414"/>
      <c r="L350" s="414"/>
      <c r="M350" s="414"/>
      <c r="N350" s="414"/>
      <c r="O350" s="414"/>
      <c r="P350" s="414"/>
      <c r="Q350" s="414"/>
      <c r="R350" s="414"/>
      <c r="S350" s="414"/>
      <c r="T350" s="414"/>
      <c r="U350" s="414" t="str">
        <f t="shared" si="10"/>
        <v/>
      </c>
      <c r="W350" s="480" t="str">
        <f t="shared" si="11"/>
        <v/>
      </c>
    </row>
    <row r="351" spans="1:23" ht="18" customHeight="1" x14ac:dyDescent="0.25">
      <c r="A351" s="415"/>
      <c r="B351" s="415"/>
      <c r="C351" s="415"/>
      <c r="D351" s="414"/>
      <c r="E351" s="414"/>
      <c r="F351" s="414"/>
      <c r="G351" s="414"/>
      <c r="H351" s="414"/>
      <c r="I351" s="414"/>
      <c r="J351" s="414"/>
      <c r="K351" s="414"/>
      <c r="L351" s="414"/>
      <c r="M351" s="414"/>
      <c r="N351" s="414"/>
      <c r="O351" s="414"/>
      <c r="P351" s="414"/>
      <c r="Q351" s="414"/>
      <c r="R351" s="414"/>
      <c r="S351" s="414"/>
      <c r="T351" s="414"/>
      <c r="U351" s="414" t="str">
        <f t="shared" si="10"/>
        <v/>
      </c>
      <c r="W351" s="480" t="str">
        <f t="shared" si="11"/>
        <v/>
      </c>
    </row>
    <row r="352" spans="1:23" ht="18" customHeight="1" x14ac:dyDescent="0.25">
      <c r="A352" s="415"/>
      <c r="B352" s="415"/>
      <c r="C352" s="415"/>
      <c r="D352" s="414"/>
      <c r="E352" s="414"/>
      <c r="F352" s="414"/>
      <c r="G352" s="414"/>
      <c r="H352" s="414"/>
      <c r="I352" s="414"/>
      <c r="J352" s="414"/>
      <c r="K352" s="414"/>
      <c r="L352" s="414"/>
      <c r="M352" s="414"/>
      <c r="N352" s="414"/>
      <c r="O352" s="414"/>
      <c r="P352" s="414"/>
      <c r="Q352" s="414"/>
      <c r="R352" s="414"/>
      <c r="S352" s="414"/>
      <c r="T352" s="414"/>
      <c r="U352" s="414" t="str">
        <f t="shared" si="10"/>
        <v/>
      </c>
      <c r="W352" s="480" t="str">
        <f t="shared" si="11"/>
        <v/>
      </c>
    </row>
    <row r="353" spans="1:23" ht="18" customHeight="1" x14ac:dyDescent="0.25">
      <c r="A353" s="415"/>
      <c r="B353" s="415"/>
      <c r="C353" s="415"/>
      <c r="D353" s="414"/>
      <c r="E353" s="414"/>
      <c r="F353" s="414"/>
      <c r="G353" s="414"/>
      <c r="H353" s="414"/>
      <c r="I353" s="414"/>
      <c r="J353" s="414"/>
      <c r="K353" s="414"/>
      <c r="L353" s="414"/>
      <c r="M353" s="414"/>
      <c r="N353" s="414"/>
      <c r="O353" s="414"/>
      <c r="P353" s="414"/>
      <c r="Q353" s="414"/>
      <c r="R353" s="414"/>
      <c r="S353" s="414"/>
      <c r="T353" s="414"/>
      <c r="U353" s="414" t="str">
        <f t="shared" si="10"/>
        <v/>
      </c>
      <c r="W353" s="480" t="str">
        <f t="shared" si="11"/>
        <v/>
      </c>
    </row>
    <row r="354" spans="1:23" ht="18" customHeight="1" x14ac:dyDescent="0.25">
      <c r="A354" s="415"/>
      <c r="B354" s="415"/>
      <c r="C354" s="415"/>
      <c r="D354" s="414"/>
      <c r="E354" s="414"/>
      <c r="F354" s="414"/>
      <c r="G354" s="414"/>
      <c r="H354" s="414"/>
      <c r="I354" s="414"/>
      <c r="J354" s="414"/>
      <c r="K354" s="414"/>
      <c r="L354" s="414"/>
      <c r="M354" s="414"/>
      <c r="N354" s="414"/>
      <c r="O354" s="414"/>
      <c r="P354" s="414"/>
      <c r="Q354" s="414"/>
      <c r="R354" s="414"/>
      <c r="S354" s="414"/>
      <c r="T354" s="414"/>
      <c r="U354" s="414" t="str">
        <f t="shared" si="10"/>
        <v/>
      </c>
      <c r="W354" s="480" t="str">
        <f t="shared" si="11"/>
        <v/>
      </c>
    </row>
    <row r="356" spans="1:23" ht="34.5" customHeight="1" x14ac:dyDescent="0.25">
      <c r="A356" s="1103" t="s">
        <v>482</v>
      </c>
      <c r="B356" s="1103"/>
      <c r="C356" s="1103"/>
      <c r="D356" s="1103"/>
      <c r="E356" s="1103"/>
      <c r="F356" s="1103"/>
      <c r="G356" s="1103"/>
      <c r="H356" s="1103"/>
      <c r="I356" s="1103"/>
      <c r="J356" s="1103"/>
      <c r="K356" s="1103"/>
      <c r="L356" s="1103"/>
      <c r="M356" s="1103"/>
      <c r="N356" s="1103"/>
      <c r="O356" s="1103"/>
      <c r="P356" s="1103"/>
      <c r="Q356" s="1103"/>
      <c r="R356" s="1103"/>
      <c r="S356" s="1103"/>
      <c r="T356" s="1103"/>
      <c r="U356" s="1103"/>
    </row>
  </sheetData>
  <sheetProtection algorithmName="SHA-512" hashValue="cjKCF5J6a9278k/hUrST+DLLIEnwvs2vASsyfue6cd2385WBnvTZPbqDOoeMGAqeTo/6myxRpk+pbThFjwqf4A==" saltValue="zAt3u32yBruG2bOKv5a34w==" spinCount="100000" sheet="1" formatCells="0" formatColumns="0" formatRows="0" insertRows="0" autoFilter="0" pivotTables="0"/>
  <mergeCells count="9">
    <mergeCell ref="A9:C9"/>
    <mergeCell ref="A10:C10"/>
    <mergeCell ref="A356:U356"/>
    <mergeCell ref="E1:H1"/>
    <mergeCell ref="E2:H2"/>
    <mergeCell ref="A5:C5"/>
    <mergeCell ref="D5:U5"/>
    <mergeCell ref="A6:C6"/>
    <mergeCell ref="D6:U6"/>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Z302"/>
  <sheetViews>
    <sheetView showGridLines="0" zoomScaleNormal="100" workbookViewId="0"/>
  </sheetViews>
  <sheetFormatPr baseColWidth="10" defaultColWidth="11.33203125" defaultRowHeight="18" customHeight="1" x14ac:dyDescent="0.25"/>
  <cols>
    <col min="1" max="1" width="38.77734375" style="481" customWidth="1"/>
    <col min="2" max="2" width="21.6640625" style="481" customWidth="1"/>
    <col min="3" max="3" width="18.6640625" style="481" customWidth="1"/>
    <col min="4" max="4" width="19.109375" style="482" customWidth="1"/>
    <col min="5" max="5" width="25.33203125" style="482" customWidth="1"/>
    <col min="6" max="6" width="11.33203125" style="481"/>
    <col min="7" max="7" width="20.77734375" style="483" customWidth="1"/>
    <col min="8" max="8" width="16.33203125" style="483" customWidth="1"/>
    <col min="9" max="52" width="11.33203125" style="483"/>
    <col min="53" max="16384" width="11.33203125" style="481"/>
  </cols>
  <sheetData>
    <row r="1" spans="1:11" s="15" customFormat="1" ht="39" customHeight="1" x14ac:dyDescent="0.25">
      <c r="E1" s="14" t="str">
        <f>Instructivo!F1</f>
        <v>Sistema de Gestión Integral (SGI)
Instructivo - Componente Financiero EP
Código: F-PGC-21. Versión: 05</v>
      </c>
      <c r="F1" s="14"/>
      <c r="G1" s="14"/>
      <c r="H1" s="14"/>
      <c r="J1" s="484" t="s">
        <v>102</v>
      </c>
    </row>
    <row r="2" spans="1:11" s="15" customFormat="1" ht="18" customHeight="1" x14ac:dyDescent="0.25">
      <c r="E2" s="1086" t="s">
        <v>483</v>
      </c>
      <c r="F2" s="1086"/>
      <c r="G2" s="1086"/>
      <c r="H2" s="1086"/>
      <c r="I2" s="441"/>
      <c r="J2" s="484" t="s">
        <v>21</v>
      </c>
      <c r="K2" s="378"/>
    </row>
    <row r="3" spans="1:11" ht="7.5" customHeight="1" x14ac:dyDescent="0.25"/>
    <row r="4" spans="1:11" s="483" customFormat="1" ht="7.5" customHeight="1" x14ac:dyDescent="0.25">
      <c r="A4" s="405"/>
      <c r="B4" s="136"/>
      <c r="C4" s="136"/>
      <c r="D4" s="136"/>
      <c r="E4" s="136"/>
      <c r="F4" s="136"/>
      <c r="G4" s="136"/>
    </row>
    <row r="5" spans="1:11" s="483" customFormat="1" ht="26.25" customHeight="1" x14ac:dyDescent="0.25">
      <c r="A5" s="485" t="s">
        <v>104</v>
      </c>
      <c r="B5" s="1011">
        <f>'Plan Ejecución'!AE4</f>
        <v>0</v>
      </c>
      <c r="C5" s="1011"/>
      <c r="D5" s="1011"/>
      <c r="E5" s="1011"/>
      <c r="F5" s="1011"/>
      <c r="G5" s="486"/>
      <c r="H5" s="486"/>
      <c r="I5" s="486"/>
    </row>
    <row r="6" spans="1:11" s="483" customFormat="1" ht="43.5" customHeight="1" x14ac:dyDescent="0.25">
      <c r="A6" s="485" t="s">
        <v>105</v>
      </c>
      <c r="B6" s="1065">
        <f>'Plan Ejecución'!AE5</f>
        <v>0</v>
      </c>
      <c r="C6" s="1065"/>
      <c r="D6" s="1065"/>
      <c r="E6" s="1065"/>
      <c r="F6" s="1065"/>
      <c r="G6" s="486"/>
      <c r="H6" s="486"/>
      <c r="I6" s="486"/>
    </row>
    <row r="7" spans="1:11" s="483" customFormat="1" ht="9" customHeight="1" x14ac:dyDescent="0.25">
      <c r="A7" s="405"/>
      <c r="B7" s="136"/>
      <c r="C7" s="136"/>
      <c r="D7" s="136"/>
      <c r="E7" s="136"/>
      <c r="F7" s="136"/>
      <c r="G7" s="136"/>
    </row>
    <row r="8" spans="1:11" ht="30.75" customHeight="1" x14ac:dyDescent="0.25">
      <c r="A8" s="487" t="s">
        <v>484</v>
      </c>
      <c r="B8" s="488"/>
      <c r="D8" s="489" t="s">
        <v>485</v>
      </c>
      <c r="E8" s="490"/>
      <c r="F8" s="483"/>
    </row>
    <row r="9" spans="1:11" ht="9" customHeight="1" x14ac:dyDescent="0.25">
      <c r="A9" s="491"/>
      <c r="B9" s="483"/>
      <c r="C9" s="483"/>
      <c r="D9" s="492"/>
      <c r="E9" s="492"/>
      <c r="F9" s="483"/>
    </row>
    <row r="10" spans="1:11" ht="18" customHeight="1" x14ac:dyDescent="0.25">
      <c r="A10" s="1104" t="s">
        <v>486</v>
      </c>
      <c r="B10" s="1104"/>
      <c r="C10" s="1104"/>
      <c r="D10" s="1104"/>
      <c r="E10" s="1104"/>
      <c r="F10" s="1104"/>
      <c r="G10" s="363"/>
    </row>
    <row r="11" spans="1:11" ht="25.5" customHeight="1" x14ac:dyDescent="0.25">
      <c r="A11" s="332" t="s">
        <v>380</v>
      </c>
      <c r="B11" s="333" t="s">
        <v>113</v>
      </c>
      <c r="C11" s="333" t="s">
        <v>383</v>
      </c>
      <c r="D11" s="450" t="s">
        <v>393</v>
      </c>
      <c r="E11" s="450" t="s">
        <v>385</v>
      </c>
      <c r="F11" s="205" t="s">
        <v>386</v>
      </c>
      <c r="G11" s="493"/>
    </row>
    <row r="12" spans="1:11" ht="18" customHeight="1" x14ac:dyDescent="0.25">
      <c r="A12" s="494"/>
      <c r="B12" s="495"/>
      <c r="C12" s="496"/>
      <c r="D12" s="497"/>
      <c r="E12" s="497">
        <f t="shared" ref="E12:E59" si="0">C12*D12</f>
        <v>0</v>
      </c>
      <c r="F12" s="498">
        <f t="shared" ref="F12:F59" si="1">IFERROR(E12/$B$8,0)</f>
        <v>0</v>
      </c>
      <c r="G12" s="499"/>
    </row>
    <row r="13" spans="1:11" ht="18" customHeight="1" x14ac:dyDescent="0.25">
      <c r="A13" s="494"/>
      <c r="B13" s="495"/>
      <c r="C13" s="500"/>
      <c r="D13" s="497"/>
      <c r="E13" s="497">
        <f t="shared" si="0"/>
        <v>0</v>
      </c>
      <c r="F13" s="498">
        <f t="shared" si="1"/>
        <v>0</v>
      </c>
      <c r="G13" s="499"/>
    </row>
    <row r="14" spans="1:11" ht="18" customHeight="1" x14ac:dyDescent="0.25">
      <c r="A14" s="494"/>
      <c r="B14" s="495"/>
      <c r="C14" s="500"/>
      <c r="D14" s="497"/>
      <c r="E14" s="497">
        <f t="shared" si="0"/>
        <v>0</v>
      </c>
      <c r="F14" s="498">
        <f t="shared" si="1"/>
        <v>0</v>
      </c>
      <c r="G14" s="499"/>
    </row>
    <row r="15" spans="1:11" ht="18" customHeight="1" x14ac:dyDescent="0.25">
      <c r="A15" s="494"/>
      <c r="B15" s="495"/>
      <c r="C15" s="500"/>
      <c r="D15" s="497"/>
      <c r="E15" s="497">
        <f t="shared" si="0"/>
        <v>0</v>
      </c>
      <c r="F15" s="498">
        <f t="shared" si="1"/>
        <v>0</v>
      </c>
      <c r="G15" s="499"/>
    </row>
    <row r="16" spans="1:11" ht="18" customHeight="1" x14ac:dyDescent="0.25">
      <c r="A16" s="494"/>
      <c r="B16" s="495"/>
      <c r="C16" s="500"/>
      <c r="D16" s="497"/>
      <c r="E16" s="497">
        <f t="shared" si="0"/>
        <v>0</v>
      </c>
      <c r="F16" s="498">
        <f t="shared" si="1"/>
        <v>0</v>
      </c>
      <c r="G16" s="499"/>
    </row>
    <row r="17" spans="1:7" ht="18" customHeight="1" x14ac:dyDescent="0.25">
      <c r="A17" s="494"/>
      <c r="B17" s="495"/>
      <c r="C17" s="500"/>
      <c r="D17" s="497"/>
      <c r="E17" s="497">
        <f t="shared" si="0"/>
        <v>0</v>
      </c>
      <c r="F17" s="498">
        <f t="shared" si="1"/>
        <v>0</v>
      </c>
      <c r="G17" s="499"/>
    </row>
    <row r="18" spans="1:7" ht="18" customHeight="1" x14ac:dyDescent="0.25">
      <c r="A18" s="494"/>
      <c r="B18" s="495"/>
      <c r="C18" s="500"/>
      <c r="D18" s="497"/>
      <c r="E18" s="497">
        <f t="shared" si="0"/>
        <v>0</v>
      </c>
      <c r="F18" s="498">
        <f t="shared" si="1"/>
        <v>0</v>
      </c>
      <c r="G18" s="499"/>
    </row>
    <row r="19" spans="1:7" ht="18" customHeight="1" x14ac:dyDescent="0.25">
      <c r="A19" s="494"/>
      <c r="B19" s="495"/>
      <c r="C19" s="500"/>
      <c r="D19" s="497"/>
      <c r="E19" s="497">
        <f t="shared" si="0"/>
        <v>0</v>
      </c>
      <c r="F19" s="498">
        <f t="shared" si="1"/>
        <v>0</v>
      </c>
      <c r="G19" s="499"/>
    </row>
    <row r="20" spans="1:7" ht="18" customHeight="1" x14ac:dyDescent="0.25">
      <c r="A20" s="494"/>
      <c r="B20" s="495"/>
      <c r="C20" s="500"/>
      <c r="D20" s="497"/>
      <c r="E20" s="497">
        <f t="shared" si="0"/>
        <v>0</v>
      </c>
      <c r="F20" s="498">
        <f t="shared" si="1"/>
        <v>0</v>
      </c>
      <c r="G20" s="499"/>
    </row>
    <row r="21" spans="1:7" ht="18" hidden="1" customHeight="1" x14ac:dyDescent="0.25">
      <c r="A21" s="494"/>
      <c r="B21" s="495"/>
      <c r="C21" s="500"/>
      <c r="D21" s="497"/>
      <c r="E21" s="497">
        <f t="shared" si="0"/>
        <v>0</v>
      </c>
      <c r="F21" s="498">
        <f t="shared" si="1"/>
        <v>0</v>
      </c>
      <c r="G21" s="499"/>
    </row>
    <row r="22" spans="1:7" ht="18" hidden="1" customHeight="1" x14ac:dyDescent="0.25">
      <c r="A22" s="494"/>
      <c r="B22" s="495"/>
      <c r="C22" s="500"/>
      <c r="D22" s="497"/>
      <c r="E22" s="497">
        <f t="shared" si="0"/>
        <v>0</v>
      </c>
      <c r="F22" s="498">
        <f t="shared" si="1"/>
        <v>0</v>
      </c>
      <c r="G22" s="499"/>
    </row>
    <row r="23" spans="1:7" ht="18" hidden="1" customHeight="1" x14ac:dyDescent="0.25">
      <c r="A23" s="494"/>
      <c r="B23" s="495"/>
      <c r="C23" s="500"/>
      <c r="D23" s="497"/>
      <c r="E23" s="497">
        <f t="shared" si="0"/>
        <v>0</v>
      </c>
      <c r="F23" s="498">
        <f t="shared" si="1"/>
        <v>0</v>
      </c>
      <c r="G23" s="499"/>
    </row>
    <row r="24" spans="1:7" ht="18" hidden="1" customHeight="1" x14ac:dyDescent="0.25">
      <c r="A24" s="494"/>
      <c r="B24" s="495"/>
      <c r="C24" s="500"/>
      <c r="D24" s="497"/>
      <c r="E24" s="497">
        <f t="shared" si="0"/>
        <v>0</v>
      </c>
      <c r="F24" s="498">
        <f t="shared" si="1"/>
        <v>0</v>
      </c>
      <c r="G24" s="499"/>
    </row>
    <row r="25" spans="1:7" ht="18" hidden="1" customHeight="1" x14ac:dyDescent="0.25">
      <c r="A25" s="494"/>
      <c r="B25" s="495"/>
      <c r="C25" s="500"/>
      <c r="D25" s="497"/>
      <c r="E25" s="497">
        <f t="shared" si="0"/>
        <v>0</v>
      </c>
      <c r="F25" s="498">
        <f t="shared" si="1"/>
        <v>0</v>
      </c>
      <c r="G25" s="499"/>
    </row>
    <row r="26" spans="1:7" ht="18" hidden="1" customHeight="1" x14ac:dyDescent="0.25">
      <c r="A26" s="494"/>
      <c r="B26" s="495"/>
      <c r="C26" s="500"/>
      <c r="D26" s="497"/>
      <c r="E26" s="497">
        <f t="shared" si="0"/>
        <v>0</v>
      </c>
      <c r="F26" s="498">
        <f t="shared" si="1"/>
        <v>0</v>
      </c>
      <c r="G26" s="499"/>
    </row>
    <row r="27" spans="1:7" ht="18" hidden="1" customHeight="1" x14ac:dyDescent="0.25">
      <c r="A27" s="494"/>
      <c r="B27" s="495"/>
      <c r="C27" s="500"/>
      <c r="D27" s="497"/>
      <c r="E27" s="497">
        <f t="shared" si="0"/>
        <v>0</v>
      </c>
      <c r="F27" s="498">
        <f t="shared" si="1"/>
        <v>0</v>
      </c>
      <c r="G27" s="499"/>
    </row>
    <row r="28" spans="1:7" ht="18" hidden="1" customHeight="1" x14ac:dyDescent="0.25">
      <c r="A28" s="494"/>
      <c r="B28" s="495"/>
      <c r="C28" s="500"/>
      <c r="D28" s="497"/>
      <c r="E28" s="497">
        <f t="shared" si="0"/>
        <v>0</v>
      </c>
      <c r="F28" s="498">
        <f t="shared" si="1"/>
        <v>0</v>
      </c>
      <c r="G28" s="499"/>
    </row>
    <row r="29" spans="1:7" ht="18" hidden="1" customHeight="1" x14ac:dyDescent="0.25">
      <c r="A29" s="494"/>
      <c r="B29" s="495"/>
      <c r="C29" s="500"/>
      <c r="D29" s="497"/>
      <c r="E29" s="497">
        <f t="shared" si="0"/>
        <v>0</v>
      </c>
      <c r="F29" s="498">
        <f t="shared" si="1"/>
        <v>0</v>
      </c>
      <c r="G29" s="499"/>
    </row>
    <row r="30" spans="1:7" ht="18" hidden="1" customHeight="1" x14ac:dyDescent="0.25">
      <c r="A30" s="494"/>
      <c r="B30" s="495"/>
      <c r="C30" s="500"/>
      <c r="D30" s="497"/>
      <c r="E30" s="497">
        <f t="shared" si="0"/>
        <v>0</v>
      </c>
      <c r="F30" s="498">
        <f t="shared" si="1"/>
        <v>0</v>
      </c>
      <c r="G30" s="499"/>
    </row>
    <row r="31" spans="1:7" ht="18" hidden="1" customHeight="1" x14ac:dyDescent="0.25">
      <c r="A31" s="494"/>
      <c r="B31" s="495"/>
      <c r="C31" s="500"/>
      <c r="D31" s="497"/>
      <c r="E31" s="497">
        <f t="shared" si="0"/>
        <v>0</v>
      </c>
      <c r="F31" s="498">
        <f t="shared" si="1"/>
        <v>0</v>
      </c>
      <c r="G31" s="499"/>
    </row>
    <row r="32" spans="1:7" ht="18" hidden="1" customHeight="1" x14ac:dyDescent="0.25">
      <c r="A32" s="494"/>
      <c r="B32" s="495"/>
      <c r="C32" s="500"/>
      <c r="D32" s="497"/>
      <c r="E32" s="497">
        <f t="shared" si="0"/>
        <v>0</v>
      </c>
      <c r="F32" s="498">
        <f t="shared" si="1"/>
        <v>0</v>
      </c>
      <c r="G32" s="499"/>
    </row>
    <row r="33" spans="1:7" ht="18" hidden="1" customHeight="1" x14ac:dyDescent="0.25">
      <c r="A33" s="494"/>
      <c r="B33" s="495"/>
      <c r="C33" s="500"/>
      <c r="D33" s="497"/>
      <c r="E33" s="497">
        <f t="shared" si="0"/>
        <v>0</v>
      </c>
      <c r="F33" s="498">
        <f t="shared" si="1"/>
        <v>0</v>
      </c>
      <c r="G33" s="499"/>
    </row>
    <row r="34" spans="1:7" ht="18" hidden="1" customHeight="1" x14ac:dyDescent="0.25">
      <c r="A34" s="494"/>
      <c r="B34" s="495"/>
      <c r="C34" s="500"/>
      <c r="D34" s="497"/>
      <c r="E34" s="497">
        <f t="shared" si="0"/>
        <v>0</v>
      </c>
      <c r="F34" s="498">
        <f t="shared" si="1"/>
        <v>0</v>
      </c>
      <c r="G34" s="499"/>
    </row>
    <row r="35" spans="1:7" ht="18" hidden="1" customHeight="1" x14ac:dyDescent="0.25">
      <c r="A35" s="494"/>
      <c r="B35" s="495"/>
      <c r="C35" s="500"/>
      <c r="D35" s="497"/>
      <c r="E35" s="497">
        <f t="shared" si="0"/>
        <v>0</v>
      </c>
      <c r="F35" s="498">
        <f t="shared" si="1"/>
        <v>0</v>
      </c>
      <c r="G35" s="499"/>
    </row>
    <row r="36" spans="1:7" ht="18" hidden="1" customHeight="1" x14ac:dyDescent="0.25">
      <c r="A36" s="494"/>
      <c r="B36" s="495"/>
      <c r="C36" s="500"/>
      <c r="D36" s="497"/>
      <c r="E36" s="497">
        <f t="shared" si="0"/>
        <v>0</v>
      </c>
      <c r="F36" s="498">
        <f t="shared" si="1"/>
        <v>0</v>
      </c>
      <c r="G36" s="499"/>
    </row>
    <row r="37" spans="1:7" ht="18" hidden="1" customHeight="1" x14ac:dyDescent="0.25">
      <c r="A37" s="494"/>
      <c r="B37" s="495"/>
      <c r="C37" s="500"/>
      <c r="D37" s="497"/>
      <c r="E37" s="497">
        <f t="shared" si="0"/>
        <v>0</v>
      </c>
      <c r="F37" s="498">
        <f t="shared" si="1"/>
        <v>0</v>
      </c>
      <c r="G37" s="499"/>
    </row>
    <row r="38" spans="1:7" ht="18" hidden="1" customHeight="1" x14ac:dyDescent="0.25">
      <c r="A38" s="494"/>
      <c r="B38" s="495"/>
      <c r="C38" s="500"/>
      <c r="D38" s="497"/>
      <c r="E38" s="497">
        <f t="shared" si="0"/>
        <v>0</v>
      </c>
      <c r="F38" s="498">
        <f t="shared" si="1"/>
        <v>0</v>
      </c>
      <c r="G38" s="499"/>
    </row>
    <row r="39" spans="1:7" ht="18" hidden="1" customHeight="1" x14ac:dyDescent="0.25">
      <c r="A39" s="494"/>
      <c r="B39" s="495"/>
      <c r="C39" s="500"/>
      <c r="D39" s="497"/>
      <c r="E39" s="497">
        <f t="shared" si="0"/>
        <v>0</v>
      </c>
      <c r="F39" s="498">
        <f t="shared" si="1"/>
        <v>0</v>
      </c>
      <c r="G39" s="499"/>
    </row>
    <row r="40" spans="1:7" ht="18" hidden="1" customHeight="1" x14ac:dyDescent="0.25">
      <c r="A40" s="494"/>
      <c r="B40" s="495"/>
      <c r="C40" s="500"/>
      <c r="D40" s="497"/>
      <c r="E40" s="497">
        <f t="shared" si="0"/>
        <v>0</v>
      </c>
      <c r="F40" s="498">
        <f t="shared" si="1"/>
        <v>0</v>
      </c>
      <c r="G40" s="499"/>
    </row>
    <row r="41" spans="1:7" ht="18" hidden="1" customHeight="1" x14ac:dyDescent="0.25">
      <c r="A41" s="494"/>
      <c r="B41" s="495"/>
      <c r="C41" s="500"/>
      <c r="D41" s="497"/>
      <c r="E41" s="497">
        <f t="shared" si="0"/>
        <v>0</v>
      </c>
      <c r="F41" s="498">
        <f t="shared" si="1"/>
        <v>0</v>
      </c>
      <c r="G41" s="499"/>
    </row>
    <row r="42" spans="1:7" ht="18" hidden="1" customHeight="1" x14ac:dyDescent="0.25">
      <c r="A42" s="494"/>
      <c r="B42" s="495"/>
      <c r="C42" s="500"/>
      <c r="D42" s="497"/>
      <c r="E42" s="497">
        <f t="shared" si="0"/>
        <v>0</v>
      </c>
      <c r="F42" s="498">
        <f t="shared" si="1"/>
        <v>0</v>
      </c>
      <c r="G42" s="499"/>
    </row>
    <row r="43" spans="1:7" ht="18" hidden="1" customHeight="1" x14ac:dyDescent="0.25">
      <c r="A43" s="494"/>
      <c r="B43" s="495"/>
      <c r="C43" s="500"/>
      <c r="D43" s="497"/>
      <c r="E43" s="497">
        <f t="shared" si="0"/>
        <v>0</v>
      </c>
      <c r="F43" s="498">
        <f t="shared" si="1"/>
        <v>0</v>
      </c>
      <c r="G43" s="499"/>
    </row>
    <row r="44" spans="1:7" ht="18" hidden="1" customHeight="1" x14ac:dyDescent="0.25">
      <c r="A44" s="494"/>
      <c r="B44" s="495"/>
      <c r="C44" s="500"/>
      <c r="D44" s="497"/>
      <c r="E44" s="497">
        <f t="shared" si="0"/>
        <v>0</v>
      </c>
      <c r="F44" s="498">
        <f t="shared" si="1"/>
        <v>0</v>
      </c>
      <c r="G44" s="499"/>
    </row>
    <row r="45" spans="1:7" ht="18" hidden="1" customHeight="1" x14ac:dyDescent="0.25">
      <c r="A45" s="494"/>
      <c r="B45" s="495"/>
      <c r="C45" s="500"/>
      <c r="D45" s="497"/>
      <c r="E45" s="497">
        <f t="shared" si="0"/>
        <v>0</v>
      </c>
      <c r="F45" s="498">
        <f t="shared" si="1"/>
        <v>0</v>
      </c>
      <c r="G45" s="499"/>
    </row>
    <row r="46" spans="1:7" ht="18" hidden="1" customHeight="1" x14ac:dyDescent="0.25">
      <c r="A46" s="494"/>
      <c r="B46" s="495"/>
      <c r="C46" s="500"/>
      <c r="D46" s="497"/>
      <c r="E46" s="497">
        <f t="shared" si="0"/>
        <v>0</v>
      </c>
      <c r="F46" s="498">
        <f t="shared" si="1"/>
        <v>0</v>
      </c>
      <c r="G46" s="499"/>
    </row>
    <row r="47" spans="1:7" ht="18" hidden="1" customHeight="1" x14ac:dyDescent="0.25">
      <c r="A47" s="494"/>
      <c r="B47" s="495"/>
      <c r="C47" s="501"/>
      <c r="D47" s="497"/>
      <c r="E47" s="497">
        <f t="shared" si="0"/>
        <v>0</v>
      </c>
      <c r="F47" s="498">
        <f t="shared" si="1"/>
        <v>0</v>
      </c>
      <c r="G47" s="499"/>
    </row>
    <row r="48" spans="1:7" ht="18" hidden="1" customHeight="1" x14ac:dyDescent="0.25">
      <c r="A48" s="494"/>
      <c r="B48" s="495"/>
      <c r="C48" s="501"/>
      <c r="D48" s="497"/>
      <c r="E48" s="497">
        <f t="shared" si="0"/>
        <v>0</v>
      </c>
      <c r="F48" s="498">
        <f t="shared" si="1"/>
        <v>0</v>
      </c>
      <c r="G48" s="499"/>
    </row>
    <row r="49" spans="1:8" ht="18" hidden="1" customHeight="1" x14ac:dyDescent="0.25">
      <c r="A49" s="494"/>
      <c r="B49" s="495"/>
      <c r="C49" s="501"/>
      <c r="D49" s="497"/>
      <c r="E49" s="497">
        <f t="shared" si="0"/>
        <v>0</v>
      </c>
      <c r="F49" s="498">
        <f t="shared" si="1"/>
        <v>0</v>
      </c>
      <c r="G49" s="499"/>
    </row>
    <row r="50" spans="1:8" ht="18" hidden="1" customHeight="1" x14ac:dyDescent="0.25">
      <c r="A50" s="494"/>
      <c r="B50" s="495"/>
      <c r="C50" s="501"/>
      <c r="D50" s="497"/>
      <c r="E50" s="497">
        <f t="shared" si="0"/>
        <v>0</v>
      </c>
      <c r="F50" s="498">
        <f t="shared" si="1"/>
        <v>0</v>
      </c>
      <c r="G50" s="499"/>
    </row>
    <row r="51" spans="1:8" ht="18" hidden="1" customHeight="1" x14ac:dyDescent="0.25">
      <c r="A51" s="494"/>
      <c r="B51" s="495"/>
      <c r="C51" s="501"/>
      <c r="D51" s="497"/>
      <c r="E51" s="497">
        <f t="shared" si="0"/>
        <v>0</v>
      </c>
      <c r="F51" s="498">
        <f t="shared" si="1"/>
        <v>0</v>
      </c>
      <c r="G51" s="499"/>
    </row>
    <row r="52" spans="1:8" ht="18" hidden="1" customHeight="1" x14ac:dyDescent="0.25">
      <c r="A52" s="494"/>
      <c r="B52" s="495"/>
      <c r="C52" s="501"/>
      <c r="D52" s="497"/>
      <c r="E52" s="497">
        <f t="shared" si="0"/>
        <v>0</v>
      </c>
      <c r="F52" s="498">
        <f t="shared" si="1"/>
        <v>0</v>
      </c>
      <c r="G52" s="499"/>
    </row>
    <row r="53" spans="1:8" ht="18" hidden="1" customHeight="1" x14ac:dyDescent="0.25">
      <c r="A53" s="494"/>
      <c r="B53" s="495"/>
      <c r="C53" s="501"/>
      <c r="D53" s="497"/>
      <c r="E53" s="497">
        <f t="shared" si="0"/>
        <v>0</v>
      </c>
      <c r="F53" s="498">
        <f t="shared" si="1"/>
        <v>0</v>
      </c>
      <c r="G53" s="499"/>
    </row>
    <row r="54" spans="1:8" ht="18" hidden="1" customHeight="1" x14ac:dyDescent="0.25">
      <c r="A54" s="502"/>
      <c r="B54" s="503"/>
      <c r="C54" s="501"/>
      <c r="D54" s="504"/>
      <c r="E54" s="497">
        <f t="shared" si="0"/>
        <v>0</v>
      </c>
      <c r="F54" s="498">
        <f t="shared" si="1"/>
        <v>0</v>
      </c>
      <c r="G54" s="499"/>
    </row>
    <row r="55" spans="1:8" ht="18" hidden="1" customHeight="1" x14ac:dyDescent="0.25">
      <c r="A55" s="502"/>
      <c r="B55" s="503"/>
      <c r="C55" s="501"/>
      <c r="D55" s="504"/>
      <c r="E55" s="497">
        <f t="shared" si="0"/>
        <v>0</v>
      </c>
      <c r="F55" s="498">
        <f t="shared" si="1"/>
        <v>0</v>
      </c>
      <c r="G55" s="499"/>
    </row>
    <row r="56" spans="1:8" ht="18" hidden="1" customHeight="1" x14ac:dyDescent="0.25">
      <c r="A56" s="502"/>
      <c r="B56" s="503"/>
      <c r="C56" s="501"/>
      <c r="D56" s="504"/>
      <c r="E56" s="497">
        <f t="shared" si="0"/>
        <v>0</v>
      </c>
      <c r="F56" s="498">
        <f t="shared" si="1"/>
        <v>0</v>
      </c>
      <c r="G56" s="499"/>
    </row>
    <row r="57" spans="1:8" ht="18" hidden="1" customHeight="1" x14ac:dyDescent="0.25">
      <c r="A57" s="502"/>
      <c r="B57" s="503"/>
      <c r="C57" s="501"/>
      <c r="D57" s="504"/>
      <c r="E57" s="497">
        <f t="shared" si="0"/>
        <v>0</v>
      </c>
      <c r="F57" s="498">
        <f t="shared" si="1"/>
        <v>0</v>
      </c>
      <c r="G57" s="499"/>
    </row>
    <row r="58" spans="1:8" ht="18" hidden="1" customHeight="1" x14ac:dyDescent="0.25">
      <c r="A58" s="502"/>
      <c r="B58" s="503"/>
      <c r="C58" s="501"/>
      <c r="D58" s="504"/>
      <c r="E58" s="497">
        <f t="shared" si="0"/>
        <v>0</v>
      </c>
      <c r="F58" s="498">
        <f t="shared" si="1"/>
        <v>0</v>
      </c>
      <c r="G58" s="499"/>
    </row>
    <row r="59" spans="1:8" ht="18" hidden="1" customHeight="1" x14ac:dyDescent="0.25">
      <c r="A59" s="502"/>
      <c r="B59" s="503"/>
      <c r="C59" s="501"/>
      <c r="D59" s="504"/>
      <c r="E59" s="497">
        <f t="shared" si="0"/>
        <v>0</v>
      </c>
      <c r="F59" s="498">
        <f t="shared" si="1"/>
        <v>0</v>
      </c>
      <c r="G59" s="499"/>
    </row>
    <row r="60" spans="1:8" ht="18" customHeight="1" x14ac:dyDescent="0.25">
      <c r="A60" s="1105" t="s">
        <v>487</v>
      </c>
      <c r="B60" s="1105"/>
      <c r="C60" s="1105"/>
      <c r="D60" s="1105"/>
      <c r="E60" s="337">
        <f>SUM(E12:E59)</f>
        <v>0</v>
      </c>
      <c r="F60" s="505">
        <f>SUM(F12:F59)</f>
        <v>0</v>
      </c>
      <c r="G60" s="506"/>
    </row>
    <row r="61" spans="1:8" s="483" customFormat="1" ht="18" customHeight="1" x14ac:dyDescent="0.25">
      <c r="A61" s="507"/>
      <c r="B61" s="507"/>
      <c r="C61" s="507"/>
      <c r="D61" s="507"/>
      <c r="E61" s="253"/>
      <c r="F61" s="508"/>
      <c r="G61" s="506"/>
    </row>
    <row r="62" spans="1:8" s="483" customFormat="1" ht="18" customHeight="1" x14ac:dyDescent="0.25">
      <c r="A62" s="1106" t="s">
        <v>488</v>
      </c>
      <c r="B62" s="1106"/>
      <c r="C62" s="1106"/>
      <c r="D62" s="1106"/>
      <c r="E62" s="1106"/>
      <c r="F62" s="1106"/>
      <c r="G62" s="506"/>
    </row>
    <row r="63" spans="1:8" ht="18" customHeight="1" x14ac:dyDescent="0.25">
      <c r="A63" s="1107" t="s">
        <v>489</v>
      </c>
      <c r="B63" s="1107"/>
      <c r="C63" s="1107"/>
      <c r="D63" s="1107"/>
      <c r="E63" s="509">
        <f>B8</f>
        <v>0</v>
      </c>
      <c r="G63" s="481"/>
      <c r="H63" s="481"/>
    </row>
    <row r="64" spans="1:8" ht="18" customHeight="1" x14ac:dyDescent="0.25">
      <c r="A64" s="1055" t="s">
        <v>396</v>
      </c>
      <c r="B64" s="1055"/>
      <c r="C64" s="1055"/>
      <c r="D64" s="352">
        <f>F60</f>
        <v>0</v>
      </c>
      <c r="E64" s="510">
        <f>D64*E63</f>
        <v>0</v>
      </c>
      <c r="G64" s="481"/>
      <c r="H64" s="481"/>
    </row>
    <row r="65" spans="1:8" ht="18" customHeight="1" x14ac:dyDescent="0.25">
      <c r="A65" s="1055" t="s">
        <v>398</v>
      </c>
      <c r="B65" s="1055"/>
      <c r="C65" s="1055"/>
      <c r="D65" s="352">
        <v>0</v>
      </c>
      <c r="E65" s="510">
        <f>E63*D65</f>
        <v>0</v>
      </c>
      <c r="G65" s="481"/>
      <c r="H65" s="481"/>
    </row>
    <row r="66" spans="1:8" ht="18" customHeight="1" x14ac:dyDescent="0.25">
      <c r="A66" s="1055" t="s">
        <v>399</v>
      </c>
      <c r="B66" s="1055"/>
      <c r="C66" s="1055"/>
      <c r="D66" s="352">
        <v>0</v>
      </c>
      <c r="E66" s="510">
        <f>(E63+E64+E65)*D66</f>
        <v>0</v>
      </c>
      <c r="F66" s="132" t="s">
        <v>400</v>
      </c>
      <c r="G66" s="481"/>
      <c r="H66" s="481"/>
    </row>
    <row r="67" spans="1:8" ht="18" customHeight="1" x14ac:dyDescent="0.25">
      <c r="A67" s="1056" t="s">
        <v>401</v>
      </c>
      <c r="B67" s="1056"/>
      <c r="C67" s="1056"/>
      <c r="D67" s="1056"/>
      <c r="E67" s="511">
        <f>SUM(E63:E66)</f>
        <v>0</v>
      </c>
      <c r="G67" s="481"/>
      <c r="H67" s="481"/>
    </row>
    <row r="68" spans="1:8" ht="18" customHeight="1" x14ac:dyDescent="0.25">
      <c r="A68" s="483"/>
      <c r="B68" s="483"/>
      <c r="C68" s="483"/>
      <c r="D68" s="492"/>
      <c r="E68" s="492"/>
      <c r="F68" s="483"/>
    </row>
    <row r="69" spans="1:8" ht="27.75" customHeight="1" x14ac:dyDescent="0.25">
      <c r="A69" s="1108" t="s">
        <v>490</v>
      </c>
      <c r="B69" s="1108"/>
      <c r="C69" s="1108"/>
      <c r="D69" s="1108"/>
      <c r="E69" s="512">
        <f>E64+E65+E66</f>
        <v>0</v>
      </c>
      <c r="F69" s="513">
        <f>IFERROR(E69/E63,0)</f>
        <v>0</v>
      </c>
    </row>
    <row r="70" spans="1:8" ht="18" customHeight="1" x14ac:dyDescent="0.25">
      <c r="A70" s="483"/>
      <c r="B70" s="483"/>
      <c r="C70" s="483"/>
      <c r="D70" s="492"/>
      <c r="E70" s="492"/>
      <c r="F70" s="483"/>
    </row>
    <row r="71" spans="1:8" ht="18" customHeight="1" x14ac:dyDescent="0.25">
      <c r="A71" s="483"/>
      <c r="B71" s="483"/>
      <c r="C71" s="483"/>
      <c r="D71" s="492"/>
      <c r="E71" s="492"/>
      <c r="F71" s="483"/>
    </row>
    <row r="72" spans="1:8" ht="18" customHeight="1" x14ac:dyDescent="0.25">
      <c r="A72" s="483"/>
      <c r="B72" s="483"/>
      <c r="C72" s="483"/>
      <c r="D72" s="492"/>
      <c r="E72" s="492"/>
      <c r="F72" s="483"/>
    </row>
    <row r="73" spans="1:8" ht="18" customHeight="1" x14ac:dyDescent="0.25">
      <c r="A73" s="483"/>
      <c r="B73" s="483"/>
      <c r="C73" s="483"/>
      <c r="D73" s="492"/>
      <c r="E73" s="492"/>
      <c r="F73" s="483"/>
    </row>
    <row r="74" spans="1:8" ht="18" customHeight="1" x14ac:dyDescent="0.25">
      <c r="A74" s="483"/>
      <c r="B74" s="483"/>
      <c r="C74" s="483"/>
      <c r="D74" s="492"/>
      <c r="E74" s="492"/>
      <c r="F74" s="483"/>
    </row>
    <row r="75" spans="1:8" ht="18" customHeight="1" x14ac:dyDescent="0.25">
      <c r="A75" s="483"/>
      <c r="B75" s="483"/>
      <c r="C75" s="483"/>
      <c r="D75" s="492"/>
      <c r="E75" s="492"/>
      <c r="F75" s="483"/>
    </row>
    <row r="76" spans="1:8" ht="18" customHeight="1" x14ac:dyDescent="0.25">
      <c r="A76" s="483"/>
      <c r="B76" s="483"/>
      <c r="C76" s="483"/>
      <c r="D76" s="492"/>
      <c r="E76" s="492"/>
      <c r="F76" s="483"/>
    </row>
    <row r="77" spans="1:8" ht="18" customHeight="1" x14ac:dyDescent="0.25">
      <c r="A77" s="483"/>
      <c r="B77" s="483"/>
      <c r="C77" s="483"/>
      <c r="D77" s="492"/>
      <c r="E77" s="492"/>
      <c r="F77" s="483"/>
    </row>
    <row r="78" spans="1:8" ht="18" customHeight="1" x14ac:dyDescent="0.25">
      <c r="A78" s="483"/>
      <c r="B78" s="483"/>
      <c r="C78" s="483"/>
      <c r="D78" s="492"/>
      <c r="E78" s="492"/>
      <c r="F78" s="483"/>
    </row>
    <row r="79" spans="1:8" ht="18" customHeight="1" x14ac:dyDescent="0.25">
      <c r="A79" s="483"/>
      <c r="B79" s="483"/>
      <c r="C79" s="483"/>
      <c r="D79" s="492"/>
      <c r="E79" s="492"/>
      <c r="F79" s="483"/>
    </row>
    <row r="80" spans="1:8" ht="18" customHeight="1" x14ac:dyDescent="0.25">
      <c r="A80" s="483"/>
      <c r="B80" s="483"/>
      <c r="C80" s="483"/>
      <c r="D80" s="492"/>
      <c r="E80" s="492"/>
      <c r="F80" s="483"/>
    </row>
    <row r="81" spans="1:6" ht="18" customHeight="1" x14ac:dyDescent="0.25">
      <c r="A81" s="483"/>
      <c r="B81" s="483"/>
      <c r="C81" s="483"/>
      <c r="D81" s="492"/>
      <c r="E81" s="492"/>
      <c r="F81" s="483"/>
    </row>
    <row r="82" spans="1:6" ht="18" customHeight="1" x14ac:dyDescent="0.25">
      <c r="A82" s="483"/>
      <c r="B82" s="483"/>
      <c r="C82" s="483"/>
      <c r="D82" s="492"/>
      <c r="E82" s="492"/>
      <c r="F82" s="483"/>
    </row>
    <row r="83" spans="1:6" ht="18" customHeight="1" x14ac:dyDescent="0.25">
      <c r="A83" s="483"/>
      <c r="B83" s="483"/>
      <c r="C83" s="483"/>
      <c r="D83" s="492"/>
      <c r="E83" s="492"/>
      <c r="F83" s="483"/>
    </row>
    <row r="84" spans="1:6" ht="18" customHeight="1" x14ac:dyDescent="0.25">
      <c r="A84" s="483"/>
      <c r="B84" s="483"/>
      <c r="C84" s="483"/>
      <c r="D84" s="492"/>
      <c r="E84" s="492"/>
      <c r="F84" s="483"/>
    </row>
    <row r="85" spans="1:6" ht="18" customHeight="1" x14ac:dyDescent="0.25">
      <c r="A85" s="483"/>
      <c r="B85" s="483"/>
      <c r="C85" s="483"/>
      <c r="D85" s="492"/>
      <c r="E85" s="492"/>
      <c r="F85" s="483"/>
    </row>
    <row r="86" spans="1:6" ht="18" customHeight="1" x14ac:dyDescent="0.25">
      <c r="A86" s="483"/>
      <c r="B86" s="483"/>
      <c r="C86" s="483"/>
      <c r="D86" s="492"/>
      <c r="E86" s="492"/>
      <c r="F86" s="483"/>
    </row>
    <row r="87" spans="1:6" ht="18" customHeight="1" x14ac:dyDescent="0.25">
      <c r="A87" s="483"/>
      <c r="B87" s="483"/>
      <c r="C87" s="483"/>
      <c r="D87" s="492"/>
      <c r="E87" s="492"/>
      <c r="F87" s="483"/>
    </row>
    <row r="88" spans="1:6" ht="18" customHeight="1" x14ac:dyDescent="0.25">
      <c r="A88" s="483"/>
      <c r="B88" s="483"/>
      <c r="C88" s="483"/>
      <c r="D88" s="492"/>
      <c r="E88" s="492"/>
      <c r="F88" s="483"/>
    </row>
    <row r="89" spans="1:6" ht="18" customHeight="1" x14ac:dyDescent="0.25">
      <c r="A89" s="483"/>
      <c r="B89" s="483"/>
      <c r="C89" s="483"/>
      <c r="D89" s="492"/>
      <c r="E89" s="492"/>
      <c r="F89" s="483"/>
    </row>
    <row r="90" spans="1:6" ht="18" customHeight="1" x14ac:dyDescent="0.25">
      <c r="A90" s="483"/>
      <c r="B90" s="483"/>
      <c r="C90" s="483"/>
      <c r="D90" s="492"/>
      <c r="E90" s="492"/>
      <c r="F90" s="483"/>
    </row>
    <row r="91" spans="1:6" ht="18" customHeight="1" x14ac:dyDescent="0.25">
      <c r="A91" s="483"/>
      <c r="B91" s="483"/>
      <c r="C91" s="483"/>
      <c r="D91" s="492"/>
      <c r="E91" s="492"/>
      <c r="F91" s="483"/>
    </row>
    <row r="92" spans="1:6" ht="18" customHeight="1" x14ac:dyDescent="0.25">
      <c r="A92" s="483"/>
      <c r="B92" s="483"/>
      <c r="C92" s="483"/>
      <c r="D92" s="492"/>
      <c r="E92" s="492"/>
      <c r="F92" s="483"/>
    </row>
    <row r="93" spans="1:6" ht="18" customHeight="1" x14ac:dyDescent="0.25">
      <c r="A93" s="483"/>
      <c r="B93" s="483"/>
      <c r="C93" s="483"/>
      <c r="D93" s="492"/>
      <c r="E93" s="492"/>
      <c r="F93" s="483"/>
    </row>
    <row r="94" spans="1:6" ht="18" customHeight="1" x14ac:dyDescent="0.25">
      <c r="A94" s="483"/>
      <c r="B94" s="483"/>
      <c r="C94" s="483"/>
      <c r="D94" s="492"/>
      <c r="E94" s="492"/>
      <c r="F94" s="483"/>
    </row>
    <row r="95" spans="1:6" ht="18" customHeight="1" x14ac:dyDescent="0.25">
      <c r="A95" s="483"/>
      <c r="B95" s="483"/>
      <c r="C95" s="483"/>
      <c r="D95" s="492"/>
      <c r="E95" s="492"/>
      <c r="F95" s="483"/>
    </row>
    <row r="96" spans="1:6" ht="18" customHeight="1" x14ac:dyDescent="0.25">
      <c r="A96" s="483"/>
      <c r="B96" s="483"/>
      <c r="C96" s="483"/>
      <c r="D96" s="492"/>
      <c r="E96" s="492"/>
      <c r="F96" s="483"/>
    </row>
    <row r="97" spans="1:6" ht="18" customHeight="1" x14ac:dyDescent="0.25">
      <c r="A97" s="483"/>
      <c r="B97" s="483"/>
      <c r="C97" s="483"/>
      <c r="D97" s="492"/>
      <c r="E97" s="492"/>
      <c r="F97" s="483"/>
    </row>
    <row r="98" spans="1:6" ht="18" customHeight="1" x14ac:dyDescent="0.25">
      <c r="A98" s="483"/>
      <c r="B98" s="483"/>
      <c r="C98" s="483"/>
      <c r="D98" s="492"/>
      <c r="E98" s="492"/>
      <c r="F98" s="483"/>
    </row>
    <row r="99" spans="1:6" ht="18" customHeight="1" x14ac:dyDescent="0.25">
      <c r="A99" s="483"/>
      <c r="B99" s="483"/>
      <c r="C99" s="483"/>
      <c r="D99" s="492"/>
      <c r="E99" s="492"/>
      <c r="F99" s="483"/>
    </row>
    <row r="100" spans="1:6" ht="18" customHeight="1" x14ac:dyDescent="0.25">
      <c r="A100" s="483"/>
      <c r="B100" s="483"/>
      <c r="C100" s="483"/>
      <c r="D100" s="492"/>
      <c r="E100" s="492"/>
      <c r="F100" s="483"/>
    </row>
    <row r="101" spans="1:6" ht="18" customHeight="1" x14ac:dyDescent="0.25">
      <c r="A101" s="483"/>
      <c r="B101" s="483"/>
      <c r="C101" s="483"/>
      <c r="D101" s="492"/>
      <c r="E101" s="492"/>
      <c r="F101" s="483"/>
    </row>
    <row r="102" spans="1:6" ht="18" customHeight="1" x14ac:dyDescent="0.25">
      <c r="A102" s="483"/>
      <c r="B102" s="483"/>
      <c r="C102" s="483"/>
      <c r="D102" s="492"/>
      <c r="E102" s="492"/>
      <c r="F102" s="483"/>
    </row>
    <row r="103" spans="1:6" ht="18" customHeight="1" x14ac:dyDescent="0.25">
      <c r="A103" s="483"/>
      <c r="B103" s="483"/>
      <c r="C103" s="483"/>
      <c r="D103" s="492"/>
      <c r="E103" s="492"/>
      <c r="F103" s="483"/>
    </row>
    <row r="104" spans="1:6" ht="18" customHeight="1" x14ac:dyDescent="0.25">
      <c r="A104" s="483"/>
      <c r="B104" s="483"/>
      <c r="C104" s="483"/>
      <c r="D104" s="492"/>
      <c r="E104" s="492"/>
      <c r="F104" s="483"/>
    </row>
    <row r="105" spans="1:6" ht="18" customHeight="1" x14ac:dyDescent="0.25">
      <c r="A105" s="483"/>
      <c r="B105" s="483"/>
      <c r="C105" s="483"/>
      <c r="D105" s="492"/>
      <c r="E105" s="492"/>
      <c r="F105" s="483"/>
    </row>
    <row r="106" spans="1:6" ht="18" customHeight="1" x14ac:dyDescent="0.25">
      <c r="A106" s="483"/>
      <c r="B106" s="483"/>
      <c r="C106" s="483"/>
      <c r="D106" s="492"/>
      <c r="E106" s="492"/>
      <c r="F106" s="483"/>
    </row>
    <row r="107" spans="1:6" ht="18" customHeight="1" x14ac:dyDescent="0.25">
      <c r="A107" s="483"/>
      <c r="B107" s="483"/>
      <c r="C107" s="483"/>
      <c r="D107" s="492"/>
      <c r="E107" s="492"/>
      <c r="F107" s="483"/>
    </row>
    <row r="108" spans="1:6" ht="18" customHeight="1" x14ac:dyDescent="0.25">
      <c r="A108" s="483"/>
      <c r="B108" s="483"/>
      <c r="C108" s="483"/>
      <c r="D108" s="492"/>
      <c r="E108" s="492"/>
      <c r="F108" s="483"/>
    </row>
    <row r="109" spans="1:6" ht="18" customHeight="1" x14ac:dyDescent="0.25">
      <c r="A109" s="483"/>
      <c r="B109" s="483"/>
      <c r="C109" s="483"/>
      <c r="D109" s="492"/>
      <c r="E109" s="492"/>
      <c r="F109" s="483"/>
    </row>
    <row r="110" spans="1:6" ht="18" customHeight="1" x14ac:dyDescent="0.25">
      <c r="A110" s="483"/>
      <c r="B110" s="483"/>
      <c r="C110" s="483"/>
      <c r="D110" s="492"/>
      <c r="E110" s="492"/>
      <c r="F110" s="483"/>
    </row>
    <row r="111" spans="1:6" ht="18" customHeight="1" x14ac:dyDescent="0.25">
      <c r="A111" s="483"/>
      <c r="B111" s="483"/>
      <c r="C111" s="483"/>
      <c r="D111" s="492"/>
      <c r="E111" s="492"/>
      <c r="F111" s="483"/>
    </row>
    <row r="112" spans="1:6" ht="18" customHeight="1" x14ac:dyDescent="0.25">
      <c r="A112" s="483"/>
      <c r="B112" s="483"/>
      <c r="C112" s="483"/>
      <c r="D112" s="492"/>
      <c r="E112" s="492"/>
      <c r="F112" s="483"/>
    </row>
    <row r="113" spans="1:6" ht="18" customHeight="1" x14ac:dyDescent="0.25">
      <c r="A113" s="483"/>
      <c r="B113" s="483"/>
      <c r="C113" s="483"/>
      <c r="D113" s="492"/>
      <c r="E113" s="492"/>
      <c r="F113" s="483"/>
    </row>
    <row r="114" spans="1:6" ht="18" customHeight="1" x14ac:dyDescent="0.25">
      <c r="A114" s="483"/>
      <c r="B114" s="483"/>
      <c r="C114" s="483"/>
      <c r="D114" s="492"/>
      <c r="E114" s="492"/>
      <c r="F114" s="483"/>
    </row>
    <row r="115" spans="1:6" ht="18" customHeight="1" x14ac:dyDescent="0.25">
      <c r="A115" s="483"/>
      <c r="B115" s="483"/>
      <c r="C115" s="483"/>
      <c r="D115" s="492"/>
      <c r="E115" s="492"/>
      <c r="F115" s="483"/>
    </row>
    <row r="116" spans="1:6" ht="18" customHeight="1" x14ac:dyDescent="0.25">
      <c r="A116" s="483"/>
      <c r="B116" s="483"/>
      <c r="C116" s="483"/>
      <c r="D116" s="492"/>
      <c r="E116" s="492"/>
      <c r="F116" s="483"/>
    </row>
    <row r="117" spans="1:6" ht="18" customHeight="1" x14ac:dyDescent="0.25">
      <c r="A117" s="483"/>
      <c r="B117" s="483"/>
      <c r="C117" s="483"/>
      <c r="D117" s="492"/>
      <c r="E117" s="492"/>
      <c r="F117" s="483"/>
    </row>
    <row r="118" spans="1:6" ht="18" customHeight="1" x14ac:dyDescent="0.25">
      <c r="A118" s="483"/>
      <c r="B118" s="483"/>
      <c r="C118" s="483"/>
      <c r="D118" s="492"/>
      <c r="E118" s="492"/>
      <c r="F118" s="483"/>
    </row>
    <row r="119" spans="1:6" ht="18" customHeight="1" x14ac:dyDescent="0.25">
      <c r="A119" s="483"/>
      <c r="B119" s="483"/>
      <c r="C119" s="483"/>
      <c r="D119" s="492"/>
      <c r="E119" s="492"/>
      <c r="F119" s="483"/>
    </row>
    <row r="120" spans="1:6" ht="18" customHeight="1" x14ac:dyDescent="0.25">
      <c r="A120" s="483"/>
      <c r="B120" s="483"/>
      <c r="C120" s="483"/>
      <c r="D120" s="492"/>
      <c r="E120" s="492"/>
      <c r="F120" s="483"/>
    </row>
    <row r="121" spans="1:6" ht="18" customHeight="1" x14ac:dyDescent="0.25">
      <c r="A121" s="483"/>
      <c r="B121" s="483"/>
      <c r="C121" s="483"/>
      <c r="D121" s="492"/>
      <c r="E121" s="492"/>
      <c r="F121" s="483"/>
    </row>
    <row r="122" spans="1:6" ht="18" customHeight="1" x14ac:dyDescent="0.25">
      <c r="A122" s="483"/>
      <c r="B122" s="483"/>
      <c r="C122" s="483"/>
      <c r="D122" s="492"/>
      <c r="E122" s="492"/>
      <c r="F122" s="483"/>
    </row>
    <row r="123" spans="1:6" ht="18" customHeight="1" x14ac:dyDescent="0.25">
      <c r="A123" s="483"/>
      <c r="B123" s="483"/>
      <c r="C123" s="483"/>
      <c r="D123" s="492"/>
      <c r="E123" s="492"/>
      <c r="F123" s="483"/>
    </row>
    <row r="124" spans="1:6" ht="18" customHeight="1" x14ac:dyDescent="0.25">
      <c r="A124" s="483"/>
      <c r="B124" s="483"/>
      <c r="C124" s="483"/>
      <c r="D124" s="492"/>
      <c r="E124" s="492"/>
      <c r="F124" s="483"/>
    </row>
    <row r="125" spans="1:6" ht="18" customHeight="1" x14ac:dyDescent="0.25">
      <c r="A125" s="483"/>
      <c r="B125" s="483"/>
      <c r="C125" s="483"/>
      <c r="D125" s="492"/>
      <c r="E125" s="492"/>
      <c r="F125" s="483"/>
    </row>
    <row r="126" spans="1:6" ht="18" customHeight="1" x14ac:dyDescent="0.25">
      <c r="A126" s="483"/>
      <c r="B126" s="483"/>
      <c r="C126" s="483"/>
      <c r="D126" s="492"/>
      <c r="E126" s="492"/>
      <c r="F126" s="483"/>
    </row>
    <row r="127" spans="1:6" ht="18" customHeight="1" x14ac:dyDescent="0.25">
      <c r="A127" s="483"/>
      <c r="B127" s="483"/>
      <c r="C127" s="483"/>
      <c r="D127" s="492"/>
      <c r="E127" s="492"/>
      <c r="F127" s="483"/>
    </row>
    <row r="128" spans="1:6" ht="18" customHeight="1" x14ac:dyDescent="0.25">
      <c r="A128" s="483"/>
      <c r="B128" s="483"/>
      <c r="C128" s="483"/>
      <c r="D128" s="492"/>
      <c r="E128" s="492"/>
      <c r="F128" s="483"/>
    </row>
    <row r="129" spans="1:6" ht="18" customHeight="1" x14ac:dyDescent="0.25">
      <c r="A129" s="483"/>
      <c r="B129" s="483"/>
      <c r="C129" s="483"/>
      <c r="D129" s="492"/>
      <c r="E129" s="492"/>
      <c r="F129" s="483"/>
    </row>
    <row r="130" spans="1:6" ht="18" customHeight="1" x14ac:dyDescent="0.25">
      <c r="A130" s="483"/>
      <c r="B130" s="483"/>
      <c r="C130" s="483"/>
      <c r="D130" s="492"/>
      <c r="E130" s="492"/>
      <c r="F130" s="483"/>
    </row>
    <row r="131" spans="1:6" ht="18" customHeight="1" x14ac:dyDescent="0.25">
      <c r="A131" s="483"/>
      <c r="B131" s="483"/>
      <c r="C131" s="483"/>
      <c r="D131" s="492"/>
      <c r="E131" s="492"/>
      <c r="F131" s="483"/>
    </row>
    <row r="132" spans="1:6" ht="18" customHeight="1" x14ac:dyDescent="0.25">
      <c r="A132" s="483"/>
      <c r="B132" s="483"/>
      <c r="C132" s="483"/>
      <c r="D132" s="492"/>
      <c r="E132" s="492"/>
      <c r="F132" s="483"/>
    </row>
    <row r="133" spans="1:6" ht="18" customHeight="1" x14ac:dyDescent="0.25">
      <c r="A133" s="483"/>
      <c r="B133" s="483"/>
      <c r="C133" s="483"/>
      <c r="D133" s="492"/>
      <c r="E133" s="492"/>
      <c r="F133" s="483"/>
    </row>
    <row r="134" spans="1:6" ht="18" customHeight="1" x14ac:dyDescent="0.25">
      <c r="A134" s="483"/>
      <c r="B134" s="483"/>
      <c r="C134" s="483"/>
      <c r="D134" s="492"/>
      <c r="E134" s="492"/>
      <c r="F134" s="483"/>
    </row>
    <row r="135" spans="1:6" ht="18" customHeight="1" x14ac:dyDescent="0.25">
      <c r="A135" s="483"/>
      <c r="B135" s="483"/>
      <c r="C135" s="483"/>
      <c r="D135" s="492"/>
      <c r="E135" s="492"/>
      <c r="F135" s="483"/>
    </row>
    <row r="136" spans="1:6" ht="18" customHeight="1" x14ac:dyDescent="0.25">
      <c r="A136" s="483"/>
      <c r="B136" s="483"/>
      <c r="C136" s="483"/>
      <c r="D136" s="492"/>
      <c r="E136" s="492"/>
      <c r="F136" s="483"/>
    </row>
    <row r="137" spans="1:6" ht="18" customHeight="1" x14ac:dyDescent="0.25">
      <c r="A137" s="483"/>
      <c r="B137" s="483"/>
      <c r="C137" s="483"/>
      <c r="D137" s="492"/>
      <c r="E137" s="492"/>
      <c r="F137" s="483"/>
    </row>
    <row r="138" spans="1:6" ht="18" customHeight="1" x14ac:dyDescent="0.25">
      <c r="A138" s="483"/>
      <c r="B138" s="483"/>
      <c r="C138" s="483"/>
      <c r="D138" s="492"/>
      <c r="E138" s="492"/>
      <c r="F138" s="483"/>
    </row>
    <row r="139" spans="1:6" ht="18" customHeight="1" x14ac:dyDescent="0.25">
      <c r="A139" s="483"/>
      <c r="B139" s="483"/>
      <c r="C139" s="483"/>
      <c r="D139" s="492"/>
      <c r="E139" s="492"/>
      <c r="F139" s="483"/>
    </row>
    <row r="140" spans="1:6" ht="18" customHeight="1" x14ac:dyDescent="0.25">
      <c r="A140" s="483"/>
      <c r="B140" s="483"/>
      <c r="C140" s="483"/>
      <c r="D140" s="492"/>
      <c r="E140" s="492"/>
      <c r="F140" s="483"/>
    </row>
    <row r="141" spans="1:6" ht="18" customHeight="1" x14ac:dyDescent="0.25">
      <c r="A141" s="483"/>
      <c r="B141" s="483"/>
      <c r="C141" s="483"/>
      <c r="D141" s="492"/>
      <c r="E141" s="492"/>
      <c r="F141" s="483"/>
    </row>
    <row r="142" spans="1:6" ht="18" customHeight="1" x14ac:dyDescent="0.25">
      <c r="A142" s="483"/>
      <c r="B142" s="483"/>
      <c r="C142" s="483"/>
      <c r="D142" s="492"/>
      <c r="E142" s="492"/>
      <c r="F142" s="483"/>
    </row>
    <row r="143" spans="1:6" ht="18" customHeight="1" x14ac:dyDescent="0.25">
      <c r="A143" s="483"/>
      <c r="B143" s="483"/>
      <c r="C143" s="483"/>
      <c r="D143" s="492"/>
      <c r="E143" s="492"/>
      <c r="F143" s="483"/>
    </row>
    <row r="144" spans="1:6" ht="18" customHeight="1" x14ac:dyDescent="0.25">
      <c r="A144" s="483"/>
      <c r="B144" s="483"/>
      <c r="C144" s="483"/>
      <c r="D144" s="492"/>
      <c r="E144" s="492"/>
      <c r="F144" s="483"/>
    </row>
    <row r="145" spans="1:6" ht="18" customHeight="1" x14ac:dyDescent="0.25">
      <c r="A145" s="483"/>
      <c r="B145" s="483"/>
      <c r="C145" s="483"/>
      <c r="D145" s="492"/>
      <c r="E145" s="492"/>
      <c r="F145" s="483"/>
    </row>
    <row r="146" spans="1:6" ht="18" customHeight="1" x14ac:dyDescent="0.25">
      <c r="A146" s="483"/>
      <c r="B146" s="483"/>
      <c r="C146" s="483"/>
      <c r="D146" s="492"/>
      <c r="E146" s="492"/>
      <c r="F146" s="483"/>
    </row>
    <row r="147" spans="1:6" ht="18" customHeight="1" x14ac:dyDescent="0.25">
      <c r="A147" s="483"/>
      <c r="B147" s="483"/>
      <c r="C147" s="483"/>
      <c r="D147" s="492"/>
      <c r="E147" s="492"/>
      <c r="F147" s="483"/>
    </row>
    <row r="148" spans="1:6" ht="18" customHeight="1" x14ac:dyDescent="0.25">
      <c r="A148" s="483"/>
      <c r="B148" s="483"/>
      <c r="C148" s="483"/>
      <c r="D148" s="492"/>
      <c r="E148" s="492"/>
      <c r="F148" s="483"/>
    </row>
    <row r="149" spans="1:6" ht="18" customHeight="1" x14ac:dyDescent="0.25">
      <c r="A149" s="483"/>
      <c r="B149" s="483"/>
      <c r="C149" s="483"/>
      <c r="D149" s="492"/>
      <c r="E149" s="492"/>
      <c r="F149" s="483"/>
    </row>
    <row r="150" spans="1:6" ht="18" customHeight="1" x14ac:dyDescent="0.25">
      <c r="A150" s="483"/>
      <c r="B150" s="483"/>
      <c r="C150" s="483"/>
      <c r="D150" s="492"/>
      <c r="E150" s="492"/>
      <c r="F150" s="483"/>
    </row>
    <row r="151" spans="1:6" ht="18" customHeight="1" x14ac:dyDescent="0.25">
      <c r="A151" s="483"/>
      <c r="B151" s="483"/>
      <c r="C151" s="483"/>
      <c r="D151" s="492"/>
      <c r="E151" s="492"/>
      <c r="F151" s="483"/>
    </row>
    <row r="152" spans="1:6" ht="18" customHeight="1" x14ac:dyDescent="0.25">
      <c r="A152" s="483"/>
      <c r="B152" s="483"/>
      <c r="C152" s="483"/>
      <c r="D152" s="492"/>
      <c r="E152" s="492"/>
      <c r="F152" s="483"/>
    </row>
    <row r="153" spans="1:6" ht="18" customHeight="1" x14ac:dyDescent="0.25">
      <c r="A153" s="483"/>
      <c r="B153" s="483"/>
      <c r="C153" s="483"/>
      <c r="D153" s="492"/>
      <c r="E153" s="492"/>
      <c r="F153" s="483"/>
    </row>
    <row r="154" spans="1:6" ht="18" customHeight="1" x14ac:dyDescent="0.25">
      <c r="A154" s="483"/>
      <c r="B154" s="483"/>
      <c r="C154" s="483"/>
      <c r="D154" s="492"/>
      <c r="E154" s="492"/>
      <c r="F154" s="483"/>
    </row>
    <row r="155" spans="1:6" ht="18" customHeight="1" x14ac:dyDescent="0.25">
      <c r="A155" s="483"/>
      <c r="B155" s="483"/>
      <c r="C155" s="483"/>
      <c r="D155" s="492"/>
      <c r="E155" s="492"/>
      <c r="F155" s="483"/>
    </row>
    <row r="156" spans="1:6" ht="18" customHeight="1" x14ac:dyDescent="0.25">
      <c r="A156" s="483"/>
      <c r="B156" s="483"/>
      <c r="C156" s="483"/>
      <c r="D156" s="492"/>
      <c r="E156" s="492"/>
      <c r="F156" s="483"/>
    </row>
    <row r="157" spans="1:6" ht="18" customHeight="1" x14ac:dyDescent="0.25">
      <c r="A157" s="483"/>
      <c r="B157" s="483"/>
      <c r="C157" s="483"/>
      <c r="D157" s="492"/>
      <c r="E157" s="492"/>
      <c r="F157" s="483"/>
    </row>
    <row r="158" spans="1:6" ht="18" customHeight="1" x14ac:dyDescent="0.25">
      <c r="A158" s="483"/>
      <c r="B158" s="483"/>
      <c r="C158" s="483"/>
      <c r="D158" s="492"/>
      <c r="E158" s="492"/>
      <c r="F158" s="483"/>
    </row>
    <row r="159" spans="1:6" ht="18" customHeight="1" x14ac:dyDescent="0.25">
      <c r="A159" s="483"/>
      <c r="B159" s="483"/>
      <c r="C159" s="483"/>
      <c r="D159" s="492"/>
      <c r="E159" s="492"/>
      <c r="F159" s="483"/>
    </row>
    <row r="160" spans="1:6" ht="18" customHeight="1" x14ac:dyDescent="0.25">
      <c r="A160" s="483"/>
      <c r="B160" s="483"/>
      <c r="C160" s="483"/>
      <c r="D160" s="492"/>
      <c r="E160" s="492"/>
      <c r="F160" s="483"/>
    </row>
    <row r="161" spans="1:6" ht="18" customHeight="1" x14ac:dyDescent="0.25">
      <c r="A161" s="483"/>
      <c r="B161" s="483"/>
      <c r="C161" s="483"/>
      <c r="D161" s="492"/>
      <c r="E161" s="492"/>
      <c r="F161" s="483"/>
    </row>
    <row r="162" spans="1:6" ht="18" customHeight="1" x14ac:dyDescent="0.25">
      <c r="A162" s="483"/>
      <c r="B162" s="483"/>
      <c r="C162" s="483"/>
      <c r="D162" s="492"/>
      <c r="E162" s="492"/>
      <c r="F162" s="483"/>
    </row>
    <row r="163" spans="1:6" ht="18" customHeight="1" x14ac:dyDescent="0.25">
      <c r="A163" s="483"/>
      <c r="B163" s="483"/>
      <c r="C163" s="483"/>
      <c r="D163" s="492"/>
      <c r="E163" s="492"/>
      <c r="F163" s="483"/>
    </row>
    <row r="164" spans="1:6" ht="18" customHeight="1" x14ac:dyDescent="0.25">
      <c r="A164" s="483"/>
      <c r="B164" s="483"/>
      <c r="C164" s="483"/>
      <c r="D164" s="492"/>
      <c r="E164" s="492"/>
      <c r="F164" s="483"/>
    </row>
    <row r="165" spans="1:6" ht="18" customHeight="1" x14ac:dyDescent="0.25">
      <c r="A165" s="483"/>
      <c r="B165" s="483"/>
      <c r="C165" s="483"/>
      <c r="D165" s="492"/>
      <c r="E165" s="492"/>
      <c r="F165" s="483"/>
    </row>
    <row r="166" spans="1:6" ht="18" customHeight="1" x14ac:dyDescent="0.25">
      <c r="A166" s="483"/>
      <c r="B166" s="483"/>
      <c r="C166" s="483"/>
      <c r="D166" s="492"/>
      <c r="E166" s="492"/>
      <c r="F166" s="483"/>
    </row>
    <row r="167" spans="1:6" ht="18" customHeight="1" x14ac:dyDescent="0.25">
      <c r="A167" s="483"/>
      <c r="B167" s="483"/>
      <c r="C167" s="483"/>
      <c r="D167" s="492"/>
      <c r="E167" s="492"/>
      <c r="F167" s="483"/>
    </row>
    <row r="168" spans="1:6" ht="18" customHeight="1" x14ac:dyDescent="0.25">
      <c r="A168" s="483"/>
      <c r="B168" s="483"/>
      <c r="C168" s="483"/>
      <c r="D168" s="492"/>
      <c r="E168" s="492"/>
      <c r="F168" s="483"/>
    </row>
    <row r="169" spans="1:6" ht="18" customHeight="1" x14ac:dyDescent="0.25">
      <c r="A169" s="483"/>
      <c r="B169" s="483"/>
      <c r="C169" s="483"/>
      <c r="D169" s="492"/>
      <c r="E169" s="492"/>
      <c r="F169" s="483"/>
    </row>
    <row r="170" spans="1:6" ht="18" customHeight="1" x14ac:dyDescent="0.25">
      <c r="A170" s="483"/>
      <c r="B170" s="483"/>
      <c r="C170" s="483"/>
      <c r="D170" s="492"/>
      <c r="E170" s="492"/>
      <c r="F170" s="483"/>
    </row>
    <row r="171" spans="1:6" ht="18" customHeight="1" x14ac:dyDescent="0.25">
      <c r="A171" s="483"/>
      <c r="B171" s="483"/>
      <c r="C171" s="483"/>
      <c r="D171" s="492"/>
      <c r="E171" s="492"/>
      <c r="F171" s="483"/>
    </row>
    <row r="172" spans="1:6" ht="18" customHeight="1" x14ac:dyDescent="0.25">
      <c r="A172" s="483"/>
      <c r="B172" s="483"/>
      <c r="C172" s="483"/>
      <c r="D172" s="492"/>
      <c r="E172" s="492"/>
      <c r="F172" s="483"/>
    </row>
    <row r="173" spans="1:6" ht="18" customHeight="1" x14ac:dyDescent="0.25">
      <c r="A173" s="483"/>
      <c r="B173" s="483"/>
      <c r="C173" s="483"/>
      <c r="D173" s="492"/>
      <c r="E173" s="492"/>
      <c r="F173" s="483"/>
    </row>
    <row r="174" spans="1:6" ht="18" customHeight="1" x14ac:dyDescent="0.25">
      <c r="A174" s="483"/>
      <c r="B174" s="483"/>
      <c r="C174" s="483"/>
      <c r="D174" s="492"/>
      <c r="E174" s="492"/>
      <c r="F174" s="483"/>
    </row>
    <row r="175" spans="1:6" ht="18" customHeight="1" x14ac:dyDescent="0.25">
      <c r="A175" s="483"/>
      <c r="B175" s="483"/>
      <c r="C175" s="483"/>
      <c r="D175" s="492"/>
      <c r="E175" s="492"/>
      <c r="F175" s="483"/>
    </row>
    <row r="176" spans="1:6" ht="18" customHeight="1" x14ac:dyDescent="0.25">
      <c r="A176" s="483"/>
      <c r="B176" s="483"/>
      <c r="C176" s="483"/>
      <c r="D176" s="492"/>
      <c r="E176" s="492"/>
      <c r="F176" s="483"/>
    </row>
    <row r="177" spans="1:6" ht="18" customHeight="1" x14ac:dyDescent="0.25">
      <c r="A177" s="483"/>
      <c r="B177" s="483"/>
      <c r="C177" s="483"/>
      <c r="D177" s="492"/>
      <c r="E177" s="492"/>
      <c r="F177" s="483"/>
    </row>
    <row r="178" spans="1:6" ht="18" customHeight="1" x14ac:dyDescent="0.25">
      <c r="A178" s="483"/>
      <c r="B178" s="483"/>
      <c r="C178" s="483"/>
      <c r="D178" s="492"/>
      <c r="E178" s="492"/>
      <c r="F178" s="483"/>
    </row>
    <row r="179" spans="1:6" ht="18" customHeight="1" x14ac:dyDescent="0.25">
      <c r="A179" s="483"/>
      <c r="B179" s="483"/>
      <c r="C179" s="483"/>
      <c r="D179" s="492"/>
      <c r="E179" s="492"/>
      <c r="F179" s="483"/>
    </row>
    <row r="180" spans="1:6" ht="18" customHeight="1" x14ac:dyDescent="0.25">
      <c r="A180" s="483"/>
      <c r="B180" s="483"/>
      <c r="C180" s="483"/>
      <c r="D180" s="492"/>
      <c r="E180" s="492"/>
      <c r="F180" s="483"/>
    </row>
    <row r="181" spans="1:6" ht="18" customHeight="1" x14ac:dyDescent="0.25">
      <c r="A181" s="483"/>
      <c r="B181" s="483"/>
      <c r="C181" s="483"/>
      <c r="D181" s="492"/>
      <c r="E181" s="492"/>
      <c r="F181" s="483"/>
    </row>
    <row r="182" spans="1:6" ht="18" customHeight="1" x14ac:dyDescent="0.25">
      <c r="A182" s="483"/>
      <c r="B182" s="483"/>
      <c r="C182" s="483"/>
      <c r="D182" s="492"/>
      <c r="E182" s="492"/>
      <c r="F182" s="483"/>
    </row>
    <row r="183" spans="1:6" ht="18" customHeight="1" x14ac:dyDescent="0.25">
      <c r="A183" s="483"/>
      <c r="B183" s="483"/>
      <c r="C183" s="483"/>
      <c r="D183" s="492"/>
      <c r="E183" s="492"/>
      <c r="F183" s="483"/>
    </row>
    <row r="184" spans="1:6" ht="18" customHeight="1" x14ac:dyDescent="0.25">
      <c r="A184" s="483"/>
      <c r="B184" s="483"/>
      <c r="C184" s="483"/>
      <c r="D184" s="492"/>
      <c r="E184" s="492"/>
      <c r="F184" s="483"/>
    </row>
    <row r="185" spans="1:6" ht="18" customHeight="1" x14ac:dyDescent="0.25">
      <c r="A185" s="483"/>
      <c r="B185" s="483"/>
      <c r="C185" s="483"/>
      <c r="D185" s="492"/>
      <c r="E185" s="492"/>
      <c r="F185" s="483"/>
    </row>
    <row r="186" spans="1:6" ht="18" customHeight="1" x14ac:dyDescent="0.25">
      <c r="A186" s="483"/>
      <c r="B186" s="483"/>
      <c r="C186" s="483"/>
      <c r="D186" s="492"/>
      <c r="E186" s="492"/>
      <c r="F186" s="483"/>
    </row>
    <row r="187" spans="1:6" ht="18" customHeight="1" x14ac:dyDescent="0.25">
      <c r="A187" s="483"/>
      <c r="B187" s="483"/>
      <c r="C187" s="483"/>
      <c r="D187" s="492"/>
      <c r="E187" s="492"/>
      <c r="F187" s="483"/>
    </row>
    <row r="188" spans="1:6" ht="18" customHeight="1" x14ac:dyDescent="0.25">
      <c r="A188" s="483"/>
      <c r="B188" s="483"/>
      <c r="C188" s="483"/>
      <c r="D188" s="492"/>
      <c r="E188" s="492"/>
      <c r="F188" s="483"/>
    </row>
    <row r="189" spans="1:6" ht="18" customHeight="1" x14ac:dyDescent="0.25">
      <c r="A189" s="483"/>
      <c r="B189" s="483"/>
      <c r="C189" s="483"/>
      <c r="D189" s="492"/>
      <c r="E189" s="492"/>
      <c r="F189" s="483"/>
    </row>
    <row r="190" spans="1:6" ht="18" customHeight="1" x14ac:dyDescent="0.25">
      <c r="A190" s="483"/>
      <c r="B190" s="483"/>
      <c r="C190" s="483"/>
      <c r="D190" s="492"/>
      <c r="E190" s="492"/>
      <c r="F190" s="483"/>
    </row>
    <row r="191" spans="1:6" ht="18" customHeight="1" x14ac:dyDescent="0.25">
      <c r="A191" s="483"/>
      <c r="B191" s="483"/>
      <c r="C191" s="483"/>
      <c r="D191" s="492"/>
      <c r="E191" s="492"/>
      <c r="F191" s="483"/>
    </row>
    <row r="192" spans="1:6" ht="18" customHeight="1" x14ac:dyDescent="0.25">
      <c r="A192" s="483"/>
      <c r="B192" s="483"/>
      <c r="C192" s="483"/>
      <c r="D192" s="492"/>
      <c r="E192" s="492"/>
      <c r="F192" s="483"/>
    </row>
    <row r="193" spans="1:6" ht="18" customHeight="1" x14ac:dyDescent="0.25">
      <c r="A193" s="483"/>
      <c r="B193" s="483"/>
      <c r="C193" s="483"/>
      <c r="D193" s="492"/>
      <c r="E193" s="492"/>
      <c r="F193" s="483"/>
    </row>
    <row r="194" spans="1:6" ht="18" customHeight="1" x14ac:dyDescent="0.25">
      <c r="A194" s="483"/>
      <c r="B194" s="483"/>
      <c r="C194" s="483"/>
      <c r="D194" s="492"/>
      <c r="E194" s="492"/>
      <c r="F194" s="483"/>
    </row>
    <row r="195" spans="1:6" ht="18" customHeight="1" x14ac:dyDescent="0.25">
      <c r="A195" s="483"/>
      <c r="B195" s="483"/>
      <c r="C195" s="483"/>
      <c r="D195" s="492"/>
      <c r="E195" s="492"/>
      <c r="F195" s="483"/>
    </row>
    <row r="196" spans="1:6" ht="18" customHeight="1" x14ac:dyDescent="0.25">
      <c r="A196" s="483"/>
      <c r="B196" s="483"/>
      <c r="C196" s="483"/>
      <c r="D196" s="492"/>
      <c r="E196" s="492"/>
      <c r="F196" s="483"/>
    </row>
    <row r="197" spans="1:6" ht="18" customHeight="1" x14ac:dyDescent="0.25">
      <c r="A197" s="483"/>
      <c r="B197" s="483"/>
      <c r="C197" s="483"/>
      <c r="D197" s="492"/>
      <c r="E197" s="492"/>
      <c r="F197" s="483"/>
    </row>
    <row r="198" spans="1:6" ht="18" customHeight="1" x14ac:dyDescent="0.25">
      <c r="A198" s="483"/>
      <c r="B198" s="483"/>
      <c r="C198" s="483"/>
      <c r="D198" s="492"/>
      <c r="E198" s="492"/>
      <c r="F198" s="483"/>
    </row>
    <row r="199" spans="1:6" ht="18" customHeight="1" x14ac:dyDescent="0.25">
      <c r="A199" s="483"/>
      <c r="B199" s="483"/>
      <c r="C199" s="483"/>
      <c r="D199" s="492"/>
      <c r="E199" s="492"/>
      <c r="F199" s="483"/>
    </row>
    <row r="200" spans="1:6" ht="18" customHeight="1" x14ac:dyDescent="0.25">
      <c r="A200" s="483"/>
      <c r="B200" s="483"/>
      <c r="C200" s="483"/>
      <c r="D200" s="492"/>
      <c r="E200" s="492"/>
      <c r="F200" s="483"/>
    </row>
    <row r="201" spans="1:6" ht="18" customHeight="1" x14ac:dyDescent="0.25">
      <c r="A201" s="483"/>
      <c r="B201" s="483"/>
      <c r="C201" s="483"/>
      <c r="D201" s="492"/>
      <c r="E201" s="492"/>
      <c r="F201" s="483"/>
    </row>
    <row r="202" spans="1:6" ht="18" customHeight="1" x14ac:dyDescent="0.25">
      <c r="A202" s="483"/>
      <c r="B202" s="483"/>
      <c r="C202" s="483"/>
      <c r="D202" s="492"/>
      <c r="E202" s="492"/>
      <c r="F202" s="483"/>
    </row>
    <row r="203" spans="1:6" ht="18" customHeight="1" x14ac:dyDescent="0.25">
      <c r="A203" s="483"/>
      <c r="B203" s="483"/>
      <c r="C203" s="483"/>
      <c r="D203" s="492"/>
      <c r="E203" s="492"/>
      <c r="F203" s="483"/>
    </row>
    <row r="204" spans="1:6" ht="18" customHeight="1" x14ac:dyDescent="0.25">
      <c r="A204" s="483"/>
      <c r="B204" s="483"/>
      <c r="C204" s="483"/>
      <c r="D204" s="492"/>
      <c r="E204" s="492"/>
      <c r="F204" s="483"/>
    </row>
    <row r="205" spans="1:6" ht="18" customHeight="1" x14ac:dyDescent="0.25">
      <c r="A205" s="483"/>
      <c r="B205" s="483"/>
      <c r="C205" s="483"/>
      <c r="D205" s="492"/>
      <c r="E205" s="492"/>
      <c r="F205" s="483"/>
    </row>
    <row r="206" spans="1:6" ht="18" customHeight="1" x14ac:dyDescent="0.25">
      <c r="A206" s="483"/>
      <c r="B206" s="483"/>
      <c r="C206" s="483"/>
      <c r="D206" s="492"/>
      <c r="E206" s="492"/>
      <c r="F206" s="483"/>
    </row>
    <row r="207" spans="1:6" ht="18" customHeight="1" x14ac:dyDescent="0.25">
      <c r="A207" s="483"/>
      <c r="B207" s="483"/>
      <c r="C207" s="483"/>
      <c r="D207" s="492"/>
      <c r="E207" s="492"/>
      <c r="F207" s="483"/>
    </row>
    <row r="208" spans="1:6" ht="18" customHeight="1" x14ac:dyDescent="0.25">
      <c r="A208" s="483"/>
      <c r="B208" s="483"/>
      <c r="C208" s="483"/>
      <c r="D208" s="492"/>
      <c r="E208" s="492"/>
      <c r="F208" s="483"/>
    </row>
    <row r="209" spans="1:6" ht="18" customHeight="1" x14ac:dyDescent="0.25">
      <c r="A209" s="483"/>
      <c r="B209" s="483"/>
      <c r="C209" s="483"/>
      <c r="D209" s="492"/>
      <c r="E209" s="492"/>
      <c r="F209" s="483"/>
    </row>
    <row r="210" spans="1:6" ht="18" customHeight="1" x14ac:dyDescent="0.25">
      <c r="A210" s="483"/>
      <c r="B210" s="483"/>
      <c r="C210" s="483"/>
      <c r="D210" s="492"/>
      <c r="E210" s="492"/>
      <c r="F210" s="483"/>
    </row>
    <row r="211" spans="1:6" ht="18" customHeight="1" x14ac:dyDescent="0.25">
      <c r="A211" s="483"/>
      <c r="B211" s="483"/>
      <c r="C211" s="483"/>
      <c r="D211" s="492"/>
      <c r="E211" s="492"/>
      <c r="F211" s="483"/>
    </row>
    <row r="212" spans="1:6" ht="18" customHeight="1" x14ac:dyDescent="0.25">
      <c r="A212" s="483"/>
      <c r="B212" s="483"/>
      <c r="C212" s="483"/>
      <c r="D212" s="492"/>
      <c r="E212" s="492"/>
      <c r="F212" s="483"/>
    </row>
    <row r="213" spans="1:6" ht="18" customHeight="1" x14ac:dyDescent="0.25">
      <c r="A213" s="483"/>
      <c r="B213" s="483"/>
      <c r="C213" s="483"/>
      <c r="D213" s="492"/>
      <c r="E213" s="492"/>
      <c r="F213" s="483"/>
    </row>
    <row r="214" spans="1:6" ht="18" customHeight="1" x14ac:dyDescent="0.25">
      <c r="A214" s="483"/>
      <c r="B214" s="483"/>
      <c r="C214" s="483"/>
      <c r="D214" s="492"/>
      <c r="E214" s="492"/>
      <c r="F214" s="483"/>
    </row>
    <row r="215" spans="1:6" ht="18" customHeight="1" x14ac:dyDescent="0.25">
      <c r="A215" s="483"/>
      <c r="B215" s="483"/>
      <c r="C215" s="483"/>
      <c r="D215" s="492"/>
      <c r="E215" s="492"/>
      <c r="F215" s="483"/>
    </row>
    <row r="216" spans="1:6" ht="18" customHeight="1" x14ac:dyDescent="0.25">
      <c r="A216" s="483"/>
      <c r="B216" s="483"/>
      <c r="C216" s="483"/>
      <c r="D216" s="492"/>
      <c r="E216" s="492"/>
      <c r="F216" s="483"/>
    </row>
    <row r="217" spans="1:6" ht="18" customHeight="1" x14ac:dyDescent="0.25">
      <c r="A217" s="483"/>
      <c r="B217" s="483"/>
      <c r="C217" s="483"/>
      <c r="D217" s="492"/>
      <c r="E217" s="492"/>
      <c r="F217" s="483"/>
    </row>
    <row r="218" spans="1:6" ht="18" customHeight="1" x14ac:dyDescent="0.25">
      <c r="A218" s="483"/>
      <c r="B218" s="483"/>
      <c r="C218" s="483"/>
      <c r="D218" s="492"/>
      <c r="E218" s="492"/>
      <c r="F218" s="483"/>
    </row>
    <row r="219" spans="1:6" ht="18" customHeight="1" x14ac:dyDescent="0.25">
      <c r="A219" s="483"/>
      <c r="B219" s="483"/>
      <c r="C219" s="483"/>
      <c r="D219" s="492"/>
      <c r="E219" s="492"/>
      <c r="F219" s="483"/>
    </row>
    <row r="220" spans="1:6" ht="18" customHeight="1" x14ac:dyDescent="0.25">
      <c r="A220" s="483"/>
      <c r="B220" s="483"/>
      <c r="C220" s="483"/>
      <c r="D220" s="492"/>
      <c r="E220" s="492"/>
      <c r="F220" s="483"/>
    </row>
    <row r="221" spans="1:6" ht="18" customHeight="1" x14ac:dyDescent="0.25">
      <c r="A221" s="483"/>
      <c r="B221" s="483"/>
      <c r="C221" s="483"/>
      <c r="D221" s="492"/>
      <c r="E221" s="492"/>
      <c r="F221" s="483"/>
    </row>
    <row r="222" spans="1:6" ht="18" customHeight="1" x14ac:dyDescent="0.25">
      <c r="A222" s="483"/>
      <c r="B222" s="483"/>
      <c r="C222" s="483"/>
      <c r="D222" s="492"/>
      <c r="E222" s="492"/>
      <c r="F222" s="483"/>
    </row>
    <row r="223" spans="1:6" ht="18" customHeight="1" x14ac:dyDescent="0.25">
      <c r="A223" s="483"/>
      <c r="B223" s="483"/>
      <c r="C223" s="483"/>
      <c r="D223" s="492"/>
      <c r="E223" s="492"/>
      <c r="F223" s="483"/>
    </row>
    <row r="224" spans="1:6" ht="18" customHeight="1" x14ac:dyDescent="0.25">
      <c r="A224" s="483"/>
      <c r="B224" s="483"/>
      <c r="C224" s="483"/>
      <c r="D224" s="492"/>
      <c r="E224" s="492"/>
      <c r="F224" s="483"/>
    </row>
    <row r="225" spans="1:6" ht="18" customHeight="1" x14ac:dyDescent="0.25">
      <c r="A225" s="483"/>
      <c r="B225" s="483"/>
      <c r="C225" s="483"/>
      <c r="D225" s="492"/>
      <c r="E225" s="492"/>
      <c r="F225" s="483"/>
    </row>
    <row r="226" spans="1:6" ht="18" customHeight="1" x14ac:dyDescent="0.25">
      <c r="A226" s="483"/>
      <c r="B226" s="483"/>
      <c r="C226" s="483"/>
      <c r="D226" s="492"/>
      <c r="E226" s="492"/>
      <c r="F226" s="483"/>
    </row>
    <row r="227" spans="1:6" ht="18" customHeight="1" x14ac:dyDescent="0.25">
      <c r="A227" s="483"/>
      <c r="B227" s="483"/>
      <c r="C227" s="483"/>
      <c r="D227" s="492"/>
      <c r="E227" s="492"/>
      <c r="F227" s="483"/>
    </row>
    <row r="228" spans="1:6" ht="18" customHeight="1" x14ac:dyDescent="0.25">
      <c r="A228" s="483"/>
      <c r="B228" s="483"/>
      <c r="C228" s="483"/>
      <c r="D228" s="492"/>
      <c r="E228" s="492"/>
      <c r="F228" s="483"/>
    </row>
    <row r="229" spans="1:6" ht="18" customHeight="1" x14ac:dyDescent="0.25">
      <c r="A229" s="483"/>
      <c r="B229" s="483"/>
      <c r="C229" s="483"/>
      <c r="D229" s="492"/>
      <c r="E229" s="492"/>
      <c r="F229" s="483"/>
    </row>
    <row r="230" spans="1:6" ht="18" customHeight="1" x14ac:dyDescent="0.25">
      <c r="A230" s="483"/>
      <c r="B230" s="483"/>
      <c r="C230" s="483"/>
      <c r="D230" s="492"/>
      <c r="E230" s="492"/>
      <c r="F230" s="483"/>
    </row>
    <row r="231" spans="1:6" ht="18" customHeight="1" x14ac:dyDescent="0.25">
      <c r="A231" s="483"/>
      <c r="B231" s="483"/>
      <c r="C231" s="483"/>
      <c r="D231" s="492"/>
      <c r="E231" s="492"/>
      <c r="F231" s="483"/>
    </row>
    <row r="232" spans="1:6" ht="18" customHeight="1" x14ac:dyDescent="0.25">
      <c r="A232" s="483"/>
      <c r="B232" s="483"/>
      <c r="C232" s="483"/>
      <c r="D232" s="492"/>
      <c r="E232" s="492"/>
      <c r="F232" s="483"/>
    </row>
    <row r="233" spans="1:6" ht="18" customHeight="1" x14ac:dyDescent="0.25">
      <c r="A233" s="483"/>
      <c r="B233" s="483"/>
      <c r="C233" s="483"/>
      <c r="D233" s="492"/>
      <c r="E233" s="492"/>
      <c r="F233" s="483"/>
    </row>
    <row r="234" spans="1:6" ht="18" customHeight="1" x14ac:dyDescent="0.25">
      <c r="A234" s="483"/>
      <c r="B234" s="483"/>
      <c r="C234" s="483"/>
      <c r="D234" s="492"/>
      <c r="E234" s="492"/>
      <c r="F234" s="483"/>
    </row>
    <row r="235" spans="1:6" ht="18" customHeight="1" x14ac:dyDescent="0.25">
      <c r="A235" s="483"/>
      <c r="B235" s="483"/>
      <c r="C235" s="483"/>
      <c r="D235" s="492"/>
      <c r="E235" s="492"/>
      <c r="F235" s="483"/>
    </row>
    <row r="236" spans="1:6" ht="18" customHeight="1" x14ac:dyDescent="0.25">
      <c r="A236" s="483"/>
      <c r="B236" s="483"/>
      <c r="C236" s="483"/>
      <c r="D236" s="492"/>
      <c r="E236" s="492"/>
      <c r="F236" s="483"/>
    </row>
    <row r="237" spans="1:6" ht="18" customHeight="1" x14ac:dyDescent="0.25">
      <c r="A237" s="483"/>
      <c r="B237" s="483"/>
      <c r="C237" s="483"/>
      <c r="D237" s="492"/>
      <c r="E237" s="492"/>
      <c r="F237" s="483"/>
    </row>
    <row r="238" spans="1:6" ht="18" customHeight="1" x14ac:dyDescent="0.25">
      <c r="A238" s="483"/>
      <c r="B238" s="483"/>
      <c r="C238" s="483"/>
      <c r="D238" s="492"/>
      <c r="E238" s="492"/>
      <c r="F238" s="483"/>
    </row>
    <row r="239" spans="1:6" ht="18" customHeight="1" x14ac:dyDescent="0.25">
      <c r="A239" s="483"/>
      <c r="B239" s="483"/>
      <c r="C239" s="483"/>
      <c r="D239" s="492"/>
      <c r="E239" s="492"/>
      <c r="F239" s="483"/>
    </row>
    <row r="240" spans="1:6" ht="18" customHeight="1" x14ac:dyDescent="0.25">
      <c r="A240" s="483"/>
      <c r="B240" s="483"/>
      <c r="C240" s="483"/>
      <c r="D240" s="492"/>
      <c r="E240" s="492"/>
      <c r="F240" s="483"/>
    </row>
    <row r="241" spans="1:6" ht="18" customHeight="1" x14ac:dyDescent="0.25">
      <c r="A241" s="483"/>
      <c r="B241" s="483"/>
      <c r="C241" s="483"/>
      <c r="D241" s="492"/>
      <c r="E241" s="492"/>
      <c r="F241" s="483"/>
    </row>
    <row r="242" spans="1:6" ht="18" customHeight="1" x14ac:dyDescent="0.25">
      <c r="A242" s="483"/>
      <c r="B242" s="483"/>
      <c r="C242" s="483"/>
      <c r="D242" s="492"/>
      <c r="E242" s="492"/>
      <c r="F242" s="483"/>
    </row>
    <row r="243" spans="1:6" ht="18" customHeight="1" x14ac:dyDescent="0.25">
      <c r="A243" s="483"/>
      <c r="B243" s="483"/>
      <c r="C243" s="483"/>
      <c r="D243" s="492"/>
      <c r="E243" s="492"/>
      <c r="F243" s="483"/>
    </row>
    <row r="244" spans="1:6" ht="18" customHeight="1" x14ac:dyDescent="0.25">
      <c r="A244" s="483"/>
      <c r="B244" s="483"/>
      <c r="C244" s="483"/>
      <c r="D244" s="492"/>
      <c r="E244" s="492"/>
      <c r="F244" s="483"/>
    </row>
    <row r="245" spans="1:6" ht="18" customHeight="1" x14ac:dyDescent="0.25">
      <c r="A245" s="483"/>
      <c r="B245" s="483"/>
      <c r="C245" s="483"/>
      <c r="D245" s="492"/>
      <c r="E245" s="492"/>
      <c r="F245" s="483"/>
    </row>
    <row r="246" spans="1:6" ht="18" customHeight="1" x14ac:dyDescent="0.25">
      <c r="A246" s="483"/>
      <c r="B246" s="483"/>
      <c r="C246" s="483"/>
      <c r="D246" s="492"/>
      <c r="E246" s="492"/>
      <c r="F246" s="483"/>
    </row>
    <row r="247" spans="1:6" ht="18" customHeight="1" x14ac:dyDescent="0.25">
      <c r="A247" s="483"/>
      <c r="B247" s="483"/>
      <c r="C247" s="483"/>
      <c r="D247" s="492"/>
      <c r="E247" s="492"/>
      <c r="F247" s="483"/>
    </row>
    <row r="248" spans="1:6" ht="18" customHeight="1" x14ac:dyDescent="0.25">
      <c r="A248" s="483"/>
      <c r="B248" s="483"/>
      <c r="C248" s="483"/>
      <c r="D248" s="492"/>
      <c r="E248" s="492"/>
      <c r="F248" s="483"/>
    </row>
    <row r="249" spans="1:6" ht="18" customHeight="1" x14ac:dyDescent="0.25">
      <c r="A249" s="483"/>
      <c r="B249" s="483"/>
      <c r="C249" s="483"/>
      <c r="D249" s="492"/>
      <c r="E249" s="492"/>
      <c r="F249" s="483"/>
    </row>
    <row r="250" spans="1:6" ht="18" customHeight="1" x14ac:dyDescent="0.25">
      <c r="A250" s="483"/>
      <c r="B250" s="483"/>
      <c r="C250" s="483"/>
      <c r="D250" s="492"/>
      <c r="E250" s="492"/>
      <c r="F250" s="483"/>
    </row>
    <row r="251" spans="1:6" ht="18" customHeight="1" x14ac:dyDescent="0.25">
      <c r="A251" s="483"/>
      <c r="B251" s="483"/>
      <c r="C251" s="483"/>
      <c r="D251" s="492"/>
      <c r="E251" s="492"/>
      <c r="F251" s="483"/>
    </row>
    <row r="252" spans="1:6" ht="18" customHeight="1" x14ac:dyDescent="0.25">
      <c r="A252" s="483"/>
      <c r="B252" s="483"/>
      <c r="C252" s="483"/>
      <c r="D252" s="492"/>
      <c r="E252" s="492"/>
      <c r="F252" s="483"/>
    </row>
    <row r="253" spans="1:6" ht="18" customHeight="1" x14ac:dyDescent="0.25">
      <c r="A253" s="483"/>
      <c r="B253" s="483"/>
      <c r="C253" s="483"/>
      <c r="D253" s="492"/>
      <c r="E253" s="492"/>
      <c r="F253" s="483"/>
    </row>
    <row r="254" spans="1:6" ht="18" customHeight="1" x14ac:dyDescent="0.25">
      <c r="A254" s="483"/>
      <c r="B254" s="483"/>
      <c r="C254" s="483"/>
      <c r="D254" s="492"/>
      <c r="E254" s="492"/>
      <c r="F254" s="483"/>
    </row>
    <row r="255" spans="1:6" ht="18" customHeight="1" x14ac:dyDescent="0.25">
      <c r="A255" s="483"/>
      <c r="B255" s="483"/>
      <c r="C255" s="483"/>
      <c r="D255" s="492"/>
      <c r="E255" s="492"/>
      <c r="F255" s="483"/>
    </row>
    <row r="256" spans="1:6" ht="18" customHeight="1" x14ac:dyDescent="0.25">
      <c r="A256" s="483"/>
      <c r="B256" s="483"/>
      <c r="C256" s="483"/>
      <c r="D256" s="492"/>
      <c r="E256" s="492"/>
      <c r="F256" s="483"/>
    </row>
    <row r="257" spans="1:6" ht="18" customHeight="1" x14ac:dyDescent="0.25">
      <c r="A257" s="483"/>
      <c r="B257" s="483"/>
      <c r="C257" s="483"/>
      <c r="D257" s="492"/>
      <c r="E257" s="492"/>
      <c r="F257" s="483"/>
    </row>
    <row r="258" spans="1:6" ht="18" customHeight="1" x14ac:dyDescent="0.25">
      <c r="A258" s="483"/>
      <c r="B258" s="483"/>
      <c r="C258" s="483"/>
      <c r="D258" s="492"/>
      <c r="E258" s="492"/>
      <c r="F258" s="483"/>
    </row>
    <row r="259" spans="1:6" ht="18" customHeight="1" x14ac:dyDescent="0.25">
      <c r="A259" s="483"/>
      <c r="B259" s="483"/>
      <c r="C259" s="483"/>
      <c r="D259" s="492"/>
      <c r="E259" s="492"/>
      <c r="F259" s="483"/>
    </row>
    <row r="260" spans="1:6" ht="18" customHeight="1" x14ac:dyDescent="0.25">
      <c r="A260" s="483"/>
      <c r="B260" s="483"/>
      <c r="C260" s="483"/>
      <c r="D260" s="492"/>
      <c r="E260" s="492"/>
      <c r="F260" s="483"/>
    </row>
    <row r="261" spans="1:6" ht="18" customHeight="1" x14ac:dyDescent="0.25">
      <c r="A261" s="483"/>
      <c r="B261" s="483"/>
      <c r="C261" s="483"/>
      <c r="D261" s="492"/>
      <c r="E261" s="492"/>
      <c r="F261" s="483"/>
    </row>
    <row r="262" spans="1:6" ht="18" customHeight="1" x14ac:dyDescent="0.25">
      <c r="A262" s="483"/>
      <c r="B262" s="483"/>
      <c r="C262" s="483"/>
      <c r="D262" s="492"/>
      <c r="E262" s="492"/>
      <c r="F262" s="483"/>
    </row>
    <row r="263" spans="1:6" ht="18" customHeight="1" x14ac:dyDescent="0.25">
      <c r="A263" s="483"/>
      <c r="B263" s="483"/>
      <c r="C263" s="483"/>
      <c r="D263" s="492"/>
      <c r="E263" s="492"/>
      <c r="F263" s="483"/>
    </row>
    <row r="264" spans="1:6" ht="18" customHeight="1" x14ac:dyDescent="0.25">
      <c r="A264" s="483"/>
      <c r="B264" s="483"/>
      <c r="C264" s="483"/>
      <c r="D264" s="492"/>
      <c r="E264" s="492"/>
      <c r="F264" s="483"/>
    </row>
    <row r="265" spans="1:6" ht="18" customHeight="1" x14ac:dyDescent="0.25">
      <c r="A265" s="483"/>
      <c r="B265" s="483"/>
      <c r="C265" s="483"/>
      <c r="D265" s="492"/>
      <c r="E265" s="492"/>
      <c r="F265" s="483"/>
    </row>
    <row r="266" spans="1:6" ht="18" customHeight="1" x14ac:dyDescent="0.25">
      <c r="A266" s="483"/>
      <c r="B266" s="483"/>
      <c r="C266" s="483"/>
      <c r="D266" s="492"/>
      <c r="E266" s="492"/>
      <c r="F266" s="483"/>
    </row>
    <row r="267" spans="1:6" ht="18" customHeight="1" x14ac:dyDescent="0.25">
      <c r="A267" s="483"/>
      <c r="B267" s="483"/>
      <c r="C267" s="483"/>
      <c r="D267" s="492"/>
      <c r="E267" s="492"/>
      <c r="F267" s="483"/>
    </row>
    <row r="268" spans="1:6" ht="18" customHeight="1" x14ac:dyDescent="0.25">
      <c r="A268" s="483"/>
      <c r="B268" s="483"/>
      <c r="C268" s="483"/>
      <c r="D268" s="492"/>
      <c r="E268" s="492"/>
      <c r="F268" s="483"/>
    </row>
    <row r="269" spans="1:6" ht="18" customHeight="1" x14ac:dyDescent="0.25">
      <c r="A269" s="483"/>
      <c r="B269" s="483"/>
      <c r="C269" s="483"/>
      <c r="D269" s="492"/>
      <c r="E269" s="492"/>
      <c r="F269" s="483"/>
    </row>
    <row r="270" spans="1:6" ht="18" customHeight="1" x14ac:dyDescent="0.25">
      <c r="A270" s="483"/>
      <c r="B270" s="483"/>
      <c r="C270" s="483"/>
      <c r="D270" s="492"/>
      <c r="E270" s="492"/>
      <c r="F270" s="483"/>
    </row>
    <row r="271" spans="1:6" ht="18" customHeight="1" x14ac:dyDescent="0.25">
      <c r="A271" s="483"/>
      <c r="B271" s="483"/>
      <c r="C271" s="483"/>
      <c r="D271" s="492"/>
      <c r="E271" s="492"/>
      <c r="F271" s="483"/>
    </row>
    <row r="272" spans="1:6" ht="18" customHeight="1" x14ac:dyDescent="0.25">
      <c r="A272" s="483"/>
      <c r="B272" s="483"/>
      <c r="C272" s="483"/>
      <c r="D272" s="492"/>
      <c r="E272" s="492"/>
      <c r="F272" s="483"/>
    </row>
    <row r="273" spans="1:6" ht="18" customHeight="1" x14ac:dyDescent="0.25">
      <c r="A273" s="483"/>
      <c r="B273" s="483"/>
      <c r="C273" s="483"/>
      <c r="D273" s="492"/>
      <c r="E273" s="492"/>
      <c r="F273" s="483"/>
    </row>
    <row r="274" spans="1:6" ht="18" customHeight="1" x14ac:dyDescent="0.25">
      <c r="A274" s="483"/>
      <c r="B274" s="483"/>
      <c r="C274" s="483"/>
      <c r="D274" s="492"/>
      <c r="E274" s="492"/>
      <c r="F274" s="483"/>
    </row>
    <row r="275" spans="1:6" ht="18" customHeight="1" x14ac:dyDescent="0.25">
      <c r="A275" s="483"/>
      <c r="B275" s="483"/>
      <c r="C275" s="483"/>
      <c r="D275" s="492"/>
      <c r="E275" s="492"/>
      <c r="F275" s="483"/>
    </row>
    <row r="276" spans="1:6" ht="18" customHeight="1" x14ac:dyDescent="0.25">
      <c r="A276" s="483"/>
      <c r="B276" s="483"/>
      <c r="C276" s="483"/>
      <c r="D276" s="492"/>
      <c r="E276" s="492"/>
      <c r="F276" s="483"/>
    </row>
    <row r="277" spans="1:6" ht="18" customHeight="1" x14ac:dyDescent="0.25">
      <c r="A277" s="483"/>
      <c r="B277" s="483"/>
      <c r="C277" s="483"/>
      <c r="D277" s="492"/>
      <c r="E277" s="492"/>
      <c r="F277" s="483"/>
    </row>
    <row r="278" spans="1:6" ht="18" customHeight="1" x14ac:dyDescent="0.25">
      <c r="A278" s="483"/>
      <c r="B278" s="483"/>
      <c r="C278" s="483"/>
      <c r="D278" s="492"/>
      <c r="E278" s="492"/>
      <c r="F278" s="483"/>
    </row>
    <row r="279" spans="1:6" ht="18" customHeight="1" x14ac:dyDescent="0.25">
      <c r="A279" s="483"/>
      <c r="B279" s="483"/>
      <c r="C279" s="483"/>
      <c r="D279" s="492"/>
      <c r="E279" s="492"/>
      <c r="F279" s="483"/>
    </row>
    <row r="280" spans="1:6" ht="18" customHeight="1" x14ac:dyDescent="0.25">
      <c r="A280" s="483"/>
      <c r="B280" s="483"/>
      <c r="C280" s="483"/>
      <c r="D280" s="492"/>
      <c r="E280" s="492"/>
      <c r="F280" s="483"/>
    </row>
    <row r="281" spans="1:6" ht="18" customHeight="1" x14ac:dyDescent="0.25">
      <c r="A281" s="483"/>
      <c r="B281" s="483"/>
      <c r="C281" s="483"/>
      <c r="D281" s="492"/>
      <c r="E281" s="492"/>
      <c r="F281" s="483"/>
    </row>
    <row r="282" spans="1:6" ht="18" customHeight="1" x14ac:dyDescent="0.25">
      <c r="A282" s="483"/>
      <c r="B282" s="483"/>
      <c r="C282" s="483"/>
      <c r="D282" s="492"/>
      <c r="E282" s="492"/>
      <c r="F282" s="483"/>
    </row>
    <row r="283" spans="1:6" ht="18" customHeight="1" x14ac:dyDescent="0.25">
      <c r="A283" s="483"/>
      <c r="B283" s="483"/>
      <c r="C283" s="483"/>
      <c r="D283" s="492"/>
      <c r="E283" s="492"/>
      <c r="F283" s="483"/>
    </row>
    <row r="284" spans="1:6" ht="18" customHeight="1" x14ac:dyDescent="0.25">
      <c r="A284" s="483"/>
      <c r="B284" s="483"/>
      <c r="C284" s="483"/>
      <c r="D284" s="492"/>
      <c r="E284" s="492"/>
      <c r="F284" s="483"/>
    </row>
    <row r="285" spans="1:6" ht="18" customHeight="1" x14ac:dyDescent="0.25">
      <c r="A285" s="483"/>
      <c r="B285" s="483"/>
      <c r="C285" s="483"/>
      <c r="D285" s="492"/>
      <c r="E285" s="492"/>
      <c r="F285" s="483"/>
    </row>
    <row r="286" spans="1:6" ht="18" customHeight="1" x14ac:dyDescent="0.25">
      <c r="A286" s="483"/>
      <c r="B286" s="483"/>
      <c r="C286" s="483"/>
      <c r="D286" s="492"/>
      <c r="E286" s="492"/>
      <c r="F286" s="483"/>
    </row>
    <row r="287" spans="1:6" ht="18" customHeight="1" x14ac:dyDescent="0.25">
      <c r="A287" s="483"/>
      <c r="B287" s="483"/>
      <c r="C287" s="483"/>
      <c r="D287" s="492"/>
      <c r="E287" s="492"/>
      <c r="F287" s="483"/>
    </row>
    <row r="288" spans="1:6" ht="18" customHeight="1" x14ac:dyDescent="0.25">
      <c r="A288" s="483"/>
      <c r="B288" s="483"/>
      <c r="C288" s="483"/>
      <c r="D288" s="492"/>
      <c r="E288" s="492"/>
      <c r="F288" s="483"/>
    </row>
    <row r="289" spans="1:6" ht="18" customHeight="1" x14ac:dyDescent="0.25">
      <c r="A289" s="483"/>
      <c r="B289" s="483"/>
      <c r="C289" s="483"/>
      <c r="D289" s="492"/>
      <c r="E289" s="492"/>
      <c r="F289" s="483"/>
    </row>
    <row r="290" spans="1:6" ht="18" customHeight="1" x14ac:dyDescent="0.25">
      <c r="A290" s="483"/>
      <c r="B290" s="483"/>
      <c r="C290" s="483"/>
      <c r="D290" s="492"/>
      <c r="E290" s="492"/>
      <c r="F290" s="483"/>
    </row>
    <row r="291" spans="1:6" ht="18" customHeight="1" x14ac:dyDescent="0.25">
      <c r="A291" s="483"/>
      <c r="B291" s="483"/>
      <c r="C291" s="483"/>
      <c r="D291" s="492"/>
      <c r="E291" s="492"/>
      <c r="F291" s="483"/>
    </row>
    <row r="292" spans="1:6" ht="18" customHeight="1" x14ac:dyDescent="0.25">
      <c r="A292" s="483"/>
      <c r="B292" s="483"/>
      <c r="C292" s="483"/>
      <c r="D292" s="492"/>
      <c r="E292" s="492"/>
      <c r="F292" s="483"/>
    </row>
    <row r="293" spans="1:6" ht="18" customHeight="1" x14ac:dyDescent="0.25">
      <c r="A293" s="483"/>
      <c r="B293" s="483"/>
      <c r="C293" s="483"/>
      <c r="D293" s="492"/>
      <c r="E293" s="492"/>
      <c r="F293" s="483"/>
    </row>
    <row r="294" spans="1:6" ht="18" customHeight="1" x14ac:dyDescent="0.25">
      <c r="A294" s="483"/>
      <c r="B294" s="483"/>
      <c r="C294" s="483"/>
      <c r="D294" s="492"/>
      <c r="E294" s="492"/>
      <c r="F294" s="483"/>
    </row>
    <row r="295" spans="1:6" ht="18" customHeight="1" x14ac:dyDescent="0.25">
      <c r="A295" s="483"/>
      <c r="B295" s="483"/>
      <c r="C295" s="483"/>
      <c r="D295" s="492"/>
      <c r="E295" s="492"/>
      <c r="F295" s="483"/>
    </row>
    <row r="296" spans="1:6" ht="18" customHeight="1" x14ac:dyDescent="0.25">
      <c r="A296" s="483"/>
      <c r="B296" s="483"/>
      <c r="C296" s="483"/>
      <c r="D296" s="492"/>
      <c r="E296" s="492"/>
      <c r="F296" s="483"/>
    </row>
    <row r="297" spans="1:6" ht="18" customHeight="1" x14ac:dyDescent="0.25">
      <c r="A297" s="483"/>
      <c r="B297" s="483"/>
      <c r="C297" s="483"/>
      <c r="D297" s="492"/>
      <c r="E297" s="492"/>
      <c r="F297" s="483"/>
    </row>
    <row r="298" spans="1:6" ht="18" customHeight="1" x14ac:dyDescent="0.25">
      <c r="A298" s="483"/>
      <c r="B298" s="483"/>
      <c r="C298" s="483"/>
      <c r="D298" s="492"/>
      <c r="E298" s="492"/>
      <c r="F298" s="483"/>
    </row>
    <row r="299" spans="1:6" ht="18" customHeight="1" x14ac:dyDescent="0.25">
      <c r="A299" s="483"/>
      <c r="B299" s="483"/>
      <c r="C299" s="483"/>
      <c r="D299" s="492"/>
      <c r="E299" s="492"/>
      <c r="F299" s="483"/>
    </row>
    <row r="300" spans="1:6" ht="18" customHeight="1" x14ac:dyDescent="0.25">
      <c r="A300" s="483"/>
      <c r="B300" s="483"/>
      <c r="C300" s="483"/>
      <c r="D300" s="492"/>
      <c r="E300" s="492"/>
      <c r="F300" s="483"/>
    </row>
    <row r="301" spans="1:6" ht="18" customHeight="1" x14ac:dyDescent="0.25">
      <c r="A301" s="483"/>
      <c r="B301" s="483"/>
      <c r="C301" s="483"/>
      <c r="D301" s="492"/>
      <c r="E301" s="492"/>
      <c r="F301" s="483"/>
    </row>
    <row r="302" spans="1:6" ht="18" customHeight="1" x14ac:dyDescent="0.25">
      <c r="A302" s="483"/>
      <c r="B302" s="483"/>
      <c r="C302" s="483"/>
      <c r="D302" s="492"/>
      <c r="E302" s="492"/>
      <c r="F302" s="483"/>
    </row>
  </sheetData>
  <sheetProtection algorithmName="SHA-512" hashValue="FIPmhCFQgz4ZW77NbP+9S8nxLC6FFU8ytsqhjOjUdQuKffytDYbxvV6PERTbx16ECzlaUXud9cBaQqu3/zBJpQ==" saltValue="hWjLraQU+3GUNwffcBpULA==" spinCount="100000" sheet="1" formatCells="0" formatColumns="0" formatRows="0" insertRows="0" autoFilter="0" pivotTables="0"/>
  <mergeCells count="13">
    <mergeCell ref="A66:C66"/>
    <mergeCell ref="A67:D67"/>
    <mergeCell ref="A69:D69"/>
    <mergeCell ref="A60:D60"/>
    <mergeCell ref="A62:F62"/>
    <mergeCell ref="A63:D63"/>
    <mergeCell ref="A64:C64"/>
    <mergeCell ref="A65:C65"/>
    <mergeCell ref="E1:H1"/>
    <mergeCell ref="E2:H2"/>
    <mergeCell ref="B5:F5"/>
    <mergeCell ref="B6:F6"/>
    <mergeCell ref="A10:F10"/>
  </mergeCells>
  <dataValidations count="4">
    <dataValidation allowBlank="1" showInputMessage="1" showErrorMessage="1" prompt="diligencie la dedicación del personal relacionado._x000a_" sqref="C12:C46" xr:uid="{00000000-0002-0000-0A00-000000000000}">
      <formula1>0</formula1>
      <formula2>0</formula2>
    </dataValidation>
    <dataValidation allowBlank="1" showInputMessage="1" showErrorMessage="1" prompt="definir la unidad de medida con la cual se asigna el valor unitario." sqref="D12:D46" xr:uid="{00000000-0002-0000-0A00-000001000000}">
      <formula1>0</formula1>
      <formula2>0</formula2>
    </dataValidation>
    <dataValidation allowBlank="1" showInputMessage="1" showErrorMessage="1" prompt="traer el valor definido en la hoja &quot;honorarios Corporativos&quot;" sqref="C47:C59 B54:B59" xr:uid="{00000000-0002-0000-0A00-000002000000}">
      <formula1>0</formula1>
      <formula2>0</formula2>
    </dataValidation>
    <dataValidation allowBlank="1" showInputMessage="1" showErrorMessage="1" prompt="diligencie la cantidad del personal requerido" sqref="B12:B53" xr:uid="{00000000-0002-0000-0A00-000003000000}">
      <formula1>0</formula1>
      <formula2>0</formula2>
    </dataValidation>
  </dataValidations>
  <hyperlinks>
    <hyperlink ref="J1" location="ins" display="Instructivo" xr:uid="{00000000-0004-0000-0A00-000000000000}"/>
    <hyperlink ref="J2" location="impg" display="Impuestos y garantías" xr:uid="{00000000-0004-0000-0A00-000001000000}"/>
    <hyperlink ref="F66" location="IVA!A1" display="Info IVA" xr:uid="{00000000-0004-0000-0A00-000002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BB954"/>
  <sheetViews>
    <sheetView showGridLines="0" topLeftCell="C1" zoomScale="90" zoomScaleNormal="90" workbookViewId="0">
      <selection activeCell="J1" sqref="J1"/>
    </sheetView>
  </sheetViews>
  <sheetFormatPr baseColWidth="10" defaultColWidth="9.109375" defaultRowHeight="18" customHeight="1" x14ac:dyDescent="0.25"/>
  <cols>
    <col min="1" max="1" width="9.109375" style="514" hidden="1"/>
    <col min="2" max="2" width="9.109375" style="515" hidden="1"/>
    <col min="3" max="3" width="7.33203125" style="481" customWidth="1"/>
    <col min="4" max="4" width="23.109375" style="481" customWidth="1"/>
    <col min="5" max="5" width="17.33203125" style="481" customWidth="1"/>
    <col min="6" max="6" width="13.109375" style="481" customWidth="1"/>
    <col min="7" max="7" width="16.6640625" style="482" customWidth="1"/>
    <col min="8" max="8" width="17" style="482" customWidth="1"/>
    <col min="9" max="9" width="13.109375" style="481" customWidth="1"/>
    <col min="10" max="10" width="12" style="483" customWidth="1"/>
    <col min="11" max="11" width="24.77734375" style="483" customWidth="1"/>
    <col min="12" max="12" width="6.109375" style="516" hidden="1" customWidth="1"/>
    <col min="13" max="13" width="16" style="483" customWidth="1"/>
    <col min="14" max="14" width="15.33203125" style="483" customWidth="1"/>
    <col min="15" max="15" width="17.109375" style="483" customWidth="1"/>
    <col min="16" max="16" width="14.33203125" style="483" customWidth="1"/>
    <col min="17" max="54" width="9.109375" style="483"/>
    <col min="55" max="16384" width="9.109375" style="481"/>
  </cols>
  <sheetData>
    <row r="1" spans="1:16" s="15" customFormat="1" ht="39" customHeight="1" x14ac:dyDescent="0.25">
      <c r="E1" s="14" t="str">
        <f>Instructivo!F1</f>
        <v>Sistema de Gestión Integral (SGI)
Instructivo - Componente Financiero EP
Código: F-PGC-21. Versión: 05</v>
      </c>
      <c r="F1" s="14"/>
      <c r="G1" s="14"/>
      <c r="H1" s="14"/>
      <c r="J1" s="132" t="s">
        <v>102</v>
      </c>
    </row>
    <row r="2" spans="1:16" s="15" customFormat="1" ht="18" customHeight="1" x14ac:dyDescent="0.25">
      <c r="E2" s="1086" t="s">
        <v>491</v>
      </c>
      <c r="F2" s="1086"/>
      <c r="G2" s="1086"/>
      <c r="H2" s="1086"/>
      <c r="I2" s="441"/>
      <c r="J2" s="378"/>
      <c r="K2" s="378"/>
    </row>
    <row r="3" spans="1:16" s="481" customFormat="1" ht="5.25" customHeight="1" x14ac:dyDescent="0.25">
      <c r="A3" s="514"/>
      <c r="B3" s="515"/>
      <c r="G3" s="482"/>
      <c r="H3" s="482"/>
      <c r="J3" s="483"/>
      <c r="K3" s="483"/>
      <c r="L3" s="516"/>
      <c r="M3" s="483"/>
      <c r="N3" s="483"/>
      <c r="O3" s="483"/>
      <c r="P3" s="483"/>
    </row>
    <row r="4" spans="1:16" s="483" customFormat="1" ht="5.25" customHeight="1" x14ac:dyDescent="0.25">
      <c r="A4" s="517"/>
      <c r="B4" s="517"/>
      <c r="C4" s="518"/>
      <c r="D4" s="518"/>
      <c r="E4" s="136"/>
      <c r="F4" s="136"/>
      <c r="G4" s="136"/>
      <c r="H4" s="136"/>
      <c r="I4" s="136"/>
      <c r="J4" s="136"/>
      <c r="K4" s="136"/>
      <c r="L4" s="136"/>
      <c r="M4" s="136"/>
      <c r="N4" s="136"/>
      <c r="O4" s="136"/>
      <c r="P4" s="136"/>
    </row>
    <row r="5" spans="1:16" s="483" customFormat="1" ht="29.25" customHeight="1" x14ac:dyDescent="0.25">
      <c r="A5" s="517"/>
      <c r="B5" s="517"/>
      <c r="C5" s="12" t="s">
        <v>104</v>
      </c>
      <c r="D5" s="12"/>
      <c r="E5" s="1011">
        <f>'Plan Ejecución'!AE4</f>
        <v>0</v>
      </c>
      <c r="F5" s="1011"/>
      <c r="G5" s="1011"/>
      <c r="H5" s="1011"/>
      <c r="I5" s="1011"/>
      <c r="J5" s="1011"/>
      <c r="K5" s="1011"/>
      <c r="L5" s="1011"/>
      <c r="M5" s="1011"/>
      <c r="N5" s="1011"/>
      <c r="O5" s="1011"/>
      <c r="P5" s="1011"/>
    </row>
    <row r="6" spans="1:16" s="483" customFormat="1" ht="34.5" customHeight="1" x14ac:dyDescent="0.25">
      <c r="A6" s="517"/>
      <c r="B6" s="517"/>
      <c r="C6" s="12" t="s">
        <v>105</v>
      </c>
      <c r="D6" s="12"/>
      <c r="E6" s="1011">
        <f>'Plan Ejecución'!AE5</f>
        <v>0</v>
      </c>
      <c r="F6" s="1011"/>
      <c r="G6" s="1011"/>
      <c r="H6" s="1011"/>
      <c r="I6" s="1011"/>
      <c r="J6" s="1011"/>
      <c r="K6" s="1011"/>
      <c r="L6" s="1011"/>
      <c r="M6" s="1011"/>
      <c r="N6" s="1011"/>
      <c r="O6" s="1011"/>
      <c r="P6" s="1011"/>
    </row>
    <row r="7" spans="1:16" s="483" customFormat="1" ht="7.5" customHeight="1" x14ac:dyDescent="0.25">
      <c r="A7" s="517"/>
      <c r="B7" s="517"/>
      <c r="C7" s="518"/>
      <c r="D7" s="518"/>
      <c r="E7" s="136"/>
      <c r="F7" s="136"/>
      <c r="G7" s="136"/>
      <c r="H7" s="136"/>
      <c r="I7" s="136"/>
      <c r="J7" s="136"/>
      <c r="K7" s="136"/>
      <c r="L7" s="136"/>
      <c r="M7" s="136"/>
      <c r="N7" s="136"/>
      <c r="O7" s="136"/>
      <c r="P7" s="136"/>
    </row>
    <row r="8" spans="1:16" s="483" customFormat="1" ht="168.75" customHeight="1" x14ac:dyDescent="0.25">
      <c r="A8" s="514"/>
      <c r="B8" s="515"/>
      <c r="C8" s="1109" t="s">
        <v>492</v>
      </c>
      <c r="D8" s="1109"/>
      <c r="E8" s="1109"/>
      <c r="F8" s="1109"/>
      <c r="G8" s="1109"/>
      <c r="H8" s="1109"/>
      <c r="I8" s="1109"/>
      <c r="J8" s="1109"/>
      <c r="K8" s="1109"/>
      <c r="L8" s="1109"/>
      <c r="M8" s="1109"/>
      <c r="N8" s="1109"/>
      <c r="O8" s="1109"/>
      <c r="P8" s="1109"/>
    </row>
    <row r="9" spans="1:16" s="483" customFormat="1" ht="55.5" customHeight="1" x14ac:dyDescent="0.25">
      <c r="A9" s="514"/>
      <c r="B9" s="515"/>
      <c r="C9" s="1109" t="s">
        <v>493</v>
      </c>
      <c r="D9" s="1109"/>
      <c r="E9" s="1109"/>
      <c r="F9" s="1109"/>
      <c r="G9" s="1109"/>
      <c r="H9" s="1109"/>
      <c r="I9" s="1109"/>
      <c r="J9" s="1109"/>
      <c r="K9" s="1109"/>
      <c r="L9" s="1109"/>
      <c r="M9" s="1109"/>
      <c r="N9" s="1109"/>
      <c r="O9" s="1109"/>
      <c r="P9" s="1109"/>
    </row>
    <row r="10" spans="1:16" s="483" customFormat="1" ht="18" customHeight="1" x14ac:dyDescent="0.25">
      <c r="A10" s="514"/>
      <c r="B10" s="515"/>
      <c r="D10" s="1110"/>
      <c r="E10" s="1110"/>
      <c r="F10" s="1110"/>
      <c r="G10" s="1110"/>
      <c r="H10" s="1110"/>
      <c r="I10" s="1110"/>
      <c r="L10" s="516"/>
    </row>
    <row r="11" spans="1:16" s="483" customFormat="1" ht="54.75" customHeight="1" x14ac:dyDescent="0.25">
      <c r="A11" s="514"/>
      <c r="B11" s="515"/>
      <c r="C11" s="1111" t="s">
        <v>494</v>
      </c>
      <c r="D11" s="1111"/>
      <c r="E11" s="1111"/>
      <c r="F11" s="1111"/>
      <c r="G11" s="1111"/>
      <c r="H11" s="1111"/>
      <c r="I11" s="1111"/>
      <c r="J11" s="1111"/>
      <c r="K11" s="1111"/>
      <c r="L11" s="1111"/>
      <c r="M11" s="1111"/>
      <c r="N11" s="1111"/>
      <c r="O11" s="1111"/>
      <c r="P11" s="1111"/>
    </row>
    <row r="12" spans="1:16" s="483" customFormat="1" ht="18" customHeight="1" x14ac:dyDescent="0.25">
      <c r="A12" s="514"/>
      <c r="B12" s="515"/>
      <c r="D12" s="519"/>
      <c r="E12" s="520"/>
      <c r="F12" s="520"/>
      <c r="G12" s="520"/>
      <c r="H12" s="520"/>
      <c r="I12" s="520"/>
      <c r="L12" s="516"/>
    </row>
    <row r="13" spans="1:16" s="483" customFormat="1" ht="18" customHeight="1" x14ac:dyDescent="0.25">
      <c r="A13" s="514"/>
      <c r="B13" s="515"/>
      <c r="C13" s="1112" t="s">
        <v>495</v>
      </c>
      <c r="D13" s="1112"/>
      <c r="E13" s="1112"/>
      <c r="F13" s="1112"/>
      <c r="G13" s="1112"/>
      <c r="H13" s="1112"/>
      <c r="I13" s="1112"/>
      <c r="J13" s="1112"/>
      <c r="K13" s="1112"/>
      <c r="L13" s="516"/>
      <c r="M13" s="491"/>
    </row>
    <row r="14" spans="1:16" s="483" customFormat="1" ht="29.25" customHeight="1" x14ac:dyDescent="0.25">
      <c r="A14" s="514"/>
      <c r="B14" s="515" t="s">
        <v>496</v>
      </c>
      <c r="C14" s="521" t="s">
        <v>497</v>
      </c>
      <c r="D14" s="1045" t="s">
        <v>380</v>
      </c>
      <c r="E14" s="1045"/>
      <c r="F14" s="1045"/>
      <c r="G14" s="333" t="s">
        <v>113</v>
      </c>
      <c r="H14" s="333" t="s">
        <v>383</v>
      </c>
      <c r="I14" s="1045" t="s">
        <v>393</v>
      </c>
      <c r="J14" s="1045"/>
      <c r="K14" s="522" t="s">
        <v>385</v>
      </c>
      <c r="L14" s="516"/>
      <c r="M14" s="523"/>
    </row>
    <row r="15" spans="1:16" s="483" customFormat="1" ht="18" customHeight="1" x14ac:dyDescent="0.25">
      <c r="A15" s="514"/>
      <c r="B15" s="515">
        <f t="shared" ref="B15:B78" si="0">IFERROR(K15/$K$265,0)</f>
        <v>0</v>
      </c>
      <c r="C15" s="524">
        <v>1</v>
      </c>
      <c r="D15" s="1076"/>
      <c r="E15" s="1076"/>
      <c r="F15" s="1076"/>
      <c r="G15" s="412"/>
      <c r="H15" s="412"/>
      <c r="I15" s="1113"/>
      <c r="J15" s="1113"/>
      <c r="K15" s="525">
        <f t="shared" ref="K15:K78" si="1">H15*I15</f>
        <v>0</v>
      </c>
      <c r="L15" s="526"/>
      <c r="M15" s="527"/>
    </row>
    <row r="16" spans="1:16" s="483" customFormat="1" ht="18" customHeight="1" x14ac:dyDescent="0.25">
      <c r="A16" s="514"/>
      <c r="B16" s="515">
        <f t="shared" si="0"/>
        <v>0</v>
      </c>
      <c r="C16" s="524">
        <v>2</v>
      </c>
      <c r="D16" s="1076"/>
      <c r="E16" s="1076"/>
      <c r="F16" s="1076"/>
      <c r="G16" s="412"/>
      <c r="H16" s="412"/>
      <c r="I16" s="1113"/>
      <c r="J16" s="1113"/>
      <c r="K16" s="525">
        <f t="shared" si="1"/>
        <v>0</v>
      </c>
      <c r="L16" s="526"/>
      <c r="M16" s="527"/>
    </row>
    <row r="17" spans="1:13" s="483" customFormat="1" ht="18" customHeight="1" x14ac:dyDescent="0.25">
      <c r="A17" s="514"/>
      <c r="B17" s="515">
        <f t="shared" si="0"/>
        <v>0</v>
      </c>
      <c r="C17" s="524">
        <v>3</v>
      </c>
      <c r="D17" s="1076"/>
      <c r="E17" s="1076"/>
      <c r="F17" s="1076"/>
      <c r="G17" s="412"/>
      <c r="H17" s="412"/>
      <c r="I17" s="1113"/>
      <c r="J17" s="1113"/>
      <c r="K17" s="525">
        <f t="shared" si="1"/>
        <v>0</v>
      </c>
      <c r="L17" s="526"/>
      <c r="M17" s="527"/>
    </row>
    <row r="18" spans="1:13" s="483" customFormat="1" ht="18" customHeight="1" x14ac:dyDescent="0.25">
      <c r="A18" s="514"/>
      <c r="B18" s="515">
        <f t="shared" si="0"/>
        <v>0</v>
      </c>
      <c r="C18" s="524">
        <v>4</v>
      </c>
      <c r="D18" s="1076"/>
      <c r="E18" s="1076"/>
      <c r="F18" s="1076"/>
      <c r="G18" s="412"/>
      <c r="H18" s="412"/>
      <c r="I18" s="1113"/>
      <c r="J18" s="1113"/>
      <c r="K18" s="525">
        <f t="shared" si="1"/>
        <v>0</v>
      </c>
      <c r="L18" s="526"/>
      <c r="M18" s="527"/>
    </row>
    <row r="19" spans="1:13" s="483" customFormat="1" ht="18" customHeight="1" x14ac:dyDescent="0.25">
      <c r="A19" s="514"/>
      <c r="B19" s="515">
        <f t="shared" si="0"/>
        <v>0</v>
      </c>
      <c r="C19" s="524">
        <v>5</v>
      </c>
      <c r="D19" s="1076"/>
      <c r="E19" s="1076"/>
      <c r="F19" s="1076"/>
      <c r="G19" s="412"/>
      <c r="H19" s="412"/>
      <c r="I19" s="1113"/>
      <c r="J19" s="1113"/>
      <c r="K19" s="525">
        <f t="shared" si="1"/>
        <v>0</v>
      </c>
      <c r="L19" s="526"/>
      <c r="M19" s="527"/>
    </row>
    <row r="20" spans="1:13" s="483" customFormat="1" ht="18" hidden="1" customHeight="1" x14ac:dyDescent="0.25">
      <c r="A20" s="514"/>
      <c r="B20" s="515">
        <f t="shared" si="0"/>
        <v>0</v>
      </c>
      <c r="C20" s="524">
        <v>6</v>
      </c>
      <c r="D20" s="1076"/>
      <c r="E20" s="1076"/>
      <c r="F20" s="1076"/>
      <c r="G20" s="412"/>
      <c r="H20" s="412"/>
      <c r="I20" s="1113"/>
      <c r="J20" s="1113"/>
      <c r="K20" s="525">
        <f t="shared" si="1"/>
        <v>0</v>
      </c>
      <c r="L20" s="526"/>
      <c r="M20" s="527"/>
    </row>
    <row r="21" spans="1:13" s="483" customFormat="1" ht="18" hidden="1" customHeight="1" x14ac:dyDescent="0.25">
      <c r="A21" s="514"/>
      <c r="B21" s="515">
        <f t="shared" si="0"/>
        <v>0</v>
      </c>
      <c r="C21" s="524">
        <v>7</v>
      </c>
      <c r="D21" s="1076"/>
      <c r="E21" s="1076"/>
      <c r="F21" s="1076"/>
      <c r="G21" s="412"/>
      <c r="H21" s="412"/>
      <c r="I21" s="1113"/>
      <c r="J21" s="1113"/>
      <c r="K21" s="525">
        <f t="shared" si="1"/>
        <v>0</v>
      </c>
      <c r="L21" s="526"/>
      <c r="M21" s="527"/>
    </row>
    <row r="22" spans="1:13" s="483" customFormat="1" ht="18" hidden="1" customHeight="1" x14ac:dyDescent="0.25">
      <c r="A22" s="514"/>
      <c r="B22" s="515">
        <f t="shared" si="0"/>
        <v>0</v>
      </c>
      <c r="C22" s="524">
        <v>8</v>
      </c>
      <c r="D22" s="1076"/>
      <c r="E22" s="1076"/>
      <c r="F22" s="1076"/>
      <c r="G22" s="412"/>
      <c r="H22" s="412"/>
      <c r="I22" s="1113"/>
      <c r="J22" s="1113"/>
      <c r="K22" s="525">
        <f t="shared" si="1"/>
        <v>0</v>
      </c>
      <c r="L22" s="526"/>
      <c r="M22" s="527"/>
    </row>
    <row r="23" spans="1:13" s="483" customFormat="1" ht="18" hidden="1" customHeight="1" x14ac:dyDescent="0.25">
      <c r="A23" s="514"/>
      <c r="B23" s="515">
        <f t="shared" si="0"/>
        <v>0</v>
      </c>
      <c r="C23" s="524">
        <v>9</v>
      </c>
      <c r="D23" s="1076"/>
      <c r="E23" s="1076"/>
      <c r="F23" s="1076"/>
      <c r="G23" s="412"/>
      <c r="H23" s="412"/>
      <c r="I23" s="1113"/>
      <c r="J23" s="1113"/>
      <c r="K23" s="525">
        <f t="shared" si="1"/>
        <v>0</v>
      </c>
      <c r="L23" s="526"/>
      <c r="M23" s="527"/>
    </row>
    <row r="24" spans="1:13" s="483" customFormat="1" ht="18" hidden="1" customHeight="1" x14ac:dyDescent="0.25">
      <c r="A24" s="514"/>
      <c r="B24" s="515">
        <f t="shared" si="0"/>
        <v>0</v>
      </c>
      <c r="C24" s="524">
        <v>10</v>
      </c>
      <c r="D24" s="1076"/>
      <c r="E24" s="1076"/>
      <c r="F24" s="1076"/>
      <c r="G24" s="412"/>
      <c r="H24" s="412"/>
      <c r="I24" s="1113"/>
      <c r="J24" s="1113"/>
      <c r="K24" s="525">
        <f t="shared" si="1"/>
        <v>0</v>
      </c>
      <c r="L24" s="526"/>
      <c r="M24" s="527"/>
    </row>
    <row r="25" spans="1:13" s="483" customFormat="1" ht="18" hidden="1" customHeight="1" x14ac:dyDescent="0.25">
      <c r="A25" s="514"/>
      <c r="B25" s="515">
        <f t="shared" si="0"/>
        <v>0</v>
      </c>
      <c r="C25" s="524">
        <v>11</v>
      </c>
      <c r="D25" s="1076"/>
      <c r="E25" s="1076"/>
      <c r="F25" s="1076"/>
      <c r="G25" s="412"/>
      <c r="H25" s="412"/>
      <c r="I25" s="1113"/>
      <c r="J25" s="1113"/>
      <c r="K25" s="525">
        <f t="shared" si="1"/>
        <v>0</v>
      </c>
      <c r="L25" s="526"/>
      <c r="M25" s="527"/>
    </row>
    <row r="26" spans="1:13" s="483" customFormat="1" ht="18" hidden="1" customHeight="1" x14ac:dyDescent="0.25">
      <c r="A26" s="514"/>
      <c r="B26" s="515">
        <f t="shared" si="0"/>
        <v>0</v>
      </c>
      <c r="C26" s="524">
        <v>12</v>
      </c>
      <c r="D26" s="1076"/>
      <c r="E26" s="1076"/>
      <c r="F26" s="1076"/>
      <c r="G26" s="412"/>
      <c r="H26" s="412"/>
      <c r="I26" s="1113"/>
      <c r="J26" s="1113"/>
      <c r="K26" s="525">
        <f t="shared" si="1"/>
        <v>0</v>
      </c>
      <c r="L26" s="526"/>
      <c r="M26" s="527"/>
    </row>
    <row r="27" spans="1:13" s="483" customFormat="1" ht="18" hidden="1" customHeight="1" x14ac:dyDescent="0.25">
      <c r="A27" s="514"/>
      <c r="B27" s="515">
        <f t="shared" si="0"/>
        <v>0</v>
      </c>
      <c r="C27" s="524">
        <v>13</v>
      </c>
      <c r="D27" s="1076"/>
      <c r="E27" s="1076"/>
      <c r="F27" s="1076"/>
      <c r="G27" s="412"/>
      <c r="H27" s="412"/>
      <c r="I27" s="1113"/>
      <c r="J27" s="1113"/>
      <c r="K27" s="525">
        <f t="shared" si="1"/>
        <v>0</v>
      </c>
      <c r="L27" s="526"/>
      <c r="M27" s="527"/>
    </row>
    <row r="28" spans="1:13" s="483" customFormat="1" ht="18" hidden="1" customHeight="1" x14ac:dyDescent="0.25">
      <c r="A28" s="514"/>
      <c r="B28" s="515">
        <f t="shared" si="0"/>
        <v>0</v>
      </c>
      <c r="C28" s="524">
        <v>14</v>
      </c>
      <c r="D28" s="1076"/>
      <c r="E28" s="1076"/>
      <c r="F28" s="1076"/>
      <c r="G28" s="412"/>
      <c r="H28" s="412"/>
      <c r="I28" s="1113"/>
      <c r="J28" s="1113"/>
      <c r="K28" s="525">
        <f t="shared" si="1"/>
        <v>0</v>
      </c>
      <c r="L28" s="526"/>
      <c r="M28" s="527"/>
    </row>
    <row r="29" spans="1:13" s="483" customFormat="1" ht="18" hidden="1" customHeight="1" x14ac:dyDescent="0.25">
      <c r="A29" s="514"/>
      <c r="B29" s="515">
        <f t="shared" si="0"/>
        <v>0</v>
      </c>
      <c r="C29" s="524">
        <v>15</v>
      </c>
      <c r="D29" s="1076"/>
      <c r="E29" s="1076"/>
      <c r="F29" s="1076"/>
      <c r="G29" s="412"/>
      <c r="H29" s="412"/>
      <c r="I29" s="1113"/>
      <c r="J29" s="1113"/>
      <c r="K29" s="525">
        <f t="shared" si="1"/>
        <v>0</v>
      </c>
      <c r="L29" s="526"/>
      <c r="M29" s="527"/>
    </row>
    <row r="30" spans="1:13" s="483" customFormat="1" ht="18" hidden="1" customHeight="1" x14ac:dyDescent="0.25">
      <c r="A30" s="514"/>
      <c r="B30" s="515">
        <f t="shared" si="0"/>
        <v>0</v>
      </c>
      <c r="C30" s="524">
        <v>16</v>
      </c>
      <c r="D30" s="1076"/>
      <c r="E30" s="1076"/>
      <c r="F30" s="1076"/>
      <c r="G30" s="412"/>
      <c r="H30" s="412"/>
      <c r="I30" s="1113"/>
      <c r="J30" s="1113"/>
      <c r="K30" s="525">
        <f t="shared" si="1"/>
        <v>0</v>
      </c>
      <c r="L30" s="526"/>
      <c r="M30" s="527"/>
    </row>
    <row r="31" spans="1:13" s="483" customFormat="1" ht="18" hidden="1" customHeight="1" x14ac:dyDescent="0.25">
      <c r="A31" s="514"/>
      <c r="B31" s="515">
        <f t="shared" si="0"/>
        <v>0</v>
      </c>
      <c r="C31" s="524">
        <v>17</v>
      </c>
      <c r="D31" s="1076"/>
      <c r="E31" s="1076"/>
      <c r="F31" s="1076"/>
      <c r="G31" s="412"/>
      <c r="H31" s="412"/>
      <c r="I31" s="1113"/>
      <c r="J31" s="1113"/>
      <c r="K31" s="525">
        <f t="shared" si="1"/>
        <v>0</v>
      </c>
      <c r="L31" s="526"/>
      <c r="M31" s="527"/>
    </row>
    <row r="32" spans="1:13" s="483" customFormat="1" ht="18" hidden="1" customHeight="1" x14ac:dyDescent="0.25">
      <c r="A32" s="514"/>
      <c r="B32" s="515">
        <f t="shared" si="0"/>
        <v>0</v>
      </c>
      <c r="C32" s="524">
        <v>18</v>
      </c>
      <c r="D32" s="1076"/>
      <c r="E32" s="1076"/>
      <c r="F32" s="1076"/>
      <c r="G32" s="412"/>
      <c r="H32" s="412"/>
      <c r="I32" s="1113"/>
      <c r="J32" s="1113"/>
      <c r="K32" s="525">
        <f t="shared" si="1"/>
        <v>0</v>
      </c>
      <c r="L32" s="526"/>
      <c r="M32" s="527"/>
    </row>
    <row r="33" spans="1:13" s="483" customFormat="1" ht="18" hidden="1" customHeight="1" x14ac:dyDescent="0.25">
      <c r="A33" s="514"/>
      <c r="B33" s="515">
        <f t="shared" si="0"/>
        <v>0</v>
      </c>
      <c r="C33" s="524">
        <v>19</v>
      </c>
      <c r="D33" s="1076"/>
      <c r="E33" s="1076"/>
      <c r="F33" s="1076"/>
      <c r="G33" s="412"/>
      <c r="H33" s="412"/>
      <c r="I33" s="1113"/>
      <c r="J33" s="1113"/>
      <c r="K33" s="525">
        <f t="shared" si="1"/>
        <v>0</v>
      </c>
      <c r="L33" s="526"/>
      <c r="M33" s="527"/>
    </row>
    <row r="34" spans="1:13" s="483" customFormat="1" ht="18" hidden="1" customHeight="1" x14ac:dyDescent="0.25">
      <c r="A34" s="514"/>
      <c r="B34" s="515">
        <f t="shared" si="0"/>
        <v>0</v>
      </c>
      <c r="C34" s="524">
        <v>20</v>
      </c>
      <c r="D34" s="1076"/>
      <c r="E34" s="1076"/>
      <c r="F34" s="1076"/>
      <c r="G34" s="412"/>
      <c r="H34" s="412"/>
      <c r="I34" s="1113"/>
      <c r="J34" s="1113"/>
      <c r="K34" s="525">
        <f t="shared" si="1"/>
        <v>0</v>
      </c>
      <c r="L34" s="526"/>
      <c r="M34" s="527"/>
    </row>
    <row r="35" spans="1:13" s="483" customFormat="1" ht="18" hidden="1" customHeight="1" x14ac:dyDescent="0.25">
      <c r="A35" s="514"/>
      <c r="B35" s="515">
        <f t="shared" si="0"/>
        <v>0</v>
      </c>
      <c r="C35" s="524">
        <v>21</v>
      </c>
      <c r="D35" s="1076"/>
      <c r="E35" s="1076"/>
      <c r="F35" s="1076"/>
      <c r="G35" s="412"/>
      <c r="H35" s="412"/>
      <c r="I35" s="1113"/>
      <c r="J35" s="1113"/>
      <c r="K35" s="525">
        <f t="shared" si="1"/>
        <v>0</v>
      </c>
      <c r="L35" s="526"/>
      <c r="M35" s="527"/>
    </row>
    <row r="36" spans="1:13" s="483" customFormat="1" ht="18" hidden="1" customHeight="1" x14ac:dyDescent="0.25">
      <c r="A36" s="514"/>
      <c r="B36" s="515">
        <f t="shared" si="0"/>
        <v>0</v>
      </c>
      <c r="C36" s="524">
        <v>22</v>
      </c>
      <c r="D36" s="1076"/>
      <c r="E36" s="1076"/>
      <c r="F36" s="1076"/>
      <c r="G36" s="412"/>
      <c r="H36" s="412"/>
      <c r="I36" s="1113"/>
      <c r="J36" s="1113"/>
      <c r="K36" s="525">
        <f t="shared" si="1"/>
        <v>0</v>
      </c>
      <c r="L36" s="526"/>
      <c r="M36" s="527"/>
    </row>
    <row r="37" spans="1:13" s="483" customFormat="1" ht="18" hidden="1" customHeight="1" x14ac:dyDescent="0.25">
      <c r="A37" s="514"/>
      <c r="B37" s="515">
        <f t="shared" si="0"/>
        <v>0</v>
      </c>
      <c r="C37" s="524">
        <v>23</v>
      </c>
      <c r="D37" s="1076"/>
      <c r="E37" s="1076"/>
      <c r="F37" s="1076"/>
      <c r="G37" s="412"/>
      <c r="H37" s="412"/>
      <c r="I37" s="1113"/>
      <c r="J37" s="1113"/>
      <c r="K37" s="525">
        <f t="shared" si="1"/>
        <v>0</v>
      </c>
      <c r="L37" s="526"/>
      <c r="M37" s="527"/>
    </row>
    <row r="38" spans="1:13" s="483" customFormat="1" ht="18" hidden="1" customHeight="1" x14ac:dyDescent="0.25">
      <c r="A38" s="514"/>
      <c r="B38" s="515">
        <f t="shared" si="0"/>
        <v>0</v>
      </c>
      <c r="C38" s="524">
        <v>24</v>
      </c>
      <c r="D38" s="1076"/>
      <c r="E38" s="1076"/>
      <c r="F38" s="1076"/>
      <c r="G38" s="412"/>
      <c r="H38" s="412"/>
      <c r="I38" s="1113"/>
      <c r="J38" s="1113"/>
      <c r="K38" s="525">
        <f t="shared" si="1"/>
        <v>0</v>
      </c>
      <c r="L38" s="526"/>
      <c r="M38" s="527"/>
    </row>
    <row r="39" spans="1:13" s="483" customFormat="1" ht="18" hidden="1" customHeight="1" x14ac:dyDescent="0.25">
      <c r="A39" s="514"/>
      <c r="B39" s="515">
        <f t="shared" si="0"/>
        <v>0</v>
      </c>
      <c r="C39" s="524">
        <v>25</v>
      </c>
      <c r="D39" s="1076"/>
      <c r="E39" s="1076"/>
      <c r="F39" s="1076"/>
      <c r="G39" s="412"/>
      <c r="H39" s="412"/>
      <c r="I39" s="1113"/>
      <c r="J39" s="1113"/>
      <c r="K39" s="525">
        <f t="shared" si="1"/>
        <v>0</v>
      </c>
      <c r="L39" s="526"/>
      <c r="M39" s="527"/>
    </row>
    <row r="40" spans="1:13" s="483" customFormat="1" ht="18" hidden="1" customHeight="1" x14ac:dyDescent="0.25">
      <c r="A40" s="514"/>
      <c r="B40" s="515">
        <f t="shared" si="0"/>
        <v>0</v>
      </c>
      <c r="C40" s="524">
        <v>26</v>
      </c>
      <c r="D40" s="1076"/>
      <c r="E40" s="1076"/>
      <c r="F40" s="1076"/>
      <c r="G40" s="412"/>
      <c r="H40" s="412"/>
      <c r="I40" s="1113"/>
      <c r="J40" s="1113"/>
      <c r="K40" s="525">
        <f t="shared" si="1"/>
        <v>0</v>
      </c>
      <c r="L40" s="526"/>
      <c r="M40" s="527"/>
    </row>
    <row r="41" spans="1:13" s="483" customFormat="1" ht="18" hidden="1" customHeight="1" x14ac:dyDescent="0.25">
      <c r="A41" s="514"/>
      <c r="B41" s="515">
        <f t="shared" si="0"/>
        <v>0</v>
      </c>
      <c r="C41" s="524">
        <v>27</v>
      </c>
      <c r="D41" s="1076"/>
      <c r="E41" s="1076"/>
      <c r="F41" s="1076"/>
      <c r="G41" s="412"/>
      <c r="H41" s="412"/>
      <c r="I41" s="1113"/>
      <c r="J41" s="1113"/>
      <c r="K41" s="525">
        <f t="shared" si="1"/>
        <v>0</v>
      </c>
      <c r="L41" s="526"/>
      <c r="M41" s="527"/>
    </row>
    <row r="42" spans="1:13" s="483" customFormat="1" ht="18" hidden="1" customHeight="1" x14ac:dyDescent="0.25">
      <c r="A42" s="514"/>
      <c r="B42" s="515">
        <f t="shared" si="0"/>
        <v>0</v>
      </c>
      <c r="C42" s="524">
        <v>28</v>
      </c>
      <c r="D42" s="1076"/>
      <c r="E42" s="1076"/>
      <c r="F42" s="1076"/>
      <c r="G42" s="412"/>
      <c r="H42" s="412"/>
      <c r="I42" s="1113"/>
      <c r="J42" s="1113"/>
      <c r="K42" s="525">
        <f t="shared" si="1"/>
        <v>0</v>
      </c>
      <c r="L42" s="526"/>
      <c r="M42" s="527"/>
    </row>
    <row r="43" spans="1:13" s="483" customFormat="1" ht="18" hidden="1" customHeight="1" x14ac:dyDescent="0.25">
      <c r="A43" s="514"/>
      <c r="B43" s="515">
        <f t="shared" si="0"/>
        <v>0</v>
      </c>
      <c r="C43" s="524">
        <v>29</v>
      </c>
      <c r="D43" s="1076"/>
      <c r="E43" s="1076"/>
      <c r="F43" s="1076"/>
      <c r="G43" s="412"/>
      <c r="H43" s="412"/>
      <c r="I43" s="1113"/>
      <c r="J43" s="1113"/>
      <c r="K43" s="525">
        <f t="shared" si="1"/>
        <v>0</v>
      </c>
      <c r="L43" s="526"/>
      <c r="M43" s="527"/>
    </row>
    <row r="44" spans="1:13" s="483" customFormat="1" ht="18" hidden="1" customHeight="1" x14ac:dyDescent="0.25">
      <c r="A44" s="514"/>
      <c r="B44" s="515">
        <f t="shared" si="0"/>
        <v>0</v>
      </c>
      <c r="C44" s="524">
        <v>30</v>
      </c>
      <c r="D44" s="1076"/>
      <c r="E44" s="1076"/>
      <c r="F44" s="1076"/>
      <c r="G44" s="412"/>
      <c r="H44" s="412"/>
      <c r="I44" s="1113"/>
      <c r="J44" s="1113"/>
      <c r="K44" s="525">
        <f t="shared" si="1"/>
        <v>0</v>
      </c>
      <c r="L44" s="526"/>
      <c r="M44" s="527"/>
    </row>
    <row r="45" spans="1:13" s="483" customFormat="1" ht="18" hidden="1" customHeight="1" x14ac:dyDescent="0.25">
      <c r="A45" s="514"/>
      <c r="B45" s="515">
        <f t="shared" si="0"/>
        <v>0</v>
      </c>
      <c r="C45" s="524">
        <v>31</v>
      </c>
      <c r="D45" s="1076"/>
      <c r="E45" s="1076"/>
      <c r="F45" s="1076"/>
      <c r="G45" s="412"/>
      <c r="H45" s="412"/>
      <c r="I45" s="1113"/>
      <c r="J45" s="1113"/>
      <c r="K45" s="525">
        <f t="shared" si="1"/>
        <v>0</v>
      </c>
      <c r="L45" s="526"/>
      <c r="M45" s="527"/>
    </row>
    <row r="46" spans="1:13" s="483" customFormat="1" ht="18" hidden="1" customHeight="1" x14ac:dyDescent="0.25">
      <c r="A46" s="514"/>
      <c r="B46" s="515">
        <f t="shared" si="0"/>
        <v>0</v>
      </c>
      <c r="C46" s="524">
        <v>32</v>
      </c>
      <c r="D46" s="1076"/>
      <c r="E46" s="1076"/>
      <c r="F46" s="1076"/>
      <c r="G46" s="412"/>
      <c r="H46" s="412"/>
      <c r="I46" s="1113"/>
      <c r="J46" s="1113"/>
      <c r="K46" s="525">
        <f t="shared" si="1"/>
        <v>0</v>
      </c>
      <c r="L46" s="526"/>
      <c r="M46" s="527"/>
    </row>
    <row r="47" spans="1:13" s="483" customFormat="1" ht="18" hidden="1" customHeight="1" x14ac:dyDescent="0.25">
      <c r="A47" s="514"/>
      <c r="B47" s="515">
        <f t="shared" si="0"/>
        <v>0</v>
      </c>
      <c r="C47" s="524">
        <v>33</v>
      </c>
      <c r="D47" s="1076"/>
      <c r="E47" s="1076"/>
      <c r="F47" s="1076"/>
      <c r="G47" s="412"/>
      <c r="H47" s="412"/>
      <c r="I47" s="1113"/>
      <c r="J47" s="1113"/>
      <c r="K47" s="525">
        <f t="shared" si="1"/>
        <v>0</v>
      </c>
      <c r="L47" s="526"/>
      <c r="M47" s="527"/>
    </row>
    <row r="48" spans="1:13" s="483" customFormat="1" ht="18" hidden="1" customHeight="1" x14ac:dyDescent="0.25">
      <c r="A48" s="514"/>
      <c r="B48" s="515">
        <f t="shared" si="0"/>
        <v>0</v>
      </c>
      <c r="C48" s="524">
        <v>34</v>
      </c>
      <c r="D48" s="1076"/>
      <c r="E48" s="1076"/>
      <c r="F48" s="1076"/>
      <c r="G48" s="412"/>
      <c r="H48" s="412"/>
      <c r="I48" s="1113"/>
      <c r="J48" s="1113"/>
      <c r="K48" s="525">
        <f t="shared" si="1"/>
        <v>0</v>
      </c>
      <c r="L48" s="526"/>
      <c r="M48" s="527"/>
    </row>
    <row r="49" spans="1:13" s="483" customFormat="1" ht="18" hidden="1" customHeight="1" x14ac:dyDescent="0.25">
      <c r="A49" s="514"/>
      <c r="B49" s="515">
        <f t="shared" si="0"/>
        <v>0</v>
      </c>
      <c r="C49" s="524">
        <v>35</v>
      </c>
      <c r="D49" s="1076"/>
      <c r="E49" s="1076"/>
      <c r="F49" s="1076"/>
      <c r="G49" s="412"/>
      <c r="H49" s="412"/>
      <c r="I49" s="1113"/>
      <c r="J49" s="1113"/>
      <c r="K49" s="525">
        <f t="shared" si="1"/>
        <v>0</v>
      </c>
      <c r="L49" s="526"/>
      <c r="M49" s="527"/>
    </row>
    <row r="50" spans="1:13" s="483" customFormat="1" ht="18" hidden="1" customHeight="1" x14ac:dyDescent="0.25">
      <c r="A50" s="514"/>
      <c r="B50" s="515">
        <f t="shared" si="0"/>
        <v>0</v>
      </c>
      <c r="C50" s="524">
        <v>36</v>
      </c>
      <c r="D50" s="1076"/>
      <c r="E50" s="1076"/>
      <c r="F50" s="1076"/>
      <c r="G50" s="412"/>
      <c r="H50" s="412"/>
      <c r="I50" s="1113"/>
      <c r="J50" s="1113"/>
      <c r="K50" s="525">
        <f t="shared" si="1"/>
        <v>0</v>
      </c>
      <c r="L50" s="526"/>
      <c r="M50" s="527"/>
    </row>
    <row r="51" spans="1:13" s="483" customFormat="1" ht="18" hidden="1" customHeight="1" x14ac:dyDescent="0.25">
      <c r="A51" s="514"/>
      <c r="B51" s="515">
        <f t="shared" si="0"/>
        <v>0</v>
      </c>
      <c r="C51" s="524">
        <v>37</v>
      </c>
      <c r="D51" s="1076"/>
      <c r="E51" s="1076"/>
      <c r="F51" s="1076"/>
      <c r="G51" s="412"/>
      <c r="H51" s="412"/>
      <c r="I51" s="1113"/>
      <c r="J51" s="1113"/>
      <c r="K51" s="525">
        <f t="shared" si="1"/>
        <v>0</v>
      </c>
      <c r="L51" s="526"/>
      <c r="M51" s="527"/>
    </row>
    <row r="52" spans="1:13" s="483" customFormat="1" ht="18" hidden="1" customHeight="1" x14ac:dyDescent="0.25">
      <c r="A52" s="514"/>
      <c r="B52" s="515">
        <f t="shared" si="0"/>
        <v>0</v>
      </c>
      <c r="C52" s="524">
        <v>38</v>
      </c>
      <c r="D52" s="1076"/>
      <c r="E52" s="1076"/>
      <c r="F52" s="1076"/>
      <c r="G52" s="412"/>
      <c r="H52" s="412"/>
      <c r="I52" s="1113"/>
      <c r="J52" s="1113"/>
      <c r="K52" s="525">
        <f t="shared" si="1"/>
        <v>0</v>
      </c>
      <c r="L52" s="526"/>
      <c r="M52" s="527"/>
    </row>
    <row r="53" spans="1:13" s="483" customFormat="1" ht="18" hidden="1" customHeight="1" x14ac:dyDescent="0.25">
      <c r="A53" s="514"/>
      <c r="B53" s="515">
        <f t="shared" si="0"/>
        <v>0</v>
      </c>
      <c r="C53" s="524">
        <v>39</v>
      </c>
      <c r="D53" s="1076"/>
      <c r="E53" s="1076"/>
      <c r="F53" s="1076"/>
      <c r="G53" s="412"/>
      <c r="H53" s="412"/>
      <c r="I53" s="1113"/>
      <c r="J53" s="1113"/>
      <c r="K53" s="525">
        <f t="shared" si="1"/>
        <v>0</v>
      </c>
      <c r="L53" s="526"/>
      <c r="M53" s="527"/>
    </row>
    <row r="54" spans="1:13" s="483" customFormat="1" ht="18" hidden="1" customHeight="1" x14ac:dyDescent="0.25">
      <c r="A54" s="514"/>
      <c r="B54" s="515">
        <f t="shared" si="0"/>
        <v>0</v>
      </c>
      <c r="C54" s="524">
        <v>40</v>
      </c>
      <c r="D54" s="1076"/>
      <c r="E54" s="1076"/>
      <c r="F54" s="1076"/>
      <c r="G54" s="412"/>
      <c r="H54" s="412"/>
      <c r="I54" s="1113"/>
      <c r="J54" s="1113"/>
      <c r="K54" s="525">
        <f t="shared" si="1"/>
        <v>0</v>
      </c>
      <c r="L54" s="526"/>
      <c r="M54" s="527"/>
    </row>
    <row r="55" spans="1:13" s="483" customFormat="1" ht="18" hidden="1" customHeight="1" x14ac:dyDescent="0.25">
      <c r="A55" s="514"/>
      <c r="B55" s="515">
        <f t="shared" si="0"/>
        <v>0</v>
      </c>
      <c r="C55" s="524">
        <v>41</v>
      </c>
      <c r="D55" s="1076"/>
      <c r="E55" s="1076"/>
      <c r="F55" s="1076"/>
      <c r="G55" s="412"/>
      <c r="H55" s="412"/>
      <c r="I55" s="1113"/>
      <c r="J55" s="1113"/>
      <c r="K55" s="525">
        <f t="shared" si="1"/>
        <v>0</v>
      </c>
      <c r="L55" s="526"/>
      <c r="M55" s="527"/>
    </row>
    <row r="56" spans="1:13" s="483" customFormat="1" ht="18" hidden="1" customHeight="1" x14ac:dyDescent="0.25">
      <c r="A56" s="514"/>
      <c r="B56" s="515">
        <f t="shared" si="0"/>
        <v>0</v>
      </c>
      <c r="C56" s="524">
        <v>42</v>
      </c>
      <c r="D56" s="1076"/>
      <c r="E56" s="1076"/>
      <c r="F56" s="1076"/>
      <c r="G56" s="412"/>
      <c r="H56" s="412"/>
      <c r="I56" s="1113"/>
      <c r="J56" s="1113"/>
      <c r="K56" s="525">
        <f t="shared" si="1"/>
        <v>0</v>
      </c>
      <c r="L56" s="526"/>
      <c r="M56" s="527"/>
    </row>
    <row r="57" spans="1:13" s="483" customFormat="1" ht="18" hidden="1" customHeight="1" x14ac:dyDescent="0.25">
      <c r="A57" s="514"/>
      <c r="B57" s="515">
        <f t="shared" si="0"/>
        <v>0</v>
      </c>
      <c r="C57" s="524">
        <v>43</v>
      </c>
      <c r="D57" s="1076"/>
      <c r="E57" s="1076"/>
      <c r="F57" s="1076"/>
      <c r="G57" s="412"/>
      <c r="H57" s="412"/>
      <c r="I57" s="1113"/>
      <c r="J57" s="1113"/>
      <c r="K57" s="525">
        <f t="shared" si="1"/>
        <v>0</v>
      </c>
      <c r="L57" s="526"/>
      <c r="M57" s="527"/>
    </row>
    <row r="58" spans="1:13" s="483" customFormat="1" ht="18" hidden="1" customHeight="1" x14ac:dyDescent="0.25">
      <c r="A58" s="514"/>
      <c r="B58" s="515">
        <f t="shared" si="0"/>
        <v>0</v>
      </c>
      <c r="C58" s="524">
        <v>44</v>
      </c>
      <c r="D58" s="1076"/>
      <c r="E58" s="1076"/>
      <c r="F58" s="1076"/>
      <c r="G58" s="412"/>
      <c r="H58" s="412"/>
      <c r="I58" s="1113"/>
      <c r="J58" s="1113"/>
      <c r="K58" s="525">
        <f t="shared" si="1"/>
        <v>0</v>
      </c>
      <c r="L58" s="526"/>
      <c r="M58" s="527"/>
    </row>
    <row r="59" spans="1:13" s="483" customFormat="1" ht="18" hidden="1" customHeight="1" x14ac:dyDescent="0.25">
      <c r="A59" s="514"/>
      <c r="B59" s="515">
        <f t="shared" si="0"/>
        <v>0</v>
      </c>
      <c r="C59" s="524">
        <v>45</v>
      </c>
      <c r="D59" s="1076"/>
      <c r="E59" s="1076"/>
      <c r="F59" s="1076"/>
      <c r="G59" s="412"/>
      <c r="H59" s="412"/>
      <c r="I59" s="1113"/>
      <c r="J59" s="1113"/>
      <c r="K59" s="525">
        <f t="shared" si="1"/>
        <v>0</v>
      </c>
      <c r="L59" s="526"/>
      <c r="M59" s="527"/>
    </row>
    <row r="60" spans="1:13" s="483" customFormat="1" ht="18" hidden="1" customHeight="1" x14ac:dyDescent="0.25">
      <c r="A60" s="514"/>
      <c r="B60" s="515">
        <f t="shared" si="0"/>
        <v>0</v>
      </c>
      <c r="C60" s="524">
        <v>46</v>
      </c>
      <c r="D60" s="1076"/>
      <c r="E60" s="1076"/>
      <c r="F60" s="1076"/>
      <c r="G60" s="412"/>
      <c r="H60" s="412"/>
      <c r="I60" s="1113"/>
      <c r="J60" s="1113"/>
      <c r="K60" s="525">
        <f t="shared" si="1"/>
        <v>0</v>
      </c>
      <c r="L60" s="526"/>
      <c r="M60" s="527"/>
    </row>
    <row r="61" spans="1:13" s="483" customFormat="1" ht="18" hidden="1" customHeight="1" x14ac:dyDescent="0.25">
      <c r="A61" s="514"/>
      <c r="B61" s="515">
        <f t="shared" si="0"/>
        <v>0</v>
      </c>
      <c r="C61" s="524">
        <v>47</v>
      </c>
      <c r="D61" s="1076"/>
      <c r="E61" s="1076"/>
      <c r="F61" s="1076"/>
      <c r="G61" s="412"/>
      <c r="H61" s="412"/>
      <c r="I61" s="1113"/>
      <c r="J61" s="1113"/>
      <c r="K61" s="525">
        <f t="shared" si="1"/>
        <v>0</v>
      </c>
      <c r="L61" s="526"/>
      <c r="M61" s="527"/>
    </row>
    <row r="62" spans="1:13" s="483" customFormat="1" ht="18" hidden="1" customHeight="1" x14ac:dyDescent="0.25">
      <c r="A62" s="514"/>
      <c r="B62" s="515">
        <f t="shared" si="0"/>
        <v>0</v>
      </c>
      <c r="C62" s="524">
        <v>48</v>
      </c>
      <c r="D62" s="1076"/>
      <c r="E62" s="1076"/>
      <c r="F62" s="1076"/>
      <c r="G62" s="412"/>
      <c r="H62" s="412"/>
      <c r="I62" s="1113"/>
      <c r="J62" s="1113"/>
      <c r="K62" s="525">
        <f t="shared" si="1"/>
        <v>0</v>
      </c>
      <c r="L62" s="526"/>
      <c r="M62" s="527"/>
    </row>
    <row r="63" spans="1:13" s="483" customFormat="1" ht="18" hidden="1" customHeight="1" x14ac:dyDescent="0.25">
      <c r="A63" s="514"/>
      <c r="B63" s="515">
        <f t="shared" si="0"/>
        <v>0</v>
      </c>
      <c r="C63" s="524">
        <v>49</v>
      </c>
      <c r="D63" s="1076"/>
      <c r="E63" s="1076"/>
      <c r="F63" s="1076"/>
      <c r="G63" s="412"/>
      <c r="H63" s="412"/>
      <c r="I63" s="1113"/>
      <c r="J63" s="1113"/>
      <c r="K63" s="525">
        <f t="shared" si="1"/>
        <v>0</v>
      </c>
      <c r="L63" s="526"/>
      <c r="M63" s="527"/>
    </row>
    <row r="64" spans="1:13" s="483" customFormat="1" ht="18" hidden="1" customHeight="1" x14ac:dyDescent="0.25">
      <c r="A64" s="514"/>
      <c r="B64" s="515">
        <f t="shared" si="0"/>
        <v>0</v>
      </c>
      <c r="C64" s="524">
        <v>50</v>
      </c>
      <c r="D64" s="1076"/>
      <c r="E64" s="1076"/>
      <c r="F64" s="1076"/>
      <c r="G64" s="412"/>
      <c r="H64" s="412"/>
      <c r="I64" s="1113"/>
      <c r="J64" s="1113"/>
      <c r="K64" s="525">
        <f t="shared" si="1"/>
        <v>0</v>
      </c>
      <c r="L64" s="526"/>
      <c r="M64" s="527"/>
    </row>
    <row r="65" spans="1:13" s="483" customFormat="1" ht="18" hidden="1" customHeight="1" x14ac:dyDescent="0.25">
      <c r="A65" s="514"/>
      <c r="B65" s="515">
        <f t="shared" si="0"/>
        <v>0</v>
      </c>
      <c r="C65" s="524">
        <v>51</v>
      </c>
      <c r="D65" s="1076"/>
      <c r="E65" s="1076"/>
      <c r="F65" s="1076"/>
      <c r="G65" s="412"/>
      <c r="H65" s="412"/>
      <c r="I65" s="1113"/>
      <c r="J65" s="1113"/>
      <c r="K65" s="525">
        <f t="shared" si="1"/>
        <v>0</v>
      </c>
      <c r="L65" s="526"/>
      <c r="M65" s="527"/>
    </row>
    <row r="66" spans="1:13" s="483" customFormat="1" ht="18" hidden="1" customHeight="1" x14ac:dyDescent="0.25">
      <c r="A66" s="514"/>
      <c r="B66" s="515">
        <f t="shared" si="0"/>
        <v>0</v>
      </c>
      <c r="C66" s="524">
        <v>52</v>
      </c>
      <c r="D66" s="1076"/>
      <c r="E66" s="1076"/>
      <c r="F66" s="1076"/>
      <c r="G66" s="412"/>
      <c r="H66" s="412"/>
      <c r="I66" s="1113"/>
      <c r="J66" s="1113"/>
      <c r="K66" s="525">
        <f t="shared" si="1"/>
        <v>0</v>
      </c>
      <c r="L66" s="526"/>
      <c r="M66" s="527"/>
    </row>
    <row r="67" spans="1:13" s="483" customFormat="1" ht="18" hidden="1" customHeight="1" x14ac:dyDescent="0.25">
      <c r="A67" s="514"/>
      <c r="B67" s="515">
        <f t="shared" si="0"/>
        <v>0</v>
      </c>
      <c r="C67" s="524">
        <v>53</v>
      </c>
      <c r="D67" s="1076"/>
      <c r="E67" s="1076"/>
      <c r="F67" s="1076"/>
      <c r="G67" s="412"/>
      <c r="H67" s="412"/>
      <c r="I67" s="1113"/>
      <c r="J67" s="1113"/>
      <c r="K67" s="525">
        <f t="shared" si="1"/>
        <v>0</v>
      </c>
      <c r="L67" s="526"/>
      <c r="M67" s="527"/>
    </row>
    <row r="68" spans="1:13" s="483" customFormat="1" ht="18" hidden="1" customHeight="1" x14ac:dyDescent="0.25">
      <c r="A68" s="514"/>
      <c r="B68" s="515">
        <f t="shared" si="0"/>
        <v>0</v>
      </c>
      <c r="C68" s="524">
        <v>54</v>
      </c>
      <c r="D68" s="1076"/>
      <c r="E68" s="1076"/>
      <c r="F68" s="1076"/>
      <c r="G68" s="412"/>
      <c r="H68" s="412"/>
      <c r="I68" s="1113"/>
      <c r="J68" s="1113"/>
      <c r="K68" s="525">
        <f t="shared" si="1"/>
        <v>0</v>
      </c>
      <c r="L68" s="526"/>
      <c r="M68" s="527"/>
    </row>
    <row r="69" spans="1:13" s="483" customFormat="1" ht="18" hidden="1" customHeight="1" x14ac:dyDescent="0.25">
      <c r="A69" s="514"/>
      <c r="B69" s="515">
        <f t="shared" si="0"/>
        <v>0</v>
      </c>
      <c r="C69" s="524">
        <v>55</v>
      </c>
      <c r="D69" s="1076"/>
      <c r="E69" s="1076"/>
      <c r="F69" s="1076"/>
      <c r="G69" s="412"/>
      <c r="H69" s="412"/>
      <c r="I69" s="1113"/>
      <c r="J69" s="1113"/>
      <c r="K69" s="525">
        <f t="shared" si="1"/>
        <v>0</v>
      </c>
      <c r="L69" s="526"/>
      <c r="M69" s="527"/>
    </row>
    <row r="70" spans="1:13" s="483" customFormat="1" ht="18" hidden="1" customHeight="1" x14ac:dyDescent="0.25">
      <c r="A70" s="514"/>
      <c r="B70" s="515">
        <f t="shared" si="0"/>
        <v>0</v>
      </c>
      <c r="C70" s="524">
        <v>56</v>
      </c>
      <c r="D70" s="1076"/>
      <c r="E70" s="1076"/>
      <c r="F70" s="1076"/>
      <c r="G70" s="412"/>
      <c r="H70" s="412"/>
      <c r="I70" s="1113"/>
      <c r="J70" s="1113"/>
      <c r="K70" s="525">
        <f t="shared" si="1"/>
        <v>0</v>
      </c>
      <c r="L70" s="526"/>
      <c r="M70" s="527"/>
    </row>
    <row r="71" spans="1:13" s="483" customFormat="1" ht="18" hidden="1" customHeight="1" x14ac:dyDescent="0.25">
      <c r="A71" s="514"/>
      <c r="B71" s="515">
        <f t="shared" si="0"/>
        <v>0</v>
      </c>
      <c r="C71" s="524">
        <v>57</v>
      </c>
      <c r="D71" s="1076"/>
      <c r="E71" s="1076"/>
      <c r="F71" s="1076"/>
      <c r="G71" s="412"/>
      <c r="H71" s="412"/>
      <c r="I71" s="1113"/>
      <c r="J71" s="1113"/>
      <c r="K71" s="525">
        <f t="shared" si="1"/>
        <v>0</v>
      </c>
      <c r="L71" s="526"/>
      <c r="M71" s="527"/>
    </row>
    <row r="72" spans="1:13" s="483" customFormat="1" ht="18" hidden="1" customHeight="1" x14ac:dyDescent="0.25">
      <c r="A72" s="514"/>
      <c r="B72" s="515">
        <f t="shared" si="0"/>
        <v>0</v>
      </c>
      <c r="C72" s="524">
        <v>58</v>
      </c>
      <c r="D72" s="1076"/>
      <c r="E72" s="1076"/>
      <c r="F72" s="1076"/>
      <c r="G72" s="412"/>
      <c r="H72" s="412"/>
      <c r="I72" s="1113"/>
      <c r="J72" s="1113"/>
      <c r="K72" s="525">
        <f t="shared" si="1"/>
        <v>0</v>
      </c>
      <c r="L72" s="526"/>
      <c r="M72" s="527"/>
    </row>
    <row r="73" spans="1:13" s="483" customFormat="1" ht="18" hidden="1" customHeight="1" x14ac:dyDescent="0.25">
      <c r="A73" s="514"/>
      <c r="B73" s="515">
        <f t="shared" si="0"/>
        <v>0</v>
      </c>
      <c r="C73" s="524">
        <v>59</v>
      </c>
      <c r="D73" s="1076"/>
      <c r="E73" s="1076"/>
      <c r="F73" s="1076"/>
      <c r="G73" s="412"/>
      <c r="H73" s="412"/>
      <c r="I73" s="1113"/>
      <c r="J73" s="1113"/>
      <c r="K73" s="525">
        <f t="shared" si="1"/>
        <v>0</v>
      </c>
      <c r="L73" s="526"/>
      <c r="M73" s="527"/>
    </row>
    <row r="74" spans="1:13" s="483" customFormat="1" ht="18" hidden="1" customHeight="1" x14ac:dyDescent="0.25">
      <c r="A74" s="514"/>
      <c r="B74" s="515">
        <f t="shared" si="0"/>
        <v>0</v>
      </c>
      <c r="C74" s="524">
        <v>60</v>
      </c>
      <c r="D74" s="1076"/>
      <c r="E74" s="1076"/>
      <c r="F74" s="1076"/>
      <c r="G74" s="412"/>
      <c r="H74" s="412"/>
      <c r="I74" s="1113"/>
      <c r="J74" s="1113"/>
      <c r="K74" s="525">
        <f t="shared" si="1"/>
        <v>0</v>
      </c>
      <c r="L74" s="526"/>
      <c r="M74" s="527"/>
    </row>
    <row r="75" spans="1:13" s="483" customFormat="1" ht="18" hidden="1" customHeight="1" x14ac:dyDescent="0.25">
      <c r="A75" s="514"/>
      <c r="B75" s="515">
        <f t="shared" si="0"/>
        <v>0</v>
      </c>
      <c r="C75" s="524">
        <v>61</v>
      </c>
      <c r="D75" s="1076"/>
      <c r="E75" s="1076"/>
      <c r="F75" s="1076"/>
      <c r="G75" s="412"/>
      <c r="H75" s="412"/>
      <c r="I75" s="1113"/>
      <c r="J75" s="1113"/>
      <c r="K75" s="525">
        <f t="shared" si="1"/>
        <v>0</v>
      </c>
      <c r="L75" s="526"/>
      <c r="M75" s="527"/>
    </row>
    <row r="76" spans="1:13" s="483" customFormat="1" ht="18" hidden="1" customHeight="1" x14ac:dyDescent="0.25">
      <c r="A76" s="514"/>
      <c r="B76" s="515">
        <f t="shared" si="0"/>
        <v>0</v>
      </c>
      <c r="C76" s="524">
        <v>62</v>
      </c>
      <c r="D76" s="1076"/>
      <c r="E76" s="1076"/>
      <c r="F76" s="1076"/>
      <c r="G76" s="412"/>
      <c r="H76" s="412"/>
      <c r="I76" s="1113"/>
      <c r="J76" s="1113"/>
      <c r="K76" s="525">
        <f t="shared" si="1"/>
        <v>0</v>
      </c>
      <c r="L76" s="526"/>
      <c r="M76" s="527"/>
    </row>
    <row r="77" spans="1:13" s="483" customFormat="1" ht="18" hidden="1" customHeight="1" x14ac:dyDescent="0.25">
      <c r="A77" s="514"/>
      <c r="B77" s="515">
        <f t="shared" si="0"/>
        <v>0</v>
      </c>
      <c r="C77" s="524">
        <v>63</v>
      </c>
      <c r="D77" s="1076"/>
      <c r="E77" s="1076"/>
      <c r="F77" s="1076"/>
      <c r="G77" s="412"/>
      <c r="H77" s="412"/>
      <c r="I77" s="1113"/>
      <c r="J77" s="1113"/>
      <c r="K77" s="525">
        <f t="shared" si="1"/>
        <v>0</v>
      </c>
      <c r="L77" s="526"/>
      <c r="M77" s="527"/>
    </row>
    <row r="78" spans="1:13" s="483" customFormat="1" ht="18" hidden="1" customHeight="1" x14ac:dyDescent="0.25">
      <c r="A78" s="514"/>
      <c r="B78" s="515">
        <f t="shared" si="0"/>
        <v>0</v>
      </c>
      <c r="C78" s="524">
        <v>64</v>
      </c>
      <c r="D78" s="1076"/>
      <c r="E78" s="1076"/>
      <c r="F78" s="1076"/>
      <c r="G78" s="412"/>
      <c r="H78" s="412"/>
      <c r="I78" s="1113"/>
      <c r="J78" s="1113"/>
      <c r="K78" s="525">
        <f t="shared" si="1"/>
        <v>0</v>
      </c>
      <c r="L78" s="526"/>
      <c r="M78" s="527"/>
    </row>
    <row r="79" spans="1:13" s="483" customFormat="1" ht="18" hidden="1" customHeight="1" x14ac:dyDescent="0.25">
      <c r="A79" s="514"/>
      <c r="B79" s="515">
        <f t="shared" ref="B79:B142" si="2">IFERROR(K79/$K$265,0)</f>
        <v>0</v>
      </c>
      <c r="C79" s="524">
        <v>65</v>
      </c>
      <c r="D79" s="1076"/>
      <c r="E79" s="1076"/>
      <c r="F79" s="1076"/>
      <c r="G79" s="412"/>
      <c r="H79" s="412"/>
      <c r="I79" s="1113"/>
      <c r="J79" s="1113"/>
      <c r="K79" s="525">
        <f t="shared" ref="K79:K142" si="3">H79*I79</f>
        <v>0</v>
      </c>
      <c r="L79" s="526"/>
      <c r="M79" s="527"/>
    </row>
    <row r="80" spans="1:13" s="483" customFormat="1" ht="18" hidden="1" customHeight="1" x14ac:dyDescent="0.25">
      <c r="A80" s="514"/>
      <c r="B80" s="515">
        <f t="shared" si="2"/>
        <v>0</v>
      </c>
      <c r="C80" s="524">
        <v>66</v>
      </c>
      <c r="D80" s="1076"/>
      <c r="E80" s="1076"/>
      <c r="F80" s="1076"/>
      <c r="G80" s="412"/>
      <c r="H80" s="412"/>
      <c r="I80" s="1113"/>
      <c r="J80" s="1113"/>
      <c r="K80" s="525">
        <f t="shared" si="3"/>
        <v>0</v>
      </c>
      <c r="L80" s="526"/>
      <c r="M80" s="527"/>
    </row>
    <row r="81" spans="1:13" s="483" customFormat="1" ht="18" hidden="1" customHeight="1" x14ac:dyDescent="0.25">
      <c r="A81" s="514"/>
      <c r="B81" s="515">
        <f t="shared" si="2"/>
        <v>0</v>
      </c>
      <c r="C81" s="524">
        <v>67</v>
      </c>
      <c r="D81" s="1076"/>
      <c r="E81" s="1076"/>
      <c r="F81" s="1076"/>
      <c r="G81" s="412"/>
      <c r="H81" s="412"/>
      <c r="I81" s="1113"/>
      <c r="J81" s="1113"/>
      <c r="K81" s="525">
        <f t="shared" si="3"/>
        <v>0</v>
      </c>
      <c r="L81" s="526"/>
      <c r="M81" s="527"/>
    </row>
    <row r="82" spans="1:13" s="483" customFormat="1" ht="18" hidden="1" customHeight="1" x14ac:dyDescent="0.25">
      <c r="A82" s="514"/>
      <c r="B82" s="515">
        <f t="shared" si="2"/>
        <v>0</v>
      </c>
      <c r="C82" s="524">
        <v>68</v>
      </c>
      <c r="D82" s="1076"/>
      <c r="E82" s="1076"/>
      <c r="F82" s="1076"/>
      <c r="G82" s="412"/>
      <c r="H82" s="412"/>
      <c r="I82" s="1113"/>
      <c r="J82" s="1113"/>
      <c r="K82" s="525">
        <f t="shared" si="3"/>
        <v>0</v>
      </c>
      <c r="L82" s="526"/>
      <c r="M82" s="527"/>
    </row>
    <row r="83" spans="1:13" s="483" customFormat="1" ht="18" hidden="1" customHeight="1" x14ac:dyDescent="0.25">
      <c r="A83" s="514"/>
      <c r="B83" s="515">
        <f t="shared" si="2"/>
        <v>0</v>
      </c>
      <c r="C83" s="524">
        <v>69</v>
      </c>
      <c r="D83" s="1076"/>
      <c r="E83" s="1076"/>
      <c r="F83" s="1076"/>
      <c r="G83" s="412"/>
      <c r="H83" s="412"/>
      <c r="I83" s="1113"/>
      <c r="J83" s="1113"/>
      <c r="K83" s="525">
        <f t="shared" si="3"/>
        <v>0</v>
      </c>
      <c r="L83" s="526"/>
      <c r="M83" s="527"/>
    </row>
    <row r="84" spans="1:13" s="483" customFormat="1" ht="18" hidden="1" customHeight="1" x14ac:dyDescent="0.25">
      <c r="A84" s="514"/>
      <c r="B84" s="515">
        <f t="shared" si="2"/>
        <v>0</v>
      </c>
      <c r="C84" s="524">
        <v>70</v>
      </c>
      <c r="D84" s="1076"/>
      <c r="E84" s="1076"/>
      <c r="F84" s="1076"/>
      <c r="G84" s="412"/>
      <c r="H84" s="412"/>
      <c r="I84" s="1113"/>
      <c r="J84" s="1113"/>
      <c r="K84" s="525">
        <f t="shared" si="3"/>
        <v>0</v>
      </c>
      <c r="L84" s="526"/>
      <c r="M84" s="527"/>
    </row>
    <row r="85" spans="1:13" s="483" customFormat="1" ht="18" hidden="1" customHeight="1" x14ac:dyDescent="0.25">
      <c r="A85" s="514"/>
      <c r="B85" s="515">
        <f t="shared" si="2"/>
        <v>0</v>
      </c>
      <c r="C85" s="524">
        <v>71</v>
      </c>
      <c r="D85" s="1076"/>
      <c r="E85" s="1076"/>
      <c r="F85" s="1076"/>
      <c r="G85" s="412"/>
      <c r="H85" s="412"/>
      <c r="I85" s="1113"/>
      <c r="J85" s="1113"/>
      <c r="K85" s="525">
        <f t="shared" si="3"/>
        <v>0</v>
      </c>
      <c r="L85" s="526"/>
      <c r="M85" s="527"/>
    </row>
    <row r="86" spans="1:13" s="483" customFormat="1" ht="18" hidden="1" customHeight="1" x14ac:dyDescent="0.25">
      <c r="A86" s="514"/>
      <c r="B86" s="515">
        <f t="shared" si="2"/>
        <v>0</v>
      </c>
      <c r="C86" s="524">
        <v>72</v>
      </c>
      <c r="D86" s="1076"/>
      <c r="E86" s="1076"/>
      <c r="F86" s="1076"/>
      <c r="G86" s="412"/>
      <c r="H86" s="412"/>
      <c r="I86" s="1113"/>
      <c r="J86" s="1113"/>
      <c r="K86" s="525">
        <f t="shared" si="3"/>
        <v>0</v>
      </c>
      <c r="L86" s="526"/>
      <c r="M86" s="527"/>
    </row>
    <row r="87" spans="1:13" s="483" customFormat="1" ht="18" hidden="1" customHeight="1" x14ac:dyDescent="0.25">
      <c r="A87" s="514"/>
      <c r="B87" s="515">
        <f t="shared" si="2"/>
        <v>0</v>
      </c>
      <c r="C87" s="524">
        <v>73</v>
      </c>
      <c r="D87" s="1076"/>
      <c r="E87" s="1076"/>
      <c r="F87" s="1076"/>
      <c r="G87" s="412"/>
      <c r="H87" s="412"/>
      <c r="I87" s="1113"/>
      <c r="J87" s="1113"/>
      <c r="K87" s="525">
        <f t="shared" si="3"/>
        <v>0</v>
      </c>
      <c r="L87" s="526"/>
      <c r="M87" s="527"/>
    </row>
    <row r="88" spans="1:13" s="483" customFormat="1" ht="18" hidden="1" customHeight="1" x14ac:dyDescent="0.25">
      <c r="A88" s="514"/>
      <c r="B88" s="515">
        <f t="shared" si="2"/>
        <v>0</v>
      </c>
      <c r="C88" s="524">
        <v>74</v>
      </c>
      <c r="D88" s="1076"/>
      <c r="E88" s="1076"/>
      <c r="F88" s="1076"/>
      <c r="G88" s="412"/>
      <c r="H88" s="412"/>
      <c r="I88" s="1113"/>
      <c r="J88" s="1113"/>
      <c r="K88" s="525">
        <f t="shared" si="3"/>
        <v>0</v>
      </c>
      <c r="L88" s="526"/>
      <c r="M88" s="527"/>
    </row>
    <row r="89" spans="1:13" s="483" customFormat="1" ht="18" hidden="1" customHeight="1" x14ac:dyDescent="0.25">
      <c r="A89" s="514"/>
      <c r="B89" s="515">
        <f t="shared" si="2"/>
        <v>0</v>
      </c>
      <c r="C89" s="524">
        <v>75</v>
      </c>
      <c r="D89" s="1076"/>
      <c r="E89" s="1076"/>
      <c r="F89" s="1076"/>
      <c r="G89" s="412"/>
      <c r="H89" s="412"/>
      <c r="I89" s="1113"/>
      <c r="J89" s="1113"/>
      <c r="K89" s="525">
        <f t="shared" si="3"/>
        <v>0</v>
      </c>
      <c r="L89" s="526"/>
      <c r="M89" s="527"/>
    </row>
    <row r="90" spans="1:13" s="483" customFormat="1" ht="18" hidden="1" customHeight="1" x14ac:dyDescent="0.25">
      <c r="A90" s="514"/>
      <c r="B90" s="515">
        <f t="shared" si="2"/>
        <v>0</v>
      </c>
      <c r="C90" s="524">
        <v>76</v>
      </c>
      <c r="D90" s="1076"/>
      <c r="E90" s="1076"/>
      <c r="F90" s="1076"/>
      <c r="G90" s="412"/>
      <c r="H90" s="412"/>
      <c r="I90" s="1113"/>
      <c r="J90" s="1113"/>
      <c r="K90" s="525">
        <f t="shared" si="3"/>
        <v>0</v>
      </c>
      <c r="L90" s="526"/>
      <c r="M90" s="527"/>
    </row>
    <row r="91" spans="1:13" s="483" customFormat="1" ht="18" hidden="1" customHeight="1" x14ac:dyDescent="0.25">
      <c r="A91" s="514"/>
      <c r="B91" s="515">
        <f t="shared" si="2"/>
        <v>0</v>
      </c>
      <c r="C91" s="524">
        <v>77</v>
      </c>
      <c r="D91" s="1076"/>
      <c r="E91" s="1076"/>
      <c r="F91" s="1076"/>
      <c r="G91" s="412"/>
      <c r="H91" s="412"/>
      <c r="I91" s="1113"/>
      <c r="J91" s="1113"/>
      <c r="K91" s="525">
        <f t="shared" si="3"/>
        <v>0</v>
      </c>
      <c r="L91" s="526"/>
      <c r="M91" s="527"/>
    </row>
    <row r="92" spans="1:13" s="483" customFormat="1" ht="18" hidden="1" customHeight="1" x14ac:dyDescent="0.25">
      <c r="A92" s="514"/>
      <c r="B92" s="515">
        <f t="shared" si="2"/>
        <v>0</v>
      </c>
      <c r="C92" s="524">
        <v>78</v>
      </c>
      <c r="D92" s="1076"/>
      <c r="E92" s="1076"/>
      <c r="F92" s="1076"/>
      <c r="G92" s="412"/>
      <c r="H92" s="412"/>
      <c r="I92" s="1113"/>
      <c r="J92" s="1113"/>
      <c r="K92" s="525">
        <f t="shared" si="3"/>
        <v>0</v>
      </c>
      <c r="L92" s="526"/>
      <c r="M92" s="527"/>
    </row>
    <row r="93" spans="1:13" s="483" customFormat="1" ht="18" hidden="1" customHeight="1" x14ac:dyDescent="0.25">
      <c r="A93" s="514"/>
      <c r="B93" s="515">
        <f t="shared" si="2"/>
        <v>0</v>
      </c>
      <c r="C93" s="524">
        <v>79</v>
      </c>
      <c r="D93" s="1076"/>
      <c r="E93" s="1076"/>
      <c r="F93" s="1076"/>
      <c r="G93" s="412"/>
      <c r="H93" s="412"/>
      <c r="I93" s="1113"/>
      <c r="J93" s="1113"/>
      <c r="K93" s="525">
        <f t="shared" si="3"/>
        <v>0</v>
      </c>
      <c r="L93" s="526"/>
      <c r="M93" s="527"/>
    </row>
    <row r="94" spans="1:13" s="483" customFormat="1" ht="18" hidden="1" customHeight="1" x14ac:dyDescent="0.25">
      <c r="A94" s="514"/>
      <c r="B94" s="515">
        <f t="shared" si="2"/>
        <v>0</v>
      </c>
      <c r="C94" s="524">
        <v>80</v>
      </c>
      <c r="D94" s="1076"/>
      <c r="E94" s="1076"/>
      <c r="F94" s="1076"/>
      <c r="G94" s="412"/>
      <c r="H94" s="412"/>
      <c r="I94" s="1113"/>
      <c r="J94" s="1113"/>
      <c r="K94" s="525">
        <f t="shared" si="3"/>
        <v>0</v>
      </c>
      <c r="L94" s="526"/>
      <c r="M94" s="527"/>
    </row>
    <row r="95" spans="1:13" s="483" customFormat="1" ht="18" hidden="1" customHeight="1" x14ac:dyDescent="0.25">
      <c r="A95" s="514"/>
      <c r="B95" s="515">
        <f t="shared" si="2"/>
        <v>0</v>
      </c>
      <c r="C95" s="524">
        <v>81</v>
      </c>
      <c r="D95" s="1076"/>
      <c r="E95" s="1076"/>
      <c r="F95" s="1076"/>
      <c r="G95" s="412"/>
      <c r="H95" s="412"/>
      <c r="I95" s="1113"/>
      <c r="J95" s="1113"/>
      <c r="K95" s="525">
        <f t="shared" si="3"/>
        <v>0</v>
      </c>
      <c r="L95" s="526"/>
      <c r="M95" s="527"/>
    </row>
    <row r="96" spans="1:13" s="483" customFormat="1" ht="18" hidden="1" customHeight="1" x14ac:dyDescent="0.25">
      <c r="A96" s="514"/>
      <c r="B96" s="515">
        <f t="shared" si="2"/>
        <v>0</v>
      </c>
      <c r="C96" s="524">
        <v>82</v>
      </c>
      <c r="D96" s="1076"/>
      <c r="E96" s="1076"/>
      <c r="F96" s="1076"/>
      <c r="G96" s="412"/>
      <c r="H96" s="412"/>
      <c r="I96" s="1113"/>
      <c r="J96" s="1113"/>
      <c r="K96" s="525">
        <f t="shared" si="3"/>
        <v>0</v>
      </c>
      <c r="L96" s="526"/>
      <c r="M96" s="527"/>
    </row>
    <row r="97" spans="1:13" s="483" customFormat="1" ht="18" hidden="1" customHeight="1" x14ac:dyDescent="0.25">
      <c r="A97" s="514"/>
      <c r="B97" s="515">
        <f t="shared" si="2"/>
        <v>0</v>
      </c>
      <c r="C97" s="524">
        <v>83</v>
      </c>
      <c r="D97" s="1076"/>
      <c r="E97" s="1076"/>
      <c r="F97" s="1076"/>
      <c r="G97" s="412"/>
      <c r="H97" s="412"/>
      <c r="I97" s="1113"/>
      <c r="J97" s="1113"/>
      <c r="K97" s="525">
        <f t="shared" si="3"/>
        <v>0</v>
      </c>
      <c r="L97" s="526"/>
      <c r="M97" s="527"/>
    </row>
    <row r="98" spans="1:13" s="483" customFormat="1" ht="18" hidden="1" customHeight="1" x14ac:dyDescent="0.25">
      <c r="A98" s="514"/>
      <c r="B98" s="515">
        <f t="shared" si="2"/>
        <v>0</v>
      </c>
      <c r="C98" s="524">
        <v>84</v>
      </c>
      <c r="D98" s="1076"/>
      <c r="E98" s="1076"/>
      <c r="F98" s="1076"/>
      <c r="G98" s="412"/>
      <c r="H98" s="412"/>
      <c r="I98" s="1113"/>
      <c r="J98" s="1113"/>
      <c r="K98" s="525">
        <f t="shared" si="3"/>
        <v>0</v>
      </c>
      <c r="L98" s="526"/>
      <c r="M98" s="527"/>
    </row>
    <row r="99" spans="1:13" s="483" customFormat="1" ht="18" hidden="1" customHeight="1" x14ac:dyDescent="0.25">
      <c r="A99" s="514"/>
      <c r="B99" s="515">
        <f t="shared" si="2"/>
        <v>0</v>
      </c>
      <c r="C99" s="524">
        <v>85</v>
      </c>
      <c r="D99" s="1076"/>
      <c r="E99" s="1076"/>
      <c r="F99" s="1076"/>
      <c r="G99" s="412"/>
      <c r="H99" s="412"/>
      <c r="I99" s="1113"/>
      <c r="J99" s="1113"/>
      <c r="K99" s="525">
        <f t="shared" si="3"/>
        <v>0</v>
      </c>
      <c r="L99" s="526"/>
      <c r="M99" s="527"/>
    </row>
    <row r="100" spans="1:13" s="483" customFormat="1" ht="18" hidden="1" customHeight="1" x14ac:dyDescent="0.25">
      <c r="A100" s="514"/>
      <c r="B100" s="515">
        <f t="shared" si="2"/>
        <v>0</v>
      </c>
      <c r="C100" s="524">
        <v>86</v>
      </c>
      <c r="D100" s="1076"/>
      <c r="E100" s="1076"/>
      <c r="F100" s="1076"/>
      <c r="G100" s="412"/>
      <c r="H100" s="412"/>
      <c r="I100" s="1113"/>
      <c r="J100" s="1113"/>
      <c r="K100" s="525">
        <f t="shared" si="3"/>
        <v>0</v>
      </c>
      <c r="L100" s="526"/>
      <c r="M100" s="527"/>
    </row>
    <row r="101" spans="1:13" s="483" customFormat="1" ht="18" hidden="1" customHeight="1" x14ac:dyDescent="0.25">
      <c r="A101" s="514"/>
      <c r="B101" s="515">
        <f t="shared" si="2"/>
        <v>0</v>
      </c>
      <c r="C101" s="524">
        <v>87</v>
      </c>
      <c r="D101" s="1076"/>
      <c r="E101" s="1076"/>
      <c r="F101" s="1076"/>
      <c r="G101" s="412"/>
      <c r="H101" s="412"/>
      <c r="I101" s="1113"/>
      <c r="J101" s="1113"/>
      <c r="K101" s="525">
        <f t="shared" si="3"/>
        <v>0</v>
      </c>
      <c r="L101" s="526"/>
      <c r="M101" s="527"/>
    </row>
    <row r="102" spans="1:13" s="483" customFormat="1" ht="18" hidden="1" customHeight="1" x14ac:dyDescent="0.25">
      <c r="A102" s="514"/>
      <c r="B102" s="515">
        <f t="shared" si="2"/>
        <v>0</v>
      </c>
      <c r="C102" s="524">
        <v>88</v>
      </c>
      <c r="D102" s="1076"/>
      <c r="E102" s="1076"/>
      <c r="F102" s="1076"/>
      <c r="G102" s="412"/>
      <c r="H102" s="412"/>
      <c r="I102" s="1113"/>
      <c r="J102" s="1113"/>
      <c r="K102" s="525">
        <f t="shared" si="3"/>
        <v>0</v>
      </c>
      <c r="L102" s="526"/>
      <c r="M102" s="527"/>
    </row>
    <row r="103" spans="1:13" s="483" customFormat="1" ht="18" hidden="1" customHeight="1" x14ac:dyDescent="0.25">
      <c r="A103" s="514"/>
      <c r="B103" s="515">
        <f t="shared" si="2"/>
        <v>0</v>
      </c>
      <c r="C103" s="524">
        <v>89</v>
      </c>
      <c r="D103" s="1076"/>
      <c r="E103" s="1076"/>
      <c r="F103" s="1076"/>
      <c r="G103" s="412"/>
      <c r="H103" s="412"/>
      <c r="I103" s="1113"/>
      <c r="J103" s="1113"/>
      <c r="K103" s="525">
        <f t="shared" si="3"/>
        <v>0</v>
      </c>
      <c r="L103" s="526"/>
      <c r="M103" s="527"/>
    </row>
    <row r="104" spans="1:13" s="483" customFormat="1" ht="18" hidden="1" customHeight="1" x14ac:dyDescent="0.25">
      <c r="A104" s="514"/>
      <c r="B104" s="515">
        <f t="shared" si="2"/>
        <v>0</v>
      </c>
      <c r="C104" s="524">
        <v>90</v>
      </c>
      <c r="D104" s="1076"/>
      <c r="E104" s="1076"/>
      <c r="F104" s="1076"/>
      <c r="G104" s="412"/>
      <c r="H104" s="412"/>
      <c r="I104" s="1113"/>
      <c r="J104" s="1113"/>
      <c r="K104" s="525">
        <f t="shared" si="3"/>
        <v>0</v>
      </c>
      <c r="L104" s="526"/>
      <c r="M104" s="527"/>
    </row>
    <row r="105" spans="1:13" s="483" customFormat="1" ht="18" hidden="1" customHeight="1" x14ac:dyDescent="0.25">
      <c r="A105" s="514"/>
      <c r="B105" s="515">
        <f t="shared" si="2"/>
        <v>0</v>
      </c>
      <c r="C105" s="524">
        <v>91</v>
      </c>
      <c r="D105" s="1076"/>
      <c r="E105" s="1076"/>
      <c r="F105" s="1076"/>
      <c r="G105" s="412"/>
      <c r="H105" s="412"/>
      <c r="I105" s="1113"/>
      <c r="J105" s="1113"/>
      <c r="K105" s="525">
        <f t="shared" si="3"/>
        <v>0</v>
      </c>
      <c r="L105" s="526"/>
      <c r="M105" s="527"/>
    </row>
    <row r="106" spans="1:13" s="483" customFormat="1" ht="18" hidden="1" customHeight="1" x14ac:dyDescent="0.25">
      <c r="A106" s="514"/>
      <c r="B106" s="515">
        <f t="shared" si="2"/>
        <v>0</v>
      </c>
      <c r="C106" s="524">
        <v>92</v>
      </c>
      <c r="D106" s="1076"/>
      <c r="E106" s="1076"/>
      <c r="F106" s="1076"/>
      <c r="G106" s="412"/>
      <c r="H106" s="412"/>
      <c r="I106" s="1113"/>
      <c r="J106" s="1113"/>
      <c r="K106" s="525">
        <f t="shared" si="3"/>
        <v>0</v>
      </c>
      <c r="L106" s="526"/>
      <c r="M106" s="527"/>
    </row>
    <row r="107" spans="1:13" s="483" customFormat="1" ht="18" hidden="1" customHeight="1" x14ac:dyDescent="0.25">
      <c r="A107" s="514"/>
      <c r="B107" s="515">
        <f t="shared" si="2"/>
        <v>0</v>
      </c>
      <c r="C107" s="524">
        <v>93</v>
      </c>
      <c r="D107" s="1076"/>
      <c r="E107" s="1076"/>
      <c r="F107" s="1076"/>
      <c r="G107" s="412"/>
      <c r="H107" s="412"/>
      <c r="I107" s="1113"/>
      <c r="J107" s="1113"/>
      <c r="K107" s="525">
        <f t="shared" si="3"/>
        <v>0</v>
      </c>
      <c r="L107" s="526"/>
      <c r="M107" s="527"/>
    </row>
    <row r="108" spans="1:13" s="483" customFormat="1" ht="18" hidden="1" customHeight="1" x14ac:dyDescent="0.25">
      <c r="A108" s="514"/>
      <c r="B108" s="515">
        <f t="shared" si="2"/>
        <v>0</v>
      </c>
      <c r="C108" s="524">
        <v>94</v>
      </c>
      <c r="D108" s="1076"/>
      <c r="E108" s="1076"/>
      <c r="F108" s="1076"/>
      <c r="G108" s="412"/>
      <c r="H108" s="412"/>
      <c r="I108" s="1113"/>
      <c r="J108" s="1113"/>
      <c r="K108" s="525">
        <f t="shared" si="3"/>
        <v>0</v>
      </c>
      <c r="L108" s="526"/>
      <c r="M108" s="527"/>
    </row>
    <row r="109" spans="1:13" s="483" customFormat="1" ht="18" hidden="1" customHeight="1" x14ac:dyDescent="0.25">
      <c r="A109" s="514"/>
      <c r="B109" s="515">
        <f t="shared" si="2"/>
        <v>0</v>
      </c>
      <c r="C109" s="524">
        <v>95</v>
      </c>
      <c r="D109" s="1076"/>
      <c r="E109" s="1076"/>
      <c r="F109" s="1076"/>
      <c r="G109" s="412"/>
      <c r="H109" s="412"/>
      <c r="I109" s="1113"/>
      <c r="J109" s="1113"/>
      <c r="K109" s="525">
        <f t="shared" si="3"/>
        <v>0</v>
      </c>
      <c r="L109" s="526"/>
      <c r="M109" s="527"/>
    </row>
    <row r="110" spans="1:13" s="483" customFormat="1" ht="18" hidden="1" customHeight="1" x14ac:dyDescent="0.25">
      <c r="A110" s="514"/>
      <c r="B110" s="515">
        <f t="shared" si="2"/>
        <v>0</v>
      </c>
      <c r="C110" s="524">
        <v>96</v>
      </c>
      <c r="D110" s="1076"/>
      <c r="E110" s="1076"/>
      <c r="F110" s="1076"/>
      <c r="G110" s="412"/>
      <c r="H110" s="412"/>
      <c r="I110" s="1113"/>
      <c r="J110" s="1113"/>
      <c r="K110" s="525">
        <f t="shared" si="3"/>
        <v>0</v>
      </c>
      <c r="L110" s="526"/>
      <c r="M110" s="527"/>
    </row>
    <row r="111" spans="1:13" s="483" customFormat="1" ht="18" hidden="1" customHeight="1" x14ac:dyDescent="0.25">
      <c r="A111" s="514"/>
      <c r="B111" s="515">
        <f t="shared" si="2"/>
        <v>0</v>
      </c>
      <c r="C111" s="524">
        <v>97</v>
      </c>
      <c r="D111" s="1076"/>
      <c r="E111" s="1076"/>
      <c r="F111" s="1076"/>
      <c r="G111" s="412"/>
      <c r="H111" s="412"/>
      <c r="I111" s="1113"/>
      <c r="J111" s="1113"/>
      <c r="K111" s="525">
        <f t="shared" si="3"/>
        <v>0</v>
      </c>
      <c r="L111" s="526"/>
      <c r="M111" s="527"/>
    </row>
    <row r="112" spans="1:13" s="483" customFormat="1" ht="18" hidden="1" customHeight="1" x14ac:dyDescent="0.25">
      <c r="A112" s="514"/>
      <c r="B112" s="515">
        <f t="shared" si="2"/>
        <v>0</v>
      </c>
      <c r="C112" s="524">
        <v>98</v>
      </c>
      <c r="D112" s="1076"/>
      <c r="E112" s="1076"/>
      <c r="F112" s="1076"/>
      <c r="G112" s="412"/>
      <c r="H112" s="412"/>
      <c r="I112" s="1113"/>
      <c r="J112" s="1113"/>
      <c r="K112" s="525">
        <f t="shared" si="3"/>
        <v>0</v>
      </c>
      <c r="L112" s="526"/>
      <c r="M112" s="527"/>
    </row>
    <row r="113" spans="1:13" s="483" customFormat="1" ht="18" hidden="1" customHeight="1" x14ac:dyDescent="0.25">
      <c r="A113" s="514"/>
      <c r="B113" s="515">
        <f t="shared" si="2"/>
        <v>0</v>
      </c>
      <c r="C113" s="524">
        <v>99</v>
      </c>
      <c r="D113" s="1076"/>
      <c r="E113" s="1076"/>
      <c r="F113" s="1076"/>
      <c r="G113" s="412"/>
      <c r="H113" s="412"/>
      <c r="I113" s="1113"/>
      <c r="J113" s="1113"/>
      <c r="K113" s="525">
        <f t="shared" si="3"/>
        <v>0</v>
      </c>
      <c r="L113" s="526"/>
      <c r="M113" s="527"/>
    </row>
    <row r="114" spans="1:13" s="483" customFormat="1" ht="18" hidden="1" customHeight="1" x14ac:dyDescent="0.25">
      <c r="A114" s="514"/>
      <c r="B114" s="515">
        <f t="shared" si="2"/>
        <v>0</v>
      </c>
      <c r="C114" s="524">
        <v>100</v>
      </c>
      <c r="D114" s="1076"/>
      <c r="E114" s="1076"/>
      <c r="F114" s="1076"/>
      <c r="G114" s="412"/>
      <c r="H114" s="412"/>
      <c r="I114" s="1113"/>
      <c r="J114" s="1113"/>
      <c r="K114" s="525">
        <f t="shared" si="3"/>
        <v>0</v>
      </c>
      <c r="L114" s="526"/>
      <c r="M114" s="527"/>
    </row>
    <row r="115" spans="1:13" s="483" customFormat="1" ht="18" hidden="1" customHeight="1" x14ac:dyDescent="0.25">
      <c r="A115" s="514"/>
      <c r="B115" s="515">
        <f t="shared" si="2"/>
        <v>0</v>
      </c>
      <c r="C115" s="524">
        <v>101</v>
      </c>
      <c r="D115" s="1076"/>
      <c r="E115" s="1076"/>
      <c r="F115" s="1076"/>
      <c r="G115" s="412"/>
      <c r="H115" s="412"/>
      <c r="I115" s="1113"/>
      <c r="J115" s="1113"/>
      <c r="K115" s="525">
        <f t="shared" si="3"/>
        <v>0</v>
      </c>
      <c r="L115" s="526"/>
      <c r="M115" s="527"/>
    </row>
    <row r="116" spans="1:13" s="483" customFormat="1" ht="18" hidden="1" customHeight="1" x14ac:dyDescent="0.25">
      <c r="A116" s="514"/>
      <c r="B116" s="515">
        <f t="shared" si="2"/>
        <v>0</v>
      </c>
      <c r="C116" s="524">
        <v>102</v>
      </c>
      <c r="D116" s="1076"/>
      <c r="E116" s="1076"/>
      <c r="F116" s="1076"/>
      <c r="G116" s="412"/>
      <c r="H116" s="412"/>
      <c r="I116" s="1113"/>
      <c r="J116" s="1113"/>
      <c r="K116" s="525">
        <f t="shared" si="3"/>
        <v>0</v>
      </c>
      <c r="L116" s="526"/>
      <c r="M116" s="527"/>
    </row>
    <row r="117" spans="1:13" s="483" customFormat="1" ht="18" hidden="1" customHeight="1" x14ac:dyDescent="0.25">
      <c r="A117" s="514"/>
      <c r="B117" s="515">
        <f t="shared" si="2"/>
        <v>0</v>
      </c>
      <c r="C117" s="524">
        <v>103</v>
      </c>
      <c r="D117" s="1076"/>
      <c r="E117" s="1076"/>
      <c r="F117" s="1076"/>
      <c r="G117" s="412"/>
      <c r="H117" s="412"/>
      <c r="I117" s="1113"/>
      <c r="J117" s="1113"/>
      <c r="K117" s="525">
        <f t="shared" si="3"/>
        <v>0</v>
      </c>
      <c r="L117" s="526"/>
      <c r="M117" s="527"/>
    </row>
    <row r="118" spans="1:13" s="483" customFormat="1" ht="18" hidden="1" customHeight="1" x14ac:dyDescent="0.25">
      <c r="A118" s="514"/>
      <c r="B118" s="515">
        <f t="shared" si="2"/>
        <v>0</v>
      </c>
      <c r="C118" s="524">
        <v>104</v>
      </c>
      <c r="D118" s="1076"/>
      <c r="E118" s="1076"/>
      <c r="F118" s="1076"/>
      <c r="G118" s="412"/>
      <c r="H118" s="412"/>
      <c r="I118" s="1113"/>
      <c r="J118" s="1113"/>
      <c r="K118" s="525">
        <f t="shared" si="3"/>
        <v>0</v>
      </c>
      <c r="L118" s="526"/>
      <c r="M118" s="527"/>
    </row>
    <row r="119" spans="1:13" s="483" customFormat="1" ht="18" hidden="1" customHeight="1" x14ac:dyDescent="0.25">
      <c r="A119" s="514"/>
      <c r="B119" s="515">
        <f t="shared" si="2"/>
        <v>0</v>
      </c>
      <c r="C119" s="524">
        <v>105</v>
      </c>
      <c r="D119" s="1076"/>
      <c r="E119" s="1076"/>
      <c r="F119" s="1076"/>
      <c r="G119" s="412"/>
      <c r="H119" s="412"/>
      <c r="I119" s="1113"/>
      <c r="J119" s="1113"/>
      <c r="K119" s="525">
        <f t="shared" si="3"/>
        <v>0</v>
      </c>
      <c r="L119" s="526"/>
      <c r="M119" s="527"/>
    </row>
    <row r="120" spans="1:13" s="483" customFormat="1" ht="18" hidden="1" customHeight="1" x14ac:dyDescent="0.25">
      <c r="A120" s="514"/>
      <c r="B120" s="515">
        <f t="shared" si="2"/>
        <v>0</v>
      </c>
      <c r="C120" s="524">
        <v>106</v>
      </c>
      <c r="D120" s="1076"/>
      <c r="E120" s="1076"/>
      <c r="F120" s="1076"/>
      <c r="G120" s="412"/>
      <c r="H120" s="412"/>
      <c r="I120" s="1113"/>
      <c r="J120" s="1113"/>
      <c r="K120" s="525">
        <f t="shared" si="3"/>
        <v>0</v>
      </c>
      <c r="L120" s="526"/>
      <c r="M120" s="527"/>
    </row>
    <row r="121" spans="1:13" s="483" customFormat="1" ht="18" hidden="1" customHeight="1" x14ac:dyDescent="0.25">
      <c r="A121" s="514"/>
      <c r="B121" s="515">
        <f t="shared" si="2"/>
        <v>0</v>
      </c>
      <c r="C121" s="524">
        <v>107</v>
      </c>
      <c r="D121" s="1076"/>
      <c r="E121" s="1076"/>
      <c r="F121" s="1076"/>
      <c r="G121" s="412"/>
      <c r="H121" s="412"/>
      <c r="I121" s="1113"/>
      <c r="J121" s="1113"/>
      <c r="K121" s="525">
        <f t="shared" si="3"/>
        <v>0</v>
      </c>
      <c r="L121" s="526"/>
      <c r="M121" s="527"/>
    </row>
    <row r="122" spans="1:13" s="483" customFormat="1" ht="18" hidden="1" customHeight="1" x14ac:dyDescent="0.25">
      <c r="A122" s="514"/>
      <c r="B122" s="515">
        <f t="shared" si="2"/>
        <v>0</v>
      </c>
      <c r="C122" s="524">
        <v>108</v>
      </c>
      <c r="D122" s="1076"/>
      <c r="E122" s="1076"/>
      <c r="F122" s="1076"/>
      <c r="G122" s="412"/>
      <c r="H122" s="412"/>
      <c r="I122" s="1113"/>
      <c r="J122" s="1113"/>
      <c r="K122" s="525">
        <f t="shared" si="3"/>
        <v>0</v>
      </c>
      <c r="L122" s="526"/>
      <c r="M122" s="527"/>
    </row>
    <row r="123" spans="1:13" s="483" customFormat="1" ht="18" hidden="1" customHeight="1" x14ac:dyDescent="0.25">
      <c r="A123" s="514"/>
      <c r="B123" s="515">
        <f t="shared" si="2"/>
        <v>0</v>
      </c>
      <c r="C123" s="524">
        <v>109</v>
      </c>
      <c r="D123" s="1076"/>
      <c r="E123" s="1076"/>
      <c r="F123" s="1076"/>
      <c r="G123" s="412"/>
      <c r="H123" s="412"/>
      <c r="I123" s="1113"/>
      <c r="J123" s="1113"/>
      <c r="K123" s="525">
        <f t="shared" si="3"/>
        <v>0</v>
      </c>
      <c r="L123" s="526"/>
      <c r="M123" s="527"/>
    </row>
    <row r="124" spans="1:13" s="483" customFormat="1" ht="18" hidden="1" customHeight="1" x14ac:dyDescent="0.25">
      <c r="A124" s="514"/>
      <c r="B124" s="515">
        <f t="shared" si="2"/>
        <v>0</v>
      </c>
      <c r="C124" s="524">
        <v>110</v>
      </c>
      <c r="D124" s="1076"/>
      <c r="E124" s="1076"/>
      <c r="F124" s="1076"/>
      <c r="G124" s="412"/>
      <c r="H124" s="412"/>
      <c r="I124" s="1113"/>
      <c r="J124" s="1113"/>
      <c r="K124" s="525">
        <f t="shared" si="3"/>
        <v>0</v>
      </c>
      <c r="L124" s="526"/>
      <c r="M124" s="527"/>
    </row>
    <row r="125" spans="1:13" s="483" customFormat="1" ht="18" hidden="1" customHeight="1" x14ac:dyDescent="0.25">
      <c r="A125" s="514"/>
      <c r="B125" s="515">
        <f t="shared" si="2"/>
        <v>0</v>
      </c>
      <c r="C125" s="524">
        <v>111</v>
      </c>
      <c r="D125" s="1076"/>
      <c r="E125" s="1076"/>
      <c r="F125" s="1076"/>
      <c r="G125" s="412"/>
      <c r="H125" s="412"/>
      <c r="I125" s="1113"/>
      <c r="J125" s="1113"/>
      <c r="K125" s="525">
        <f t="shared" si="3"/>
        <v>0</v>
      </c>
      <c r="L125" s="526"/>
      <c r="M125" s="527"/>
    </row>
    <row r="126" spans="1:13" s="483" customFormat="1" ht="18" hidden="1" customHeight="1" x14ac:dyDescent="0.25">
      <c r="A126" s="514"/>
      <c r="B126" s="515">
        <f t="shared" si="2"/>
        <v>0</v>
      </c>
      <c r="C126" s="524">
        <v>112</v>
      </c>
      <c r="D126" s="1076"/>
      <c r="E126" s="1076"/>
      <c r="F126" s="1076"/>
      <c r="G126" s="412"/>
      <c r="H126" s="412"/>
      <c r="I126" s="1113"/>
      <c r="J126" s="1113"/>
      <c r="K126" s="525">
        <f t="shared" si="3"/>
        <v>0</v>
      </c>
      <c r="L126" s="526"/>
      <c r="M126" s="527"/>
    </row>
    <row r="127" spans="1:13" s="483" customFormat="1" ht="18" hidden="1" customHeight="1" x14ac:dyDescent="0.25">
      <c r="A127" s="514"/>
      <c r="B127" s="515">
        <f t="shared" si="2"/>
        <v>0</v>
      </c>
      <c r="C127" s="524">
        <v>113</v>
      </c>
      <c r="D127" s="1076"/>
      <c r="E127" s="1076"/>
      <c r="F127" s="1076"/>
      <c r="G127" s="412"/>
      <c r="H127" s="412"/>
      <c r="I127" s="1113"/>
      <c r="J127" s="1113"/>
      <c r="K127" s="525">
        <f t="shared" si="3"/>
        <v>0</v>
      </c>
      <c r="L127" s="526"/>
      <c r="M127" s="527"/>
    </row>
    <row r="128" spans="1:13" s="483" customFormat="1" ht="18" hidden="1" customHeight="1" x14ac:dyDescent="0.25">
      <c r="A128" s="514"/>
      <c r="B128" s="515">
        <f t="shared" si="2"/>
        <v>0</v>
      </c>
      <c r="C128" s="524">
        <v>114</v>
      </c>
      <c r="D128" s="1076"/>
      <c r="E128" s="1076"/>
      <c r="F128" s="1076"/>
      <c r="G128" s="412"/>
      <c r="H128" s="412"/>
      <c r="I128" s="1113"/>
      <c r="J128" s="1113"/>
      <c r="K128" s="525">
        <f t="shared" si="3"/>
        <v>0</v>
      </c>
      <c r="L128" s="526"/>
      <c r="M128" s="527"/>
    </row>
    <row r="129" spans="1:13" s="483" customFormat="1" ht="18" hidden="1" customHeight="1" x14ac:dyDescent="0.25">
      <c r="A129" s="514"/>
      <c r="B129" s="515">
        <f t="shared" si="2"/>
        <v>0</v>
      </c>
      <c r="C129" s="524">
        <v>115</v>
      </c>
      <c r="D129" s="1076"/>
      <c r="E129" s="1076"/>
      <c r="F129" s="1076"/>
      <c r="G129" s="412"/>
      <c r="H129" s="412"/>
      <c r="I129" s="1113"/>
      <c r="J129" s="1113"/>
      <c r="K129" s="525">
        <f t="shared" si="3"/>
        <v>0</v>
      </c>
      <c r="L129" s="526"/>
      <c r="M129" s="527"/>
    </row>
    <row r="130" spans="1:13" s="483" customFormat="1" ht="18" hidden="1" customHeight="1" x14ac:dyDescent="0.25">
      <c r="A130" s="514"/>
      <c r="B130" s="515">
        <f t="shared" si="2"/>
        <v>0</v>
      </c>
      <c r="C130" s="524">
        <v>116</v>
      </c>
      <c r="D130" s="1076"/>
      <c r="E130" s="1076"/>
      <c r="F130" s="1076"/>
      <c r="G130" s="412"/>
      <c r="H130" s="412"/>
      <c r="I130" s="1113"/>
      <c r="J130" s="1113"/>
      <c r="K130" s="525">
        <f t="shared" si="3"/>
        <v>0</v>
      </c>
      <c r="L130" s="526"/>
      <c r="M130" s="527"/>
    </row>
    <row r="131" spans="1:13" s="483" customFormat="1" ht="18" hidden="1" customHeight="1" x14ac:dyDescent="0.25">
      <c r="A131" s="514"/>
      <c r="B131" s="515">
        <f t="shared" si="2"/>
        <v>0</v>
      </c>
      <c r="C131" s="524">
        <v>117</v>
      </c>
      <c r="D131" s="1076"/>
      <c r="E131" s="1076"/>
      <c r="F131" s="1076"/>
      <c r="G131" s="412"/>
      <c r="H131" s="412"/>
      <c r="I131" s="1113"/>
      <c r="J131" s="1113"/>
      <c r="K131" s="525">
        <f t="shared" si="3"/>
        <v>0</v>
      </c>
      <c r="L131" s="526"/>
      <c r="M131" s="527"/>
    </row>
    <row r="132" spans="1:13" s="483" customFormat="1" ht="18" hidden="1" customHeight="1" x14ac:dyDescent="0.25">
      <c r="A132" s="514"/>
      <c r="B132" s="515">
        <f t="shared" si="2"/>
        <v>0</v>
      </c>
      <c r="C132" s="524">
        <v>118</v>
      </c>
      <c r="D132" s="1076"/>
      <c r="E132" s="1076"/>
      <c r="F132" s="1076"/>
      <c r="G132" s="412"/>
      <c r="H132" s="412"/>
      <c r="I132" s="1113"/>
      <c r="J132" s="1113"/>
      <c r="K132" s="525">
        <f t="shared" si="3"/>
        <v>0</v>
      </c>
      <c r="L132" s="526"/>
      <c r="M132" s="527"/>
    </row>
    <row r="133" spans="1:13" s="483" customFormat="1" ht="18" hidden="1" customHeight="1" x14ac:dyDescent="0.25">
      <c r="A133" s="514"/>
      <c r="B133" s="515">
        <f t="shared" si="2"/>
        <v>0</v>
      </c>
      <c r="C133" s="524">
        <v>119</v>
      </c>
      <c r="D133" s="1076"/>
      <c r="E133" s="1076"/>
      <c r="F133" s="1076"/>
      <c r="G133" s="412"/>
      <c r="H133" s="412"/>
      <c r="I133" s="1113"/>
      <c r="J133" s="1113"/>
      <c r="K133" s="525">
        <f t="shared" si="3"/>
        <v>0</v>
      </c>
      <c r="L133" s="526"/>
      <c r="M133" s="527"/>
    </row>
    <row r="134" spans="1:13" s="483" customFormat="1" ht="18" hidden="1" customHeight="1" x14ac:dyDescent="0.25">
      <c r="A134" s="514"/>
      <c r="B134" s="515">
        <f t="shared" si="2"/>
        <v>0</v>
      </c>
      <c r="C134" s="524">
        <v>120</v>
      </c>
      <c r="D134" s="1076"/>
      <c r="E134" s="1076"/>
      <c r="F134" s="1076"/>
      <c r="G134" s="412"/>
      <c r="H134" s="412"/>
      <c r="I134" s="1113"/>
      <c r="J134" s="1113"/>
      <c r="K134" s="525">
        <f t="shared" si="3"/>
        <v>0</v>
      </c>
      <c r="L134" s="526"/>
      <c r="M134" s="527"/>
    </row>
    <row r="135" spans="1:13" s="483" customFormat="1" ht="18" hidden="1" customHeight="1" x14ac:dyDescent="0.25">
      <c r="A135" s="514"/>
      <c r="B135" s="515">
        <f t="shared" si="2"/>
        <v>0</v>
      </c>
      <c r="C135" s="524">
        <v>121</v>
      </c>
      <c r="D135" s="1076"/>
      <c r="E135" s="1076"/>
      <c r="F135" s="1076"/>
      <c r="G135" s="412"/>
      <c r="H135" s="412"/>
      <c r="I135" s="1113"/>
      <c r="J135" s="1113"/>
      <c r="K135" s="525">
        <f t="shared" si="3"/>
        <v>0</v>
      </c>
      <c r="L135" s="526"/>
      <c r="M135" s="527"/>
    </row>
    <row r="136" spans="1:13" s="483" customFormat="1" ht="18" hidden="1" customHeight="1" x14ac:dyDescent="0.25">
      <c r="A136" s="514"/>
      <c r="B136" s="515">
        <f t="shared" si="2"/>
        <v>0</v>
      </c>
      <c r="C136" s="524">
        <v>122</v>
      </c>
      <c r="D136" s="1076"/>
      <c r="E136" s="1076"/>
      <c r="F136" s="1076"/>
      <c r="G136" s="412"/>
      <c r="H136" s="412"/>
      <c r="I136" s="1113"/>
      <c r="J136" s="1113"/>
      <c r="K136" s="525">
        <f t="shared" si="3"/>
        <v>0</v>
      </c>
      <c r="L136" s="526"/>
      <c r="M136" s="527"/>
    </row>
    <row r="137" spans="1:13" s="483" customFormat="1" ht="18" hidden="1" customHeight="1" x14ac:dyDescent="0.25">
      <c r="A137" s="514"/>
      <c r="B137" s="515">
        <f t="shared" si="2"/>
        <v>0</v>
      </c>
      <c r="C137" s="524">
        <v>123</v>
      </c>
      <c r="D137" s="1076"/>
      <c r="E137" s="1076"/>
      <c r="F137" s="1076"/>
      <c r="G137" s="412"/>
      <c r="H137" s="412"/>
      <c r="I137" s="1113"/>
      <c r="J137" s="1113"/>
      <c r="K137" s="525">
        <f t="shared" si="3"/>
        <v>0</v>
      </c>
      <c r="L137" s="526"/>
      <c r="M137" s="527"/>
    </row>
    <row r="138" spans="1:13" s="483" customFormat="1" ht="18" hidden="1" customHeight="1" x14ac:dyDescent="0.25">
      <c r="A138" s="514"/>
      <c r="B138" s="515">
        <f t="shared" si="2"/>
        <v>0</v>
      </c>
      <c r="C138" s="524">
        <v>124</v>
      </c>
      <c r="D138" s="1076"/>
      <c r="E138" s="1076"/>
      <c r="F138" s="1076"/>
      <c r="G138" s="412"/>
      <c r="H138" s="412"/>
      <c r="I138" s="1113"/>
      <c r="J138" s="1113"/>
      <c r="K138" s="525">
        <f t="shared" si="3"/>
        <v>0</v>
      </c>
      <c r="L138" s="526"/>
      <c r="M138" s="527"/>
    </row>
    <row r="139" spans="1:13" s="483" customFormat="1" ht="18" hidden="1" customHeight="1" x14ac:dyDescent="0.25">
      <c r="A139" s="514"/>
      <c r="B139" s="515">
        <f t="shared" si="2"/>
        <v>0</v>
      </c>
      <c r="C139" s="524">
        <v>125</v>
      </c>
      <c r="D139" s="1076"/>
      <c r="E139" s="1076"/>
      <c r="F139" s="1076"/>
      <c r="G139" s="412"/>
      <c r="H139" s="412"/>
      <c r="I139" s="1113"/>
      <c r="J139" s="1113"/>
      <c r="K139" s="525">
        <f t="shared" si="3"/>
        <v>0</v>
      </c>
      <c r="L139" s="526"/>
      <c r="M139" s="527"/>
    </row>
    <row r="140" spans="1:13" s="483" customFormat="1" ht="18" hidden="1" customHeight="1" x14ac:dyDescent="0.25">
      <c r="A140" s="514"/>
      <c r="B140" s="515">
        <f t="shared" si="2"/>
        <v>0</v>
      </c>
      <c r="C140" s="524">
        <v>126</v>
      </c>
      <c r="D140" s="1076"/>
      <c r="E140" s="1076"/>
      <c r="F140" s="1076"/>
      <c r="G140" s="412"/>
      <c r="H140" s="412"/>
      <c r="I140" s="1113"/>
      <c r="J140" s="1113"/>
      <c r="K140" s="525">
        <f t="shared" si="3"/>
        <v>0</v>
      </c>
      <c r="L140" s="526"/>
      <c r="M140" s="527"/>
    </row>
    <row r="141" spans="1:13" s="483" customFormat="1" ht="18" hidden="1" customHeight="1" x14ac:dyDescent="0.25">
      <c r="A141" s="514"/>
      <c r="B141" s="515">
        <f t="shared" si="2"/>
        <v>0</v>
      </c>
      <c r="C141" s="524">
        <v>127</v>
      </c>
      <c r="D141" s="1076"/>
      <c r="E141" s="1076"/>
      <c r="F141" s="1076"/>
      <c r="G141" s="412"/>
      <c r="H141" s="412"/>
      <c r="I141" s="1113"/>
      <c r="J141" s="1113"/>
      <c r="K141" s="525">
        <f t="shared" si="3"/>
        <v>0</v>
      </c>
      <c r="L141" s="526"/>
      <c r="M141" s="527"/>
    </row>
    <row r="142" spans="1:13" s="483" customFormat="1" ht="18" hidden="1" customHeight="1" x14ac:dyDescent="0.25">
      <c r="A142" s="514"/>
      <c r="B142" s="515">
        <f t="shared" si="2"/>
        <v>0</v>
      </c>
      <c r="C142" s="524">
        <v>128</v>
      </c>
      <c r="D142" s="1076"/>
      <c r="E142" s="1076"/>
      <c r="F142" s="1076"/>
      <c r="G142" s="412"/>
      <c r="H142" s="412"/>
      <c r="I142" s="1113"/>
      <c r="J142" s="1113"/>
      <c r="K142" s="525">
        <f t="shared" si="3"/>
        <v>0</v>
      </c>
      <c r="L142" s="526"/>
      <c r="M142" s="527"/>
    </row>
    <row r="143" spans="1:13" s="483" customFormat="1" ht="18" hidden="1" customHeight="1" x14ac:dyDescent="0.25">
      <c r="A143" s="514"/>
      <c r="B143" s="515">
        <f t="shared" ref="B143:B206" si="4">IFERROR(K143/$K$265,0)</f>
        <v>0</v>
      </c>
      <c r="C143" s="524">
        <v>129</v>
      </c>
      <c r="D143" s="1076"/>
      <c r="E143" s="1076"/>
      <c r="F143" s="1076"/>
      <c r="G143" s="412"/>
      <c r="H143" s="412"/>
      <c r="I143" s="1113"/>
      <c r="J143" s="1113"/>
      <c r="K143" s="525">
        <f t="shared" ref="K143:K206" si="5">H143*I143</f>
        <v>0</v>
      </c>
      <c r="L143" s="526"/>
      <c r="M143" s="527"/>
    </row>
    <row r="144" spans="1:13" s="483" customFormat="1" ht="18" hidden="1" customHeight="1" x14ac:dyDescent="0.25">
      <c r="A144" s="514"/>
      <c r="B144" s="515">
        <f t="shared" si="4"/>
        <v>0</v>
      </c>
      <c r="C144" s="524">
        <v>130</v>
      </c>
      <c r="D144" s="1076"/>
      <c r="E144" s="1076"/>
      <c r="F144" s="1076"/>
      <c r="G144" s="412"/>
      <c r="H144" s="412"/>
      <c r="I144" s="1113"/>
      <c r="J144" s="1113"/>
      <c r="K144" s="525">
        <f t="shared" si="5"/>
        <v>0</v>
      </c>
      <c r="L144" s="526"/>
      <c r="M144" s="527"/>
    </row>
    <row r="145" spans="1:13" s="483" customFormat="1" ht="18" hidden="1" customHeight="1" x14ac:dyDescent="0.25">
      <c r="A145" s="514"/>
      <c r="B145" s="515">
        <f t="shared" si="4"/>
        <v>0</v>
      </c>
      <c r="C145" s="524">
        <v>131</v>
      </c>
      <c r="D145" s="1076"/>
      <c r="E145" s="1076"/>
      <c r="F145" s="1076"/>
      <c r="G145" s="412"/>
      <c r="H145" s="412"/>
      <c r="I145" s="1113"/>
      <c r="J145" s="1113"/>
      <c r="K145" s="525">
        <f t="shared" si="5"/>
        <v>0</v>
      </c>
      <c r="L145" s="526"/>
      <c r="M145" s="527"/>
    </row>
    <row r="146" spans="1:13" s="483" customFormat="1" ht="18" hidden="1" customHeight="1" x14ac:dyDescent="0.25">
      <c r="A146" s="514"/>
      <c r="B146" s="515">
        <f t="shared" si="4"/>
        <v>0</v>
      </c>
      <c r="C146" s="524">
        <v>132</v>
      </c>
      <c r="D146" s="1076"/>
      <c r="E146" s="1076"/>
      <c r="F146" s="1076"/>
      <c r="G146" s="412"/>
      <c r="H146" s="412"/>
      <c r="I146" s="1113"/>
      <c r="J146" s="1113"/>
      <c r="K146" s="525">
        <f t="shared" si="5"/>
        <v>0</v>
      </c>
      <c r="L146" s="526"/>
      <c r="M146" s="527"/>
    </row>
    <row r="147" spans="1:13" s="483" customFormat="1" ht="18" hidden="1" customHeight="1" x14ac:dyDescent="0.25">
      <c r="A147" s="514"/>
      <c r="B147" s="515">
        <f t="shared" si="4"/>
        <v>0</v>
      </c>
      <c r="C147" s="524">
        <v>133</v>
      </c>
      <c r="D147" s="1076"/>
      <c r="E147" s="1076"/>
      <c r="F147" s="1076"/>
      <c r="G147" s="412"/>
      <c r="H147" s="412"/>
      <c r="I147" s="1113"/>
      <c r="J147" s="1113"/>
      <c r="K147" s="525">
        <f t="shared" si="5"/>
        <v>0</v>
      </c>
      <c r="L147" s="526"/>
      <c r="M147" s="527"/>
    </row>
    <row r="148" spans="1:13" s="483" customFormat="1" ht="18" hidden="1" customHeight="1" x14ac:dyDescent="0.25">
      <c r="A148" s="514"/>
      <c r="B148" s="515">
        <f t="shared" si="4"/>
        <v>0</v>
      </c>
      <c r="C148" s="524">
        <v>134</v>
      </c>
      <c r="D148" s="1076"/>
      <c r="E148" s="1076"/>
      <c r="F148" s="1076"/>
      <c r="G148" s="412"/>
      <c r="H148" s="412"/>
      <c r="I148" s="1113"/>
      <c r="J148" s="1113"/>
      <c r="K148" s="525">
        <f t="shared" si="5"/>
        <v>0</v>
      </c>
      <c r="L148" s="526"/>
      <c r="M148" s="527"/>
    </row>
    <row r="149" spans="1:13" s="483" customFormat="1" ht="18" hidden="1" customHeight="1" x14ac:dyDescent="0.25">
      <c r="A149" s="514"/>
      <c r="B149" s="515">
        <f t="shared" si="4"/>
        <v>0</v>
      </c>
      <c r="C149" s="524">
        <v>135</v>
      </c>
      <c r="D149" s="1076"/>
      <c r="E149" s="1076"/>
      <c r="F149" s="1076"/>
      <c r="G149" s="412"/>
      <c r="H149" s="412"/>
      <c r="I149" s="1113"/>
      <c r="J149" s="1113"/>
      <c r="K149" s="525">
        <f t="shared" si="5"/>
        <v>0</v>
      </c>
      <c r="L149" s="526"/>
      <c r="M149" s="527"/>
    </row>
    <row r="150" spans="1:13" s="483" customFormat="1" ht="18" hidden="1" customHeight="1" x14ac:dyDescent="0.25">
      <c r="A150" s="514"/>
      <c r="B150" s="515">
        <f t="shared" si="4"/>
        <v>0</v>
      </c>
      <c r="C150" s="524">
        <v>136</v>
      </c>
      <c r="D150" s="1076"/>
      <c r="E150" s="1076"/>
      <c r="F150" s="1076"/>
      <c r="G150" s="412"/>
      <c r="H150" s="412"/>
      <c r="I150" s="1113"/>
      <c r="J150" s="1113"/>
      <c r="K150" s="525">
        <f t="shared" si="5"/>
        <v>0</v>
      </c>
      <c r="L150" s="526"/>
      <c r="M150" s="527"/>
    </row>
    <row r="151" spans="1:13" s="483" customFormat="1" ht="18" hidden="1" customHeight="1" x14ac:dyDescent="0.25">
      <c r="A151" s="514"/>
      <c r="B151" s="515">
        <f t="shared" si="4"/>
        <v>0</v>
      </c>
      <c r="C151" s="524">
        <v>137</v>
      </c>
      <c r="D151" s="1076"/>
      <c r="E151" s="1076"/>
      <c r="F151" s="1076"/>
      <c r="G151" s="412"/>
      <c r="H151" s="412"/>
      <c r="I151" s="1113"/>
      <c r="J151" s="1113"/>
      <c r="K151" s="525">
        <f t="shared" si="5"/>
        <v>0</v>
      </c>
      <c r="L151" s="526"/>
      <c r="M151" s="527"/>
    </row>
    <row r="152" spans="1:13" s="483" customFormat="1" ht="18" hidden="1" customHeight="1" x14ac:dyDescent="0.25">
      <c r="A152" s="514"/>
      <c r="B152" s="515">
        <f t="shared" si="4"/>
        <v>0</v>
      </c>
      <c r="C152" s="524">
        <v>138</v>
      </c>
      <c r="D152" s="1076"/>
      <c r="E152" s="1076"/>
      <c r="F152" s="1076"/>
      <c r="G152" s="412"/>
      <c r="H152" s="412"/>
      <c r="I152" s="1113"/>
      <c r="J152" s="1113"/>
      <c r="K152" s="525">
        <f t="shared" si="5"/>
        <v>0</v>
      </c>
      <c r="L152" s="526"/>
      <c r="M152" s="527"/>
    </row>
    <row r="153" spans="1:13" s="483" customFormat="1" ht="18" hidden="1" customHeight="1" x14ac:dyDescent="0.25">
      <c r="A153" s="514"/>
      <c r="B153" s="515">
        <f t="shared" si="4"/>
        <v>0</v>
      </c>
      <c r="C153" s="524">
        <v>139</v>
      </c>
      <c r="D153" s="1076"/>
      <c r="E153" s="1076"/>
      <c r="F153" s="1076"/>
      <c r="G153" s="412"/>
      <c r="H153" s="412"/>
      <c r="I153" s="1113"/>
      <c r="J153" s="1113"/>
      <c r="K153" s="525">
        <f t="shared" si="5"/>
        <v>0</v>
      </c>
      <c r="L153" s="526"/>
      <c r="M153" s="527"/>
    </row>
    <row r="154" spans="1:13" s="483" customFormat="1" ht="18" hidden="1" customHeight="1" x14ac:dyDescent="0.25">
      <c r="A154" s="514"/>
      <c r="B154" s="515">
        <f t="shared" si="4"/>
        <v>0</v>
      </c>
      <c r="C154" s="524">
        <v>140</v>
      </c>
      <c r="D154" s="1076"/>
      <c r="E154" s="1076"/>
      <c r="F154" s="1076"/>
      <c r="G154" s="412"/>
      <c r="H154" s="412"/>
      <c r="I154" s="1113"/>
      <c r="J154" s="1113"/>
      <c r="K154" s="525">
        <f t="shared" si="5"/>
        <v>0</v>
      </c>
      <c r="L154" s="526"/>
      <c r="M154" s="527"/>
    </row>
    <row r="155" spans="1:13" s="483" customFormat="1" ht="18" hidden="1" customHeight="1" x14ac:dyDescent="0.25">
      <c r="A155" s="514"/>
      <c r="B155" s="515">
        <f t="shared" si="4"/>
        <v>0</v>
      </c>
      <c r="C155" s="524">
        <v>141</v>
      </c>
      <c r="D155" s="1076"/>
      <c r="E155" s="1076"/>
      <c r="F155" s="1076"/>
      <c r="G155" s="412"/>
      <c r="H155" s="412"/>
      <c r="I155" s="1113"/>
      <c r="J155" s="1113"/>
      <c r="K155" s="525">
        <f t="shared" si="5"/>
        <v>0</v>
      </c>
      <c r="L155" s="526"/>
      <c r="M155" s="527"/>
    </row>
    <row r="156" spans="1:13" s="483" customFormat="1" ht="18" hidden="1" customHeight="1" x14ac:dyDescent="0.25">
      <c r="A156" s="514"/>
      <c r="B156" s="515">
        <f t="shared" si="4"/>
        <v>0</v>
      </c>
      <c r="C156" s="524">
        <v>142</v>
      </c>
      <c r="D156" s="1076"/>
      <c r="E156" s="1076"/>
      <c r="F156" s="1076"/>
      <c r="G156" s="412"/>
      <c r="H156" s="412"/>
      <c r="I156" s="1113"/>
      <c r="J156" s="1113"/>
      <c r="K156" s="525">
        <f t="shared" si="5"/>
        <v>0</v>
      </c>
      <c r="L156" s="526"/>
      <c r="M156" s="527"/>
    </row>
    <row r="157" spans="1:13" s="483" customFormat="1" ht="18" hidden="1" customHeight="1" x14ac:dyDescent="0.25">
      <c r="A157" s="514"/>
      <c r="B157" s="515">
        <f t="shared" si="4"/>
        <v>0</v>
      </c>
      <c r="C157" s="524">
        <v>143</v>
      </c>
      <c r="D157" s="1076"/>
      <c r="E157" s="1076"/>
      <c r="F157" s="1076"/>
      <c r="G157" s="412"/>
      <c r="H157" s="412"/>
      <c r="I157" s="1113"/>
      <c r="J157" s="1113"/>
      <c r="K157" s="525">
        <f t="shared" si="5"/>
        <v>0</v>
      </c>
      <c r="L157" s="526"/>
      <c r="M157" s="527"/>
    </row>
    <row r="158" spans="1:13" s="483" customFormat="1" ht="18" hidden="1" customHeight="1" x14ac:dyDescent="0.25">
      <c r="A158" s="514"/>
      <c r="B158" s="515">
        <f t="shared" si="4"/>
        <v>0</v>
      </c>
      <c r="C158" s="524">
        <v>144</v>
      </c>
      <c r="D158" s="1076"/>
      <c r="E158" s="1076"/>
      <c r="F158" s="1076"/>
      <c r="G158" s="412"/>
      <c r="H158" s="412"/>
      <c r="I158" s="1113"/>
      <c r="J158" s="1113"/>
      <c r="K158" s="525">
        <f t="shared" si="5"/>
        <v>0</v>
      </c>
      <c r="L158" s="526"/>
      <c r="M158" s="527"/>
    </row>
    <row r="159" spans="1:13" s="483" customFormat="1" ht="18" hidden="1" customHeight="1" x14ac:dyDescent="0.25">
      <c r="A159" s="514"/>
      <c r="B159" s="515">
        <f t="shared" si="4"/>
        <v>0</v>
      </c>
      <c r="C159" s="524">
        <v>145</v>
      </c>
      <c r="D159" s="1076"/>
      <c r="E159" s="1076"/>
      <c r="F159" s="1076"/>
      <c r="G159" s="412"/>
      <c r="H159" s="412"/>
      <c r="I159" s="1113"/>
      <c r="J159" s="1113"/>
      <c r="K159" s="525">
        <f t="shared" si="5"/>
        <v>0</v>
      </c>
      <c r="L159" s="526"/>
      <c r="M159" s="527"/>
    </row>
    <row r="160" spans="1:13" s="483" customFormat="1" ht="18" hidden="1" customHeight="1" x14ac:dyDescent="0.25">
      <c r="A160" s="514"/>
      <c r="B160" s="515">
        <f t="shared" si="4"/>
        <v>0</v>
      </c>
      <c r="C160" s="524">
        <v>146</v>
      </c>
      <c r="D160" s="1076"/>
      <c r="E160" s="1076"/>
      <c r="F160" s="1076"/>
      <c r="G160" s="412"/>
      <c r="H160" s="412"/>
      <c r="I160" s="1113"/>
      <c r="J160" s="1113"/>
      <c r="K160" s="525">
        <f t="shared" si="5"/>
        <v>0</v>
      </c>
      <c r="L160" s="526"/>
      <c r="M160" s="527"/>
    </row>
    <row r="161" spans="1:13" s="483" customFormat="1" ht="18" hidden="1" customHeight="1" x14ac:dyDescent="0.25">
      <c r="A161" s="514"/>
      <c r="B161" s="515">
        <f t="shared" si="4"/>
        <v>0</v>
      </c>
      <c r="C161" s="524">
        <v>147</v>
      </c>
      <c r="D161" s="1076"/>
      <c r="E161" s="1076"/>
      <c r="F161" s="1076"/>
      <c r="G161" s="412"/>
      <c r="H161" s="412"/>
      <c r="I161" s="1113"/>
      <c r="J161" s="1113"/>
      <c r="K161" s="525">
        <f t="shared" si="5"/>
        <v>0</v>
      </c>
      <c r="L161" s="526"/>
      <c r="M161" s="527"/>
    </row>
    <row r="162" spans="1:13" s="483" customFormat="1" ht="18" hidden="1" customHeight="1" x14ac:dyDescent="0.25">
      <c r="A162" s="514"/>
      <c r="B162" s="515">
        <f t="shared" si="4"/>
        <v>0</v>
      </c>
      <c r="C162" s="524">
        <v>148</v>
      </c>
      <c r="D162" s="1076"/>
      <c r="E162" s="1076"/>
      <c r="F162" s="1076"/>
      <c r="G162" s="412"/>
      <c r="H162" s="412"/>
      <c r="I162" s="1113"/>
      <c r="J162" s="1113"/>
      <c r="K162" s="525">
        <f t="shared" si="5"/>
        <v>0</v>
      </c>
      <c r="L162" s="526"/>
      <c r="M162" s="527"/>
    </row>
    <row r="163" spans="1:13" s="483" customFormat="1" ht="18" hidden="1" customHeight="1" x14ac:dyDescent="0.25">
      <c r="A163" s="514"/>
      <c r="B163" s="515">
        <f t="shared" si="4"/>
        <v>0</v>
      </c>
      <c r="C163" s="524">
        <v>149</v>
      </c>
      <c r="D163" s="1076"/>
      <c r="E163" s="1076"/>
      <c r="F163" s="1076"/>
      <c r="G163" s="412"/>
      <c r="H163" s="412"/>
      <c r="I163" s="1113"/>
      <c r="J163" s="1113"/>
      <c r="K163" s="525">
        <f t="shared" si="5"/>
        <v>0</v>
      </c>
      <c r="L163" s="526"/>
      <c r="M163" s="527"/>
    </row>
    <row r="164" spans="1:13" s="483" customFormat="1" ht="18" hidden="1" customHeight="1" x14ac:dyDescent="0.25">
      <c r="A164" s="514"/>
      <c r="B164" s="515">
        <f t="shared" si="4"/>
        <v>0</v>
      </c>
      <c r="C164" s="524">
        <v>150</v>
      </c>
      <c r="D164" s="1076"/>
      <c r="E164" s="1076"/>
      <c r="F164" s="1076"/>
      <c r="G164" s="412"/>
      <c r="H164" s="412"/>
      <c r="I164" s="1113"/>
      <c r="J164" s="1113"/>
      <c r="K164" s="525">
        <f t="shared" si="5"/>
        <v>0</v>
      </c>
      <c r="L164" s="526"/>
      <c r="M164" s="527"/>
    </row>
    <row r="165" spans="1:13" s="483" customFormat="1" ht="18" hidden="1" customHeight="1" x14ac:dyDescent="0.25">
      <c r="A165" s="514"/>
      <c r="B165" s="515">
        <f t="shared" si="4"/>
        <v>0</v>
      </c>
      <c r="C165" s="524">
        <v>151</v>
      </c>
      <c r="D165" s="1076"/>
      <c r="E165" s="1076"/>
      <c r="F165" s="1076"/>
      <c r="G165" s="412"/>
      <c r="H165" s="412"/>
      <c r="I165" s="1113"/>
      <c r="J165" s="1113"/>
      <c r="K165" s="525">
        <f t="shared" si="5"/>
        <v>0</v>
      </c>
      <c r="L165" s="526"/>
      <c r="M165" s="527"/>
    </row>
    <row r="166" spans="1:13" s="483" customFormat="1" ht="18" hidden="1" customHeight="1" x14ac:dyDescent="0.25">
      <c r="A166" s="514"/>
      <c r="B166" s="515">
        <f t="shared" si="4"/>
        <v>0</v>
      </c>
      <c r="C166" s="524">
        <v>152</v>
      </c>
      <c r="D166" s="1076"/>
      <c r="E166" s="1076"/>
      <c r="F166" s="1076"/>
      <c r="G166" s="412"/>
      <c r="H166" s="412"/>
      <c r="I166" s="1113"/>
      <c r="J166" s="1113"/>
      <c r="K166" s="525">
        <f t="shared" si="5"/>
        <v>0</v>
      </c>
      <c r="L166" s="526"/>
      <c r="M166" s="527"/>
    </row>
    <row r="167" spans="1:13" s="483" customFormat="1" ht="18" hidden="1" customHeight="1" x14ac:dyDescent="0.25">
      <c r="A167" s="514"/>
      <c r="B167" s="515">
        <f t="shared" si="4"/>
        <v>0</v>
      </c>
      <c r="C167" s="524">
        <v>153</v>
      </c>
      <c r="D167" s="1076"/>
      <c r="E167" s="1076"/>
      <c r="F167" s="1076"/>
      <c r="G167" s="412"/>
      <c r="H167" s="412"/>
      <c r="I167" s="1113"/>
      <c r="J167" s="1113"/>
      <c r="K167" s="525">
        <f t="shared" si="5"/>
        <v>0</v>
      </c>
      <c r="L167" s="526"/>
      <c r="M167" s="527"/>
    </row>
    <row r="168" spans="1:13" s="483" customFormat="1" ht="18" hidden="1" customHeight="1" x14ac:dyDescent="0.25">
      <c r="A168" s="514"/>
      <c r="B168" s="515">
        <f t="shared" si="4"/>
        <v>0</v>
      </c>
      <c r="C168" s="524">
        <v>154</v>
      </c>
      <c r="D168" s="1076"/>
      <c r="E168" s="1076"/>
      <c r="F168" s="1076"/>
      <c r="G168" s="412"/>
      <c r="H168" s="412"/>
      <c r="I168" s="1113"/>
      <c r="J168" s="1113"/>
      <c r="K168" s="525">
        <f t="shared" si="5"/>
        <v>0</v>
      </c>
      <c r="L168" s="526"/>
      <c r="M168" s="527"/>
    </row>
    <row r="169" spans="1:13" s="483" customFormat="1" ht="18" hidden="1" customHeight="1" x14ac:dyDescent="0.25">
      <c r="A169" s="514"/>
      <c r="B169" s="515">
        <f t="shared" si="4"/>
        <v>0</v>
      </c>
      <c r="C169" s="524">
        <v>155</v>
      </c>
      <c r="D169" s="1076"/>
      <c r="E169" s="1076"/>
      <c r="F169" s="1076"/>
      <c r="G169" s="412"/>
      <c r="H169" s="412"/>
      <c r="I169" s="1113"/>
      <c r="J169" s="1113"/>
      <c r="K169" s="525">
        <f t="shared" si="5"/>
        <v>0</v>
      </c>
      <c r="L169" s="526"/>
      <c r="M169" s="527"/>
    </row>
    <row r="170" spans="1:13" s="483" customFormat="1" ht="18" hidden="1" customHeight="1" x14ac:dyDescent="0.25">
      <c r="A170" s="514"/>
      <c r="B170" s="515">
        <f t="shared" si="4"/>
        <v>0</v>
      </c>
      <c r="C170" s="524">
        <v>156</v>
      </c>
      <c r="D170" s="1076"/>
      <c r="E170" s="1076"/>
      <c r="F170" s="1076"/>
      <c r="G170" s="412"/>
      <c r="H170" s="412"/>
      <c r="I170" s="1113"/>
      <c r="J170" s="1113"/>
      <c r="K170" s="525">
        <f t="shared" si="5"/>
        <v>0</v>
      </c>
      <c r="L170" s="526"/>
      <c r="M170" s="527"/>
    </row>
    <row r="171" spans="1:13" s="483" customFormat="1" ht="18" hidden="1" customHeight="1" x14ac:dyDescent="0.25">
      <c r="A171" s="514"/>
      <c r="B171" s="515">
        <f t="shared" si="4"/>
        <v>0</v>
      </c>
      <c r="C171" s="524">
        <v>157</v>
      </c>
      <c r="D171" s="1076"/>
      <c r="E171" s="1076"/>
      <c r="F171" s="1076"/>
      <c r="G171" s="412"/>
      <c r="H171" s="412"/>
      <c r="I171" s="1113"/>
      <c r="J171" s="1113"/>
      <c r="K171" s="525">
        <f t="shared" si="5"/>
        <v>0</v>
      </c>
      <c r="L171" s="526"/>
      <c r="M171" s="527"/>
    </row>
    <row r="172" spans="1:13" s="483" customFormat="1" ht="18" hidden="1" customHeight="1" x14ac:dyDescent="0.25">
      <c r="A172" s="514"/>
      <c r="B172" s="515">
        <f t="shared" si="4"/>
        <v>0</v>
      </c>
      <c r="C172" s="524">
        <v>158</v>
      </c>
      <c r="D172" s="1076"/>
      <c r="E172" s="1076"/>
      <c r="F172" s="1076"/>
      <c r="G172" s="412"/>
      <c r="H172" s="412"/>
      <c r="I172" s="1113"/>
      <c r="J172" s="1113"/>
      <c r="K172" s="525">
        <f t="shared" si="5"/>
        <v>0</v>
      </c>
      <c r="L172" s="526"/>
      <c r="M172" s="527"/>
    </row>
    <row r="173" spans="1:13" s="483" customFormat="1" ht="18" hidden="1" customHeight="1" x14ac:dyDescent="0.25">
      <c r="A173" s="514"/>
      <c r="B173" s="515">
        <f t="shared" si="4"/>
        <v>0</v>
      </c>
      <c r="C173" s="524">
        <v>159</v>
      </c>
      <c r="D173" s="1076"/>
      <c r="E173" s="1076"/>
      <c r="F173" s="1076"/>
      <c r="G173" s="412"/>
      <c r="H173" s="412"/>
      <c r="I173" s="1113"/>
      <c r="J173" s="1113"/>
      <c r="K173" s="525">
        <f t="shared" si="5"/>
        <v>0</v>
      </c>
      <c r="L173" s="526"/>
      <c r="M173" s="527"/>
    </row>
    <row r="174" spans="1:13" s="483" customFormat="1" ht="18" hidden="1" customHeight="1" x14ac:dyDescent="0.25">
      <c r="A174" s="514"/>
      <c r="B174" s="515">
        <f t="shared" si="4"/>
        <v>0</v>
      </c>
      <c r="C174" s="524">
        <v>160</v>
      </c>
      <c r="D174" s="1076"/>
      <c r="E174" s="1076"/>
      <c r="F174" s="1076"/>
      <c r="G174" s="412"/>
      <c r="H174" s="412"/>
      <c r="I174" s="1113"/>
      <c r="J174" s="1113"/>
      <c r="K174" s="525">
        <f t="shared" si="5"/>
        <v>0</v>
      </c>
      <c r="L174" s="526"/>
      <c r="M174" s="527"/>
    </row>
    <row r="175" spans="1:13" s="483" customFormat="1" ht="18" hidden="1" customHeight="1" x14ac:dyDescent="0.25">
      <c r="A175" s="514"/>
      <c r="B175" s="515">
        <f t="shared" si="4"/>
        <v>0</v>
      </c>
      <c r="C175" s="524">
        <v>161</v>
      </c>
      <c r="D175" s="1076"/>
      <c r="E175" s="1076"/>
      <c r="F175" s="1076"/>
      <c r="G175" s="412"/>
      <c r="H175" s="412"/>
      <c r="I175" s="1113"/>
      <c r="J175" s="1113"/>
      <c r="K175" s="525">
        <f t="shared" si="5"/>
        <v>0</v>
      </c>
      <c r="L175" s="526"/>
      <c r="M175" s="527"/>
    </row>
    <row r="176" spans="1:13" s="483" customFormat="1" ht="18" hidden="1" customHeight="1" x14ac:dyDescent="0.25">
      <c r="A176" s="514"/>
      <c r="B176" s="515">
        <f t="shared" si="4"/>
        <v>0</v>
      </c>
      <c r="C176" s="524">
        <v>162</v>
      </c>
      <c r="D176" s="1076"/>
      <c r="E176" s="1076"/>
      <c r="F176" s="1076"/>
      <c r="G176" s="412"/>
      <c r="H176" s="412"/>
      <c r="I176" s="1113"/>
      <c r="J176" s="1113"/>
      <c r="K176" s="525">
        <f t="shared" si="5"/>
        <v>0</v>
      </c>
      <c r="L176" s="526"/>
      <c r="M176" s="527"/>
    </row>
    <row r="177" spans="1:13" s="483" customFormat="1" ht="18" hidden="1" customHeight="1" x14ac:dyDescent="0.25">
      <c r="A177" s="514"/>
      <c r="B177" s="515">
        <f t="shared" si="4"/>
        <v>0</v>
      </c>
      <c r="C177" s="524">
        <v>163</v>
      </c>
      <c r="D177" s="1076"/>
      <c r="E177" s="1076"/>
      <c r="F177" s="1076"/>
      <c r="G177" s="412"/>
      <c r="H177" s="412"/>
      <c r="I177" s="1113"/>
      <c r="J177" s="1113"/>
      <c r="K177" s="525">
        <f t="shared" si="5"/>
        <v>0</v>
      </c>
      <c r="L177" s="526"/>
      <c r="M177" s="527"/>
    </row>
    <row r="178" spans="1:13" s="483" customFormat="1" ht="18" hidden="1" customHeight="1" x14ac:dyDescent="0.25">
      <c r="A178" s="514"/>
      <c r="B178" s="515">
        <f t="shared" si="4"/>
        <v>0</v>
      </c>
      <c r="C178" s="524">
        <v>164</v>
      </c>
      <c r="D178" s="1076"/>
      <c r="E178" s="1076"/>
      <c r="F178" s="1076"/>
      <c r="G178" s="412"/>
      <c r="H178" s="412"/>
      <c r="I178" s="1113"/>
      <c r="J178" s="1113"/>
      <c r="K178" s="525">
        <f t="shared" si="5"/>
        <v>0</v>
      </c>
      <c r="L178" s="526"/>
      <c r="M178" s="527"/>
    </row>
    <row r="179" spans="1:13" s="483" customFormat="1" ht="18" hidden="1" customHeight="1" x14ac:dyDescent="0.25">
      <c r="A179" s="514"/>
      <c r="B179" s="515">
        <f t="shared" si="4"/>
        <v>0</v>
      </c>
      <c r="C179" s="524">
        <v>165</v>
      </c>
      <c r="D179" s="1076"/>
      <c r="E179" s="1076"/>
      <c r="F179" s="1076"/>
      <c r="G179" s="412"/>
      <c r="H179" s="412"/>
      <c r="I179" s="1113"/>
      <c r="J179" s="1113"/>
      <c r="K179" s="525">
        <f t="shared" si="5"/>
        <v>0</v>
      </c>
      <c r="L179" s="526"/>
      <c r="M179" s="527"/>
    </row>
    <row r="180" spans="1:13" s="483" customFormat="1" ht="18" hidden="1" customHeight="1" x14ac:dyDescent="0.25">
      <c r="A180" s="514"/>
      <c r="B180" s="515">
        <f t="shared" si="4"/>
        <v>0</v>
      </c>
      <c r="C180" s="524">
        <v>166</v>
      </c>
      <c r="D180" s="1076"/>
      <c r="E180" s="1076"/>
      <c r="F180" s="1076"/>
      <c r="G180" s="412"/>
      <c r="H180" s="412"/>
      <c r="I180" s="1113"/>
      <c r="J180" s="1113"/>
      <c r="K180" s="525">
        <f t="shared" si="5"/>
        <v>0</v>
      </c>
      <c r="L180" s="526"/>
      <c r="M180" s="527"/>
    </row>
    <row r="181" spans="1:13" s="483" customFormat="1" ht="18" hidden="1" customHeight="1" x14ac:dyDescent="0.25">
      <c r="A181" s="514"/>
      <c r="B181" s="515">
        <f t="shared" si="4"/>
        <v>0</v>
      </c>
      <c r="C181" s="524">
        <v>167</v>
      </c>
      <c r="D181" s="1076"/>
      <c r="E181" s="1076"/>
      <c r="F181" s="1076"/>
      <c r="G181" s="412"/>
      <c r="H181" s="412"/>
      <c r="I181" s="1113"/>
      <c r="J181" s="1113"/>
      <c r="K181" s="525">
        <f t="shared" si="5"/>
        <v>0</v>
      </c>
      <c r="L181" s="526"/>
      <c r="M181" s="527"/>
    </row>
    <row r="182" spans="1:13" s="483" customFormat="1" ht="18" hidden="1" customHeight="1" x14ac:dyDescent="0.25">
      <c r="A182" s="514"/>
      <c r="B182" s="515">
        <f t="shared" si="4"/>
        <v>0</v>
      </c>
      <c r="C182" s="524">
        <v>168</v>
      </c>
      <c r="D182" s="1076"/>
      <c r="E182" s="1076"/>
      <c r="F182" s="1076"/>
      <c r="G182" s="412"/>
      <c r="H182" s="412"/>
      <c r="I182" s="1113"/>
      <c r="J182" s="1113"/>
      <c r="K182" s="525">
        <f t="shared" si="5"/>
        <v>0</v>
      </c>
      <c r="L182" s="526"/>
      <c r="M182" s="527"/>
    </row>
    <row r="183" spans="1:13" s="483" customFormat="1" ht="18" hidden="1" customHeight="1" x14ac:dyDescent="0.25">
      <c r="A183" s="514"/>
      <c r="B183" s="515">
        <f t="shared" si="4"/>
        <v>0</v>
      </c>
      <c r="C183" s="524">
        <v>169</v>
      </c>
      <c r="D183" s="1076"/>
      <c r="E183" s="1076"/>
      <c r="F183" s="1076"/>
      <c r="G183" s="412"/>
      <c r="H183" s="412"/>
      <c r="I183" s="1113"/>
      <c r="J183" s="1113"/>
      <c r="K183" s="525">
        <f t="shared" si="5"/>
        <v>0</v>
      </c>
      <c r="L183" s="526"/>
      <c r="M183" s="527"/>
    </row>
    <row r="184" spans="1:13" s="483" customFormat="1" ht="18" hidden="1" customHeight="1" x14ac:dyDescent="0.25">
      <c r="A184" s="514"/>
      <c r="B184" s="515">
        <f t="shared" si="4"/>
        <v>0</v>
      </c>
      <c r="C184" s="524">
        <v>170</v>
      </c>
      <c r="D184" s="1076"/>
      <c r="E184" s="1076"/>
      <c r="F184" s="1076"/>
      <c r="G184" s="412"/>
      <c r="H184" s="412"/>
      <c r="I184" s="1113"/>
      <c r="J184" s="1113"/>
      <c r="K184" s="525">
        <f t="shared" si="5"/>
        <v>0</v>
      </c>
      <c r="L184" s="526"/>
      <c r="M184" s="527"/>
    </row>
    <row r="185" spans="1:13" s="483" customFormat="1" ht="18" hidden="1" customHeight="1" x14ac:dyDescent="0.25">
      <c r="A185" s="514"/>
      <c r="B185" s="515">
        <f t="shared" si="4"/>
        <v>0</v>
      </c>
      <c r="C185" s="524">
        <v>171</v>
      </c>
      <c r="D185" s="1076"/>
      <c r="E185" s="1076"/>
      <c r="F185" s="1076"/>
      <c r="G185" s="412"/>
      <c r="H185" s="412"/>
      <c r="I185" s="1113"/>
      <c r="J185" s="1113"/>
      <c r="K185" s="525">
        <f t="shared" si="5"/>
        <v>0</v>
      </c>
      <c r="L185" s="526"/>
      <c r="M185" s="527"/>
    </row>
    <row r="186" spans="1:13" s="483" customFormat="1" ht="18" hidden="1" customHeight="1" x14ac:dyDescent="0.25">
      <c r="A186" s="514"/>
      <c r="B186" s="515">
        <f t="shared" si="4"/>
        <v>0</v>
      </c>
      <c r="C186" s="524">
        <v>172</v>
      </c>
      <c r="D186" s="1076"/>
      <c r="E186" s="1076"/>
      <c r="F186" s="1076"/>
      <c r="G186" s="412"/>
      <c r="H186" s="412"/>
      <c r="I186" s="1113"/>
      <c r="J186" s="1113"/>
      <c r="K186" s="525">
        <f t="shared" si="5"/>
        <v>0</v>
      </c>
      <c r="L186" s="526"/>
      <c r="M186" s="527"/>
    </row>
    <row r="187" spans="1:13" s="483" customFormat="1" ht="18" hidden="1" customHeight="1" x14ac:dyDescent="0.25">
      <c r="A187" s="514"/>
      <c r="B187" s="515">
        <f t="shared" si="4"/>
        <v>0</v>
      </c>
      <c r="C187" s="524">
        <v>173</v>
      </c>
      <c r="D187" s="1076"/>
      <c r="E187" s="1076"/>
      <c r="F187" s="1076"/>
      <c r="G187" s="412"/>
      <c r="H187" s="412"/>
      <c r="I187" s="1113"/>
      <c r="J187" s="1113"/>
      <c r="K187" s="525">
        <f t="shared" si="5"/>
        <v>0</v>
      </c>
      <c r="L187" s="526"/>
      <c r="M187" s="527"/>
    </row>
    <row r="188" spans="1:13" s="483" customFormat="1" ht="18" hidden="1" customHeight="1" x14ac:dyDescent="0.25">
      <c r="A188" s="514"/>
      <c r="B188" s="515">
        <f t="shared" si="4"/>
        <v>0</v>
      </c>
      <c r="C188" s="524">
        <v>174</v>
      </c>
      <c r="D188" s="1076"/>
      <c r="E188" s="1076"/>
      <c r="F188" s="1076"/>
      <c r="G188" s="412"/>
      <c r="H188" s="412"/>
      <c r="I188" s="1113"/>
      <c r="J188" s="1113"/>
      <c r="K188" s="525">
        <f t="shared" si="5"/>
        <v>0</v>
      </c>
      <c r="L188" s="526"/>
      <c r="M188" s="527"/>
    </row>
    <row r="189" spans="1:13" s="483" customFormat="1" ht="18" hidden="1" customHeight="1" x14ac:dyDescent="0.25">
      <c r="A189" s="514"/>
      <c r="B189" s="515">
        <f t="shared" si="4"/>
        <v>0</v>
      </c>
      <c r="C189" s="524">
        <v>175</v>
      </c>
      <c r="D189" s="1076"/>
      <c r="E189" s="1076"/>
      <c r="F189" s="1076"/>
      <c r="G189" s="412"/>
      <c r="H189" s="412"/>
      <c r="I189" s="1113"/>
      <c r="J189" s="1113"/>
      <c r="K189" s="525">
        <f t="shared" si="5"/>
        <v>0</v>
      </c>
      <c r="L189" s="526"/>
      <c r="M189" s="527"/>
    </row>
    <row r="190" spans="1:13" s="483" customFormat="1" ht="18" hidden="1" customHeight="1" x14ac:dyDescent="0.25">
      <c r="A190" s="514"/>
      <c r="B190" s="515">
        <f t="shared" si="4"/>
        <v>0</v>
      </c>
      <c r="C190" s="524">
        <v>176</v>
      </c>
      <c r="D190" s="1076"/>
      <c r="E190" s="1076"/>
      <c r="F190" s="1076"/>
      <c r="G190" s="412"/>
      <c r="H190" s="412"/>
      <c r="I190" s="1113"/>
      <c r="J190" s="1113"/>
      <c r="K190" s="525">
        <f t="shared" si="5"/>
        <v>0</v>
      </c>
      <c r="L190" s="526"/>
      <c r="M190" s="527"/>
    </row>
    <row r="191" spans="1:13" s="483" customFormat="1" ht="18" hidden="1" customHeight="1" x14ac:dyDescent="0.25">
      <c r="A191" s="514"/>
      <c r="B191" s="515">
        <f t="shared" si="4"/>
        <v>0</v>
      </c>
      <c r="C191" s="524">
        <v>177</v>
      </c>
      <c r="D191" s="1076"/>
      <c r="E191" s="1076"/>
      <c r="F191" s="1076"/>
      <c r="G191" s="412"/>
      <c r="H191" s="412"/>
      <c r="I191" s="1113"/>
      <c r="J191" s="1113"/>
      <c r="K191" s="525">
        <f t="shared" si="5"/>
        <v>0</v>
      </c>
      <c r="L191" s="526"/>
      <c r="M191" s="527"/>
    </row>
    <row r="192" spans="1:13" s="483" customFormat="1" ht="18" hidden="1" customHeight="1" x14ac:dyDescent="0.25">
      <c r="A192" s="514"/>
      <c r="B192" s="515">
        <f t="shared" si="4"/>
        <v>0</v>
      </c>
      <c r="C192" s="524">
        <v>178</v>
      </c>
      <c r="D192" s="1076"/>
      <c r="E192" s="1076"/>
      <c r="F192" s="1076"/>
      <c r="G192" s="412"/>
      <c r="H192" s="412"/>
      <c r="I192" s="1113"/>
      <c r="J192" s="1113"/>
      <c r="K192" s="525">
        <f t="shared" si="5"/>
        <v>0</v>
      </c>
      <c r="L192" s="526"/>
      <c r="M192" s="527"/>
    </row>
    <row r="193" spans="1:13" s="483" customFormat="1" ht="18" hidden="1" customHeight="1" x14ac:dyDescent="0.25">
      <c r="A193" s="514"/>
      <c r="B193" s="515">
        <f t="shared" si="4"/>
        <v>0</v>
      </c>
      <c r="C193" s="524">
        <v>179</v>
      </c>
      <c r="D193" s="1076"/>
      <c r="E193" s="1076"/>
      <c r="F193" s="1076"/>
      <c r="G193" s="412"/>
      <c r="H193" s="412"/>
      <c r="I193" s="1113"/>
      <c r="J193" s="1113"/>
      <c r="K193" s="525">
        <f t="shared" si="5"/>
        <v>0</v>
      </c>
      <c r="L193" s="526"/>
      <c r="M193" s="527"/>
    </row>
    <row r="194" spans="1:13" s="483" customFormat="1" ht="18" hidden="1" customHeight="1" x14ac:dyDescent="0.25">
      <c r="A194" s="514"/>
      <c r="B194" s="515">
        <f t="shared" si="4"/>
        <v>0</v>
      </c>
      <c r="C194" s="524">
        <v>180</v>
      </c>
      <c r="D194" s="1076"/>
      <c r="E194" s="1076"/>
      <c r="F194" s="1076"/>
      <c r="G194" s="412"/>
      <c r="H194" s="412"/>
      <c r="I194" s="1113"/>
      <c r="J194" s="1113"/>
      <c r="K194" s="525">
        <f t="shared" si="5"/>
        <v>0</v>
      </c>
      <c r="L194" s="526"/>
      <c r="M194" s="527"/>
    </row>
    <row r="195" spans="1:13" s="483" customFormat="1" ht="18" hidden="1" customHeight="1" x14ac:dyDescent="0.25">
      <c r="A195" s="514"/>
      <c r="B195" s="515">
        <f t="shared" si="4"/>
        <v>0</v>
      </c>
      <c r="C195" s="524">
        <v>181</v>
      </c>
      <c r="D195" s="1076"/>
      <c r="E195" s="1076"/>
      <c r="F195" s="1076"/>
      <c r="G195" s="412"/>
      <c r="H195" s="412"/>
      <c r="I195" s="1113"/>
      <c r="J195" s="1113"/>
      <c r="K195" s="525">
        <f t="shared" si="5"/>
        <v>0</v>
      </c>
      <c r="L195" s="526"/>
      <c r="M195" s="527"/>
    </row>
    <row r="196" spans="1:13" s="483" customFormat="1" ht="18" hidden="1" customHeight="1" x14ac:dyDescent="0.25">
      <c r="A196" s="514"/>
      <c r="B196" s="515">
        <f t="shared" si="4"/>
        <v>0</v>
      </c>
      <c r="C196" s="524">
        <v>182</v>
      </c>
      <c r="D196" s="1076"/>
      <c r="E196" s="1076"/>
      <c r="F196" s="1076"/>
      <c r="G196" s="412"/>
      <c r="H196" s="412"/>
      <c r="I196" s="1113"/>
      <c r="J196" s="1113"/>
      <c r="K196" s="525">
        <f t="shared" si="5"/>
        <v>0</v>
      </c>
      <c r="L196" s="526"/>
      <c r="M196" s="527"/>
    </row>
    <row r="197" spans="1:13" s="483" customFormat="1" ht="18" hidden="1" customHeight="1" x14ac:dyDescent="0.25">
      <c r="A197" s="514"/>
      <c r="B197" s="515">
        <f t="shared" si="4"/>
        <v>0</v>
      </c>
      <c r="C197" s="524">
        <v>183</v>
      </c>
      <c r="D197" s="1076"/>
      <c r="E197" s="1076"/>
      <c r="F197" s="1076"/>
      <c r="G197" s="412"/>
      <c r="H197" s="412"/>
      <c r="I197" s="1113"/>
      <c r="J197" s="1113"/>
      <c r="K197" s="525">
        <f t="shared" si="5"/>
        <v>0</v>
      </c>
      <c r="L197" s="526"/>
      <c r="M197" s="527"/>
    </row>
    <row r="198" spans="1:13" s="483" customFormat="1" ht="18" hidden="1" customHeight="1" x14ac:dyDescent="0.25">
      <c r="A198" s="514"/>
      <c r="B198" s="515">
        <f t="shared" si="4"/>
        <v>0</v>
      </c>
      <c r="C198" s="524">
        <v>184</v>
      </c>
      <c r="D198" s="1076"/>
      <c r="E198" s="1076"/>
      <c r="F198" s="1076"/>
      <c r="G198" s="412"/>
      <c r="H198" s="412"/>
      <c r="I198" s="1113"/>
      <c r="J198" s="1113"/>
      <c r="K198" s="525">
        <f t="shared" si="5"/>
        <v>0</v>
      </c>
      <c r="L198" s="526"/>
      <c r="M198" s="527"/>
    </row>
    <row r="199" spans="1:13" s="483" customFormat="1" ht="18" hidden="1" customHeight="1" x14ac:dyDescent="0.25">
      <c r="A199" s="514"/>
      <c r="B199" s="515">
        <f t="shared" si="4"/>
        <v>0</v>
      </c>
      <c r="C199" s="524">
        <v>185</v>
      </c>
      <c r="D199" s="1076"/>
      <c r="E199" s="1076"/>
      <c r="F199" s="1076"/>
      <c r="G199" s="412"/>
      <c r="H199" s="412"/>
      <c r="I199" s="1113"/>
      <c r="J199" s="1113"/>
      <c r="K199" s="525">
        <f t="shared" si="5"/>
        <v>0</v>
      </c>
      <c r="L199" s="526"/>
      <c r="M199" s="527"/>
    </row>
    <row r="200" spans="1:13" s="483" customFormat="1" ht="18" hidden="1" customHeight="1" x14ac:dyDescent="0.25">
      <c r="A200" s="514"/>
      <c r="B200" s="515">
        <f t="shared" si="4"/>
        <v>0</v>
      </c>
      <c r="C200" s="524">
        <v>186</v>
      </c>
      <c r="D200" s="1076"/>
      <c r="E200" s="1076"/>
      <c r="F200" s="1076"/>
      <c r="G200" s="412"/>
      <c r="H200" s="412"/>
      <c r="I200" s="1113"/>
      <c r="J200" s="1113"/>
      <c r="K200" s="525">
        <f t="shared" si="5"/>
        <v>0</v>
      </c>
      <c r="L200" s="526"/>
      <c r="M200" s="527"/>
    </row>
    <row r="201" spans="1:13" s="483" customFormat="1" ht="18" hidden="1" customHeight="1" x14ac:dyDescent="0.25">
      <c r="A201" s="514"/>
      <c r="B201" s="515">
        <f t="shared" si="4"/>
        <v>0</v>
      </c>
      <c r="C201" s="524">
        <v>187</v>
      </c>
      <c r="D201" s="1076"/>
      <c r="E201" s="1076"/>
      <c r="F201" s="1076"/>
      <c r="G201" s="412"/>
      <c r="H201" s="412"/>
      <c r="I201" s="1113"/>
      <c r="J201" s="1113"/>
      <c r="K201" s="525">
        <f t="shared" si="5"/>
        <v>0</v>
      </c>
      <c r="L201" s="526"/>
      <c r="M201" s="527"/>
    </row>
    <row r="202" spans="1:13" s="483" customFormat="1" ht="18" hidden="1" customHeight="1" x14ac:dyDescent="0.25">
      <c r="A202" s="514"/>
      <c r="B202" s="515">
        <f t="shared" si="4"/>
        <v>0</v>
      </c>
      <c r="C202" s="524">
        <v>188</v>
      </c>
      <c r="D202" s="1076"/>
      <c r="E202" s="1076"/>
      <c r="F202" s="1076"/>
      <c r="G202" s="412"/>
      <c r="H202" s="412"/>
      <c r="I202" s="1113"/>
      <c r="J202" s="1113"/>
      <c r="K202" s="525">
        <f t="shared" si="5"/>
        <v>0</v>
      </c>
      <c r="L202" s="526"/>
      <c r="M202" s="527"/>
    </row>
    <row r="203" spans="1:13" s="483" customFormat="1" ht="18" hidden="1" customHeight="1" x14ac:dyDescent="0.25">
      <c r="A203" s="514"/>
      <c r="B203" s="515">
        <f t="shared" si="4"/>
        <v>0</v>
      </c>
      <c r="C203" s="524">
        <v>189</v>
      </c>
      <c r="D203" s="1076"/>
      <c r="E203" s="1076"/>
      <c r="F203" s="1076"/>
      <c r="G203" s="412"/>
      <c r="H203" s="412"/>
      <c r="I203" s="1113"/>
      <c r="J203" s="1113"/>
      <c r="K203" s="525">
        <f t="shared" si="5"/>
        <v>0</v>
      </c>
      <c r="L203" s="526"/>
      <c r="M203" s="527"/>
    </row>
    <row r="204" spans="1:13" s="483" customFormat="1" ht="18" hidden="1" customHeight="1" x14ac:dyDescent="0.25">
      <c r="A204" s="514"/>
      <c r="B204" s="515">
        <f t="shared" si="4"/>
        <v>0</v>
      </c>
      <c r="C204" s="524">
        <v>190</v>
      </c>
      <c r="D204" s="1076"/>
      <c r="E204" s="1076"/>
      <c r="F204" s="1076"/>
      <c r="G204" s="412"/>
      <c r="H204" s="412"/>
      <c r="I204" s="1113"/>
      <c r="J204" s="1113"/>
      <c r="K204" s="525">
        <f t="shared" si="5"/>
        <v>0</v>
      </c>
      <c r="L204" s="526"/>
      <c r="M204" s="527"/>
    </row>
    <row r="205" spans="1:13" s="483" customFormat="1" ht="18" hidden="1" customHeight="1" x14ac:dyDescent="0.25">
      <c r="A205" s="514"/>
      <c r="B205" s="515">
        <f t="shared" si="4"/>
        <v>0</v>
      </c>
      <c r="C205" s="524">
        <v>191</v>
      </c>
      <c r="D205" s="1076"/>
      <c r="E205" s="1076"/>
      <c r="F205" s="1076"/>
      <c r="G205" s="412"/>
      <c r="H205" s="412"/>
      <c r="I205" s="1113"/>
      <c r="J205" s="1113"/>
      <c r="K205" s="525">
        <f t="shared" si="5"/>
        <v>0</v>
      </c>
      <c r="L205" s="526"/>
      <c r="M205" s="527"/>
    </row>
    <row r="206" spans="1:13" s="483" customFormat="1" ht="18" hidden="1" customHeight="1" x14ac:dyDescent="0.25">
      <c r="A206" s="514"/>
      <c r="B206" s="515">
        <f t="shared" si="4"/>
        <v>0</v>
      </c>
      <c r="C206" s="524">
        <v>192</v>
      </c>
      <c r="D206" s="1076"/>
      <c r="E206" s="1076"/>
      <c r="F206" s="1076"/>
      <c r="G206" s="412"/>
      <c r="H206" s="412"/>
      <c r="I206" s="1113"/>
      <c r="J206" s="1113"/>
      <c r="K206" s="525">
        <f t="shared" si="5"/>
        <v>0</v>
      </c>
      <c r="L206" s="526"/>
      <c r="M206" s="527"/>
    </row>
    <row r="207" spans="1:13" s="483" customFormat="1" ht="18" hidden="1" customHeight="1" x14ac:dyDescent="0.25">
      <c r="A207" s="514"/>
      <c r="B207" s="515">
        <f t="shared" ref="B207:B264" si="6">IFERROR(K207/$K$265,0)</f>
        <v>0</v>
      </c>
      <c r="C207" s="524">
        <v>193</v>
      </c>
      <c r="D207" s="1076"/>
      <c r="E207" s="1076"/>
      <c r="F207" s="1076"/>
      <c r="G207" s="412"/>
      <c r="H207" s="412"/>
      <c r="I207" s="1113"/>
      <c r="J207" s="1113"/>
      <c r="K207" s="525">
        <f t="shared" ref="K207:K264" si="7">H207*I207</f>
        <v>0</v>
      </c>
      <c r="L207" s="526"/>
      <c r="M207" s="527"/>
    </row>
    <row r="208" spans="1:13" s="483" customFormat="1" ht="18" hidden="1" customHeight="1" x14ac:dyDescent="0.25">
      <c r="A208" s="514"/>
      <c r="B208" s="515">
        <f t="shared" si="6"/>
        <v>0</v>
      </c>
      <c r="C208" s="524">
        <v>194</v>
      </c>
      <c r="D208" s="1076"/>
      <c r="E208" s="1076"/>
      <c r="F208" s="1076"/>
      <c r="G208" s="412"/>
      <c r="H208" s="412"/>
      <c r="I208" s="1113"/>
      <c r="J208" s="1113"/>
      <c r="K208" s="525">
        <f t="shared" si="7"/>
        <v>0</v>
      </c>
      <c r="L208" s="526"/>
      <c r="M208" s="527"/>
    </row>
    <row r="209" spans="1:13" s="483" customFormat="1" ht="18" hidden="1" customHeight="1" x14ac:dyDescent="0.25">
      <c r="A209" s="514"/>
      <c r="B209" s="515">
        <f t="shared" si="6"/>
        <v>0</v>
      </c>
      <c r="C209" s="524">
        <v>195</v>
      </c>
      <c r="D209" s="1076"/>
      <c r="E209" s="1076"/>
      <c r="F209" s="1076"/>
      <c r="G209" s="412"/>
      <c r="H209" s="412"/>
      <c r="I209" s="1113"/>
      <c r="J209" s="1113"/>
      <c r="K209" s="525">
        <f t="shared" si="7"/>
        <v>0</v>
      </c>
      <c r="L209" s="526"/>
      <c r="M209" s="527"/>
    </row>
    <row r="210" spans="1:13" s="483" customFormat="1" ht="18" hidden="1" customHeight="1" x14ac:dyDescent="0.25">
      <c r="A210" s="514"/>
      <c r="B210" s="515">
        <f t="shared" si="6"/>
        <v>0</v>
      </c>
      <c r="C210" s="524">
        <v>196</v>
      </c>
      <c r="D210" s="1076"/>
      <c r="E210" s="1076"/>
      <c r="F210" s="1076"/>
      <c r="G210" s="412"/>
      <c r="H210" s="412"/>
      <c r="I210" s="1113"/>
      <c r="J210" s="1113"/>
      <c r="K210" s="525">
        <f t="shared" si="7"/>
        <v>0</v>
      </c>
      <c r="L210" s="526"/>
      <c r="M210" s="527"/>
    </row>
    <row r="211" spans="1:13" s="483" customFormat="1" ht="18" hidden="1" customHeight="1" x14ac:dyDescent="0.25">
      <c r="A211" s="514"/>
      <c r="B211" s="515">
        <f t="shared" si="6"/>
        <v>0</v>
      </c>
      <c r="C211" s="524">
        <v>197</v>
      </c>
      <c r="D211" s="1076"/>
      <c r="E211" s="1076"/>
      <c r="F211" s="1076"/>
      <c r="G211" s="412"/>
      <c r="H211" s="412"/>
      <c r="I211" s="1113"/>
      <c r="J211" s="1113"/>
      <c r="K211" s="525">
        <f t="shared" si="7"/>
        <v>0</v>
      </c>
      <c r="L211" s="526"/>
      <c r="M211" s="527"/>
    </row>
    <row r="212" spans="1:13" s="483" customFormat="1" ht="18" hidden="1" customHeight="1" x14ac:dyDescent="0.25">
      <c r="A212" s="514"/>
      <c r="B212" s="515">
        <f t="shared" si="6"/>
        <v>0</v>
      </c>
      <c r="C212" s="524">
        <v>198</v>
      </c>
      <c r="D212" s="1076"/>
      <c r="E212" s="1076"/>
      <c r="F212" s="1076"/>
      <c r="G212" s="412"/>
      <c r="H212" s="412"/>
      <c r="I212" s="1113"/>
      <c r="J212" s="1113"/>
      <c r="K212" s="525">
        <f t="shared" si="7"/>
        <v>0</v>
      </c>
      <c r="L212" s="526"/>
      <c r="M212" s="527"/>
    </row>
    <row r="213" spans="1:13" s="483" customFormat="1" ht="18" hidden="1" customHeight="1" x14ac:dyDescent="0.25">
      <c r="A213" s="514"/>
      <c r="B213" s="515">
        <f t="shared" si="6"/>
        <v>0</v>
      </c>
      <c r="C213" s="524">
        <v>199</v>
      </c>
      <c r="D213" s="1076"/>
      <c r="E213" s="1076"/>
      <c r="F213" s="1076"/>
      <c r="G213" s="412"/>
      <c r="H213" s="412"/>
      <c r="I213" s="1113"/>
      <c r="J213" s="1113"/>
      <c r="K213" s="525">
        <f t="shared" si="7"/>
        <v>0</v>
      </c>
      <c r="L213" s="526"/>
      <c r="M213" s="527"/>
    </row>
    <row r="214" spans="1:13" s="483" customFormat="1" ht="18" hidden="1" customHeight="1" x14ac:dyDescent="0.25">
      <c r="A214" s="514"/>
      <c r="B214" s="515">
        <f t="shared" si="6"/>
        <v>0</v>
      </c>
      <c r="C214" s="524">
        <v>200</v>
      </c>
      <c r="D214" s="1076"/>
      <c r="E214" s="1076"/>
      <c r="F214" s="1076"/>
      <c r="G214" s="412"/>
      <c r="H214" s="412"/>
      <c r="I214" s="1113"/>
      <c r="J214" s="1113"/>
      <c r="K214" s="525">
        <f t="shared" si="7"/>
        <v>0</v>
      </c>
      <c r="L214" s="526"/>
      <c r="M214" s="527"/>
    </row>
    <row r="215" spans="1:13" s="483" customFormat="1" ht="18" hidden="1" customHeight="1" x14ac:dyDescent="0.25">
      <c r="A215" s="514"/>
      <c r="B215" s="515">
        <f t="shared" si="6"/>
        <v>0</v>
      </c>
      <c r="C215" s="524">
        <v>201</v>
      </c>
      <c r="D215" s="1076"/>
      <c r="E215" s="1076"/>
      <c r="F215" s="1076"/>
      <c r="G215" s="412"/>
      <c r="H215" s="412"/>
      <c r="I215" s="1113"/>
      <c r="J215" s="1113"/>
      <c r="K215" s="525">
        <f t="shared" si="7"/>
        <v>0</v>
      </c>
      <c r="L215" s="526"/>
      <c r="M215" s="527"/>
    </row>
    <row r="216" spans="1:13" s="483" customFormat="1" ht="18" hidden="1" customHeight="1" x14ac:dyDescent="0.25">
      <c r="A216" s="514"/>
      <c r="B216" s="515">
        <f t="shared" si="6"/>
        <v>0</v>
      </c>
      <c r="C216" s="524">
        <v>202</v>
      </c>
      <c r="D216" s="1076"/>
      <c r="E216" s="1076"/>
      <c r="F216" s="1076"/>
      <c r="G216" s="412"/>
      <c r="H216" s="412"/>
      <c r="I216" s="1113"/>
      <c r="J216" s="1113"/>
      <c r="K216" s="525">
        <f t="shared" si="7"/>
        <v>0</v>
      </c>
      <c r="L216" s="526"/>
      <c r="M216" s="527"/>
    </row>
    <row r="217" spans="1:13" s="483" customFormat="1" ht="18" hidden="1" customHeight="1" x14ac:dyDescent="0.25">
      <c r="A217" s="514"/>
      <c r="B217" s="515">
        <f t="shared" si="6"/>
        <v>0</v>
      </c>
      <c r="C217" s="524">
        <v>203</v>
      </c>
      <c r="D217" s="1076"/>
      <c r="E217" s="1076"/>
      <c r="F217" s="1076"/>
      <c r="G217" s="412"/>
      <c r="H217" s="412"/>
      <c r="I217" s="1113"/>
      <c r="J217" s="1113"/>
      <c r="K217" s="525">
        <f t="shared" si="7"/>
        <v>0</v>
      </c>
      <c r="L217" s="526"/>
      <c r="M217" s="527"/>
    </row>
    <row r="218" spans="1:13" s="483" customFormat="1" ht="18" hidden="1" customHeight="1" x14ac:dyDescent="0.25">
      <c r="A218" s="514"/>
      <c r="B218" s="515">
        <f t="shared" si="6"/>
        <v>0</v>
      </c>
      <c r="C218" s="524">
        <v>204</v>
      </c>
      <c r="D218" s="1076"/>
      <c r="E218" s="1076"/>
      <c r="F218" s="1076"/>
      <c r="G218" s="412"/>
      <c r="H218" s="412"/>
      <c r="I218" s="1113"/>
      <c r="J218" s="1113"/>
      <c r="K218" s="525">
        <f t="shared" si="7"/>
        <v>0</v>
      </c>
      <c r="L218" s="526"/>
      <c r="M218" s="527"/>
    </row>
    <row r="219" spans="1:13" s="483" customFormat="1" ht="18" hidden="1" customHeight="1" x14ac:dyDescent="0.25">
      <c r="A219" s="514"/>
      <c r="B219" s="515">
        <f t="shared" si="6"/>
        <v>0</v>
      </c>
      <c r="C219" s="524">
        <v>205</v>
      </c>
      <c r="D219" s="1076"/>
      <c r="E219" s="1076"/>
      <c r="F219" s="1076"/>
      <c r="G219" s="412"/>
      <c r="H219" s="412"/>
      <c r="I219" s="1113"/>
      <c r="J219" s="1113"/>
      <c r="K219" s="525">
        <f t="shared" si="7"/>
        <v>0</v>
      </c>
      <c r="L219" s="526"/>
      <c r="M219" s="527"/>
    </row>
    <row r="220" spans="1:13" s="483" customFormat="1" ht="18" hidden="1" customHeight="1" x14ac:dyDescent="0.25">
      <c r="A220" s="514"/>
      <c r="B220" s="515">
        <f t="shared" si="6"/>
        <v>0</v>
      </c>
      <c r="C220" s="524">
        <v>206</v>
      </c>
      <c r="D220" s="1076"/>
      <c r="E220" s="1076"/>
      <c r="F220" s="1076"/>
      <c r="G220" s="412"/>
      <c r="H220" s="412"/>
      <c r="I220" s="1113"/>
      <c r="J220" s="1113"/>
      <c r="K220" s="525">
        <f t="shared" si="7"/>
        <v>0</v>
      </c>
      <c r="L220" s="526"/>
      <c r="M220" s="527"/>
    </row>
    <row r="221" spans="1:13" s="483" customFormat="1" ht="18" hidden="1" customHeight="1" x14ac:dyDescent="0.25">
      <c r="A221" s="514"/>
      <c r="B221" s="515">
        <f t="shared" si="6"/>
        <v>0</v>
      </c>
      <c r="C221" s="524">
        <v>207</v>
      </c>
      <c r="D221" s="1076"/>
      <c r="E221" s="1076"/>
      <c r="F221" s="1076"/>
      <c r="G221" s="412"/>
      <c r="H221" s="412"/>
      <c r="I221" s="1113"/>
      <c r="J221" s="1113"/>
      <c r="K221" s="525">
        <f t="shared" si="7"/>
        <v>0</v>
      </c>
      <c r="L221" s="526"/>
      <c r="M221" s="527"/>
    </row>
    <row r="222" spans="1:13" s="483" customFormat="1" ht="18" hidden="1" customHeight="1" x14ac:dyDescent="0.25">
      <c r="A222" s="514"/>
      <c r="B222" s="515">
        <f t="shared" si="6"/>
        <v>0</v>
      </c>
      <c r="C222" s="524">
        <v>208</v>
      </c>
      <c r="D222" s="1076"/>
      <c r="E222" s="1076"/>
      <c r="F222" s="1076"/>
      <c r="G222" s="412"/>
      <c r="H222" s="412"/>
      <c r="I222" s="1113"/>
      <c r="J222" s="1113"/>
      <c r="K222" s="525">
        <f t="shared" si="7"/>
        <v>0</v>
      </c>
      <c r="L222" s="526"/>
      <c r="M222" s="527"/>
    </row>
    <row r="223" spans="1:13" s="483" customFormat="1" ht="18" hidden="1" customHeight="1" x14ac:dyDescent="0.25">
      <c r="A223" s="514"/>
      <c r="B223" s="515">
        <f t="shared" si="6"/>
        <v>0</v>
      </c>
      <c r="C223" s="524">
        <v>209</v>
      </c>
      <c r="D223" s="1076"/>
      <c r="E223" s="1076"/>
      <c r="F223" s="1076"/>
      <c r="G223" s="412"/>
      <c r="H223" s="412"/>
      <c r="I223" s="1113"/>
      <c r="J223" s="1113"/>
      <c r="K223" s="525">
        <f t="shared" si="7"/>
        <v>0</v>
      </c>
      <c r="L223" s="526"/>
      <c r="M223" s="527"/>
    </row>
    <row r="224" spans="1:13" s="483" customFormat="1" ht="18" hidden="1" customHeight="1" x14ac:dyDescent="0.25">
      <c r="A224" s="514"/>
      <c r="B224" s="515">
        <f t="shared" si="6"/>
        <v>0</v>
      </c>
      <c r="C224" s="524">
        <v>210</v>
      </c>
      <c r="D224" s="1076"/>
      <c r="E224" s="1076"/>
      <c r="F224" s="1076"/>
      <c r="G224" s="412"/>
      <c r="H224" s="412"/>
      <c r="I224" s="1113"/>
      <c r="J224" s="1113"/>
      <c r="K224" s="525">
        <f t="shared" si="7"/>
        <v>0</v>
      </c>
      <c r="L224" s="526"/>
      <c r="M224" s="527"/>
    </row>
    <row r="225" spans="1:13" s="483" customFormat="1" ht="18" hidden="1" customHeight="1" x14ac:dyDescent="0.25">
      <c r="A225" s="514"/>
      <c r="B225" s="515">
        <f t="shared" si="6"/>
        <v>0</v>
      </c>
      <c r="C225" s="524">
        <v>211</v>
      </c>
      <c r="D225" s="1076"/>
      <c r="E225" s="1076"/>
      <c r="F225" s="1076"/>
      <c r="G225" s="412"/>
      <c r="H225" s="412"/>
      <c r="I225" s="1113"/>
      <c r="J225" s="1113"/>
      <c r="K225" s="525">
        <f t="shared" si="7"/>
        <v>0</v>
      </c>
      <c r="L225" s="526"/>
      <c r="M225" s="527"/>
    </row>
    <row r="226" spans="1:13" s="483" customFormat="1" ht="18" hidden="1" customHeight="1" x14ac:dyDescent="0.25">
      <c r="A226" s="514"/>
      <c r="B226" s="515">
        <f t="shared" si="6"/>
        <v>0</v>
      </c>
      <c r="C226" s="524">
        <v>212</v>
      </c>
      <c r="D226" s="1076"/>
      <c r="E226" s="1076"/>
      <c r="F226" s="1076"/>
      <c r="G226" s="412"/>
      <c r="H226" s="412"/>
      <c r="I226" s="1113"/>
      <c r="J226" s="1113"/>
      <c r="K226" s="525">
        <f t="shared" si="7"/>
        <v>0</v>
      </c>
      <c r="L226" s="526"/>
      <c r="M226" s="527"/>
    </row>
    <row r="227" spans="1:13" s="483" customFormat="1" ht="18" hidden="1" customHeight="1" x14ac:dyDescent="0.25">
      <c r="A227" s="514"/>
      <c r="B227" s="515">
        <f t="shared" si="6"/>
        <v>0</v>
      </c>
      <c r="C227" s="524">
        <v>213</v>
      </c>
      <c r="D227" s="1076"/>
      <c r="E227" s="1076"/>
      <c r="F227" s="1076"/>
      <c r="G227" s="412"/>
      <c r="H227" s="412"/>
      <c r="I227" s="1113"/>
      <c r="J227" s="1113"/>
      <c r="K227" s="525">
        <f t="shared" si="7"/>
        <v>0</v>
      </c>
      <c r="L227" s="526"/>
      <c r="M227" s="527"/>
    </row>
    <row r="228" spans="1:13" s="483" customFormat="1" ht="18" hidden="1" customHeight="1" x14ac:dyDescent="0.25">
      <c r="A228" s="514"/>
      <c r="B228" s="515">
        <f t="shared" si="6"/>
        <v>0</v>
      </c>
      <c r="C228" s="524">
        <v>214</v>
      </c>
      <c r="D228" s="1076"/>
      <c r="E228" s="1076"/>
      <c r="F228" s="1076"/>
      <c r="G228" s="412"/>
      <c r="H228" s="412"/>
      <c r="I228" s="1113"/>
      <c r="J228" s="1113"/>
      <c r="K228" s="525">
        <f t="shared" si="7"/>
        <v>0</v>
      </c>
      <c r="L228" s="526"/>
      <c r="M228" s="527"/>
    </row>
    <row r="229" spans="1:13" s="483" customFormat="1" ht="18" hidden="1" customHeight="1" x14ac:dyDescent="0.25">
      <c r="A229" s="514"/>
      <c r="B229" s="515">
        <f t="shared" si="6"/>
        <v>0</v>
      </c>
      <c r="C229" s="524">
        <v>215</v>
      </c>
      <c r="D229" s="1076"/>
      <c r="E229" s="1076"/>
      <c r="F229" s="1076"/>
      <c r="G229" s="412"/>
      <c r="H229" s="412"/>
      <c r="I229" s="1113"/>
      <c r="J229" s="1113"/>
      <c r="K229" s="525">
        <f t="shared" si="7"/>
        <v>0</v>
      </c>
      <c r="L229" s="526"/>
      <c r="M229" s="527"/>
    </row>
    <row r="230" spans="1:13" s="483" customFormat="1" ht="18" hidden="1" customHeight="1" x14ac:dyDescent="0.25">
      <c r="A230" s="514"/>
      <c r="B230" s="515">
        <f t="shared" si="6"/>
        <v>0</v>
      </c>
      <c r="C230" s="524">
        <v>216</v>
      </c>
      <c r="D230" s="1076"/>
      <c r="E230" s="1076"/>
      <c r="F230" s="1076"/>
      <c r="G230" s="412"/>
      <c r="H230" s="412"/>
      <c r="I230" s="1113"/>
      <c r="J230" s="1113"/>
      <c r="K230" s="525">
        <f t="shared" si="7"/>
        <v>0</v>
      </c>
      <c r="L230" s="526"/>
      <c r="M230" s="527"/>
    </row>
    <row r="231" spans="1:13" s="483" customFormat="1" ht="18" hidden="1" customHeight="1" x14ac:dyDescent="0.25">
      <c r="A231" s="514"/>
      <c r="B231" s="515">
        <f t="shared" si="6"/>
        <v>0</v>
      </c>
      <c r="C231" s="524">
        <v>217</v>
      </c>
      <c r="D231" s="1076"/>
      <c r="E231" s="1076"/>
      <c r="F231" s="1076"/>
      <c r="G231" s="412"/>
      <c r="H231" s="412"/>
      <c r="I231" s="1113"/>
      <c r="J231" s="1113"/>
      <c r="K231" s="525">
        <f t="shared" si="7"/>
        <v>0</v>
      </c>
      <c r="L231" s="526"/>
      <c r="M231" s="527"/>
    </row>
    <row r="232" spans="1:13" s="483" customFormat="1" ht="18" hidden="1" customHeight="1" x14ac:dyDescent="0.25">
      <c r="A232" s="514"/>
      <c r="B232" s="515">
        <f t="shared" si="6"/>
        <v>0</v>
      </c>
      <c r="C232" s="524">
        <v>218</v>
      </c>
      <c r="D232" s="1076"/>
      <c r="E232" s="1076"/>
      <c r="F232" s="1076"/>
      <c r="G232" s="412"/>
      <c r="H232" s="412"/>
      <c r="I232" s="1113"/>
      <c r="J232" s="1113"/>
      <c r="K232" s="525">
        <f t="shared" si="7"/>
        <v>0</v>
      </c>
      <c r="L232" s="526"/>
      <c r="M232" s="527"/>
    </row>
    <row r="233" spans="1:13" s="483" customFormat="1" ht="18" hidden="1" customHeight="1" x14ac:dyDescent="0.25">
      <c r="A233" s="514"/>
      <c r="B233" s="515">
        <f t="shared" si="6"/>
        <v>0</v>
      </c>
      <c r="C233" s="524">
        <v>219</v>
      </c>
      <c r="D233" s="1076"/>
      <c r="E233" s="1076"/>
      <c r="F233" s="1076"/>
      <c r="G233" s="412"/>
      <c r="H233" s="412"/>
      <c r="I233" s="1113"/>
      <c r="J233" s="1113"/>
      <c r="K233" s="525">
        <f t="shared" si="7"/>
        <v>0</v>
      </c>
      <c r="L233" s="526"/>
      <c r="M233" s="527"/>
    </row>
    <row r="234" spans="1:13" s="483" customFormat="1" ht="18" hidden="1" customHeight="1" x14ac:dyDescent="0.25">
      <c r="A234" s="514"/>
      <c r="B234" s="515">
        <f t="shared" si="6"/>
        <v>0</v>
      </c>
      <c r="C234" s="524">
        <v>220</v>
      </c>
      <c r="D234" s="1076"/>
      <c r="E234" s="1076"/>
      <c r="F234" s="1076"/>
      <c r="G234" s="412"/>
      <c r="H234" s="412"/>
      <c r="I234" s="1113"/>
      <c r="J234" s="1113"/>
      <c r="K234" s="525">
        <f t="shared" si="7"/>
        <v>0</v>
      </c>
      <c r="L234" s="526"/>
      <c r="M234" s="527"/>
    </row>
    <row r="235" spans="1:13" s="483" customFormat="1" ht="18" hidden="1" customHeight="1" x14ac:dyDescent="0.25">
      <c r="A235" s="514"/>
      <c r="B235" s="515">
        <f t="shared" si="6"/>
        <v>0</v>
      </c>
      <c r="C235" s="524">
        <v>221</v>
      </c>
      <c r="D235" s="1076"/>
      <c r="E235" s="1076"/>
      <c r="F235" s="1076"/>
      <c r="G235" s="412"/>
      <c r="H235" s="412"/>
      <c r="I235" s="1113"/>
      <c r="J235" s="1113"/>
      <c r="K235" s="525">
        <f t="shared" si="7"/>
        <v>0</v>
      </c>
      <c r="L235" s="526"/>
      <c r="M235" s="527"/>
    </row>
    <row r="236" spans="1:13" s="483" customFormat="1" ht="18" hidden="1" customHeight="1" x14ac:dyDescent="0.25">
      <c r="A236" s="514"/>
      <c r="B236" s="515">
        <f t="shared" si="6"/>
        <v>0</v>
      </c>
      <c r="C236" s="524">
        <v>222</v>
      </c>
      <c r="D236" s="1076"/>
      <c r="E236" s="1076"/>
      <c r="F236" s="1076"/>
      <c r="G236" s="412"/>
      <c r="H236" s="412"/>
      <c r="I236" s="1113"/>
      <c r="J236" s="1113"/>
      <c r="K236" s="525">
        <f t="shared" si="7"/>
        <v>0</v>
      </c>
      <c r="L236" s="526"/>
      <c r="M236" s="527"/>
    </row>
    <row r="237" spans="1:13" s="483" customFormat="1" ht="18" hidden="1" customHeight="1" x14ac:dyDescent="0.25">
      <c r="A237" s="514"/>
      <c r="B237" s="515">
        <f t="shared" si="6"/>
        <v>0</v>
      </c>
      <c r="C237" s="524">
        <v>223</v>
      </c>
      <c r="D237" s="1076"/>
      <c r="E237" s="1076"/>
      <c r="F237" s="1076"/>
      <c r="G237" s="412"/>
      <c r="H237" s="412"/>
      <c r="I237" s="1113"/>
      <c r="J237" s="1113"/>
      <c r="K237" s="525">
        <f t="shared" si="7"/>
        <v>0</v>
      </c>
      <c r="L237" s="526"/>
      <c r="M237" s="527"/>
    </row>
    <row r="238" spans="1:13" s="483" customFormat="1" ht="18" hidden="1" customHeight="1" x14ac:dyDescent="0.25">
      <c r="A238" s="514"/>
      <c r="B238" s="515">
        <f t="shared" si="6"/>
        <v>0</v>
      </c>
      <c r="C238" s="524">
        <v>224</v>
      </c>
      <c r="D238" s="1076"/>
      <c r="E238" s="1076"/>
      <c r="F238" s="1076"/>
      <c r="G238" s="412"/>
      <c r="H238" s="412"/>
      <c r="I238" s="1113"/>
      <c r="J238" s="1113"/>
      <c r="K238" s="525">
        <f t="shared" si="7"/>
        <v>0</v>
      </c>
      <c r="L238" s="526"/>
      <c r="M238" s="527"/>
    </row>
    <row r="239" spans="1:13" s="483" customFormat="1" ht="18" hidden="1" customHeight="1" x14ac:dyDescent="0.25">
      <c r="A239" s="514"/>
      <c r="B239" s="515">
        <f t="shared" si="6"/>
        <v>0</v>
      </c>
      <c r="C239" s="524">
        <v>225</v>
      </c>
      <c r="D239" s="1076"/>
      <c r="E239" s="1076"/>
      <c r="F239" s="1076"/>
      <c r="G239" s="412"/>
      <c r="H239" s="412"/>
      <c r="I239" s="1113"/>
      <c r="J239" s="1113"/>
      <c r="K239" s="525">
        <f t="shared" si="7"/>
        <v>0</v>
      </c>
      <c r="L239" s="526"/>
      <c r="M239" s="527"/>
    </row>
    <row r="240" spans="1:13" s="483" customFormat="1" ht="18" hidden="1" customHeight="1" x14ac:dyDescent="0.25">
      <c r="A240" s="514"/>
      <c r="B240" s="515">
        <f t="shared" si="6"/>
        <v>0</v>
      </c>
      <c r="C240" s="524">
        <v>226</v>
      </c>
      <c r="D240" s="1076"/>
      <c r="E240" s="1076"/>
      <c r="F240" s="1076"/>
      <c r="G240" s="412"/>
      <c r="H240" s="412"/>
      <c r="I240" s="1113"/>
      <c r="J240" s="1113"/>
      <c r="K240" s="525">
        <f t="shared" si="7"/>
        <v>0</v>
      </c>
      <c r="L240" s="526"/>
      <c r="M240" s="527"/>
    </row>
    <row r="241" spans="1:13" s="483" customFormat="1" ht="18" hidden="1" customHeight="1" x14ac:dyDescent="0.25">
      <c r="A241" s="514"/>
      <c r="B241" s="515">
        <f t="shared" si="6"/>
        <v>0</v>
      </c>
      <c r="C241" s="524">
        <v>227</v>
      </c>
      <c r="D241" s="1076"/>
      <c r="E241" s="1076"/>
      <c r="F241" s="1076"/>
      <c r="G241" s="412"/>
      <c r="H241" s="412"/>
      <c r="I241" s="1113"/>
      <c r="J241" s="1113"/>
      <c r="K241" s="525">
        <f t="shared" si="7"/>
        <v>0</v>
      </c>
      <c r="L241" s="526"/>
      <c r="M241" s="527"/>
    </row>
    <row r="242" spans="1:13" s="483" customFormat="1" ht="18" hidden="1" customHeight="1" x14ac:dyDescent="0.25">
      <c r="A242" s="514"/>
      <c r="B242" s="515">
        <f t="shared" si="6"/>
        <v>0</v>
      </c>
      <c r="C242" s="524">
        <v>228</v>
      </c>
      <c r="D242" s="1076"/>
      <c r="E242" s="1076"/>
      <c r="F242" s="1076"/>
      <c r="G242" s="412"/>
      <c r="H242" s="412"/>
      <c r="I242" s="1113"/>
      <c r="J242" s="1113"/>
      <c r="K242" s="525">
        <f t="shared" si="7"/>
        <v>0</v>
      </c>
      <c r="L242" s="526"/>
      <c r="M242" s="527"/>
    </row>
    <row r="243" spans="1:13" s="483" customFormat="1" ht="18" hidden="1" customHeight="1" x14ac:dyDescent="0.25">
      <c r="A243" s="514"/>
      <c r="B243" s="515">
        <f t="shared" si="6"/>
        <v>0</v>
      </c>
      <c r="C243" s="524">
        <v>229</v>
      </c>
      <c r="D243" s="1076"/>
      <c r="E243" s="1076"/>
      <c r="F243" s="1076"/>
      <c r="G243" s="412"/>
      <c r="H243" s="412"/>
      <c r="I243" s="1113"/>
      <c r="J243" s="1113"/>
      <c r="K243" s="525">
        <f t="shared" si="7"/>
        <v>0</v>
      </c>
      <c r="L243" s="526"/>
      <c r="M243" s="527"/>
    </row>
    <row r="244" spans="1:13" s="483" customFormat="1" ht="18" hidden="1" customHeight="1" x14ac:dyDescent="0.25">
      <c r="A244" s="514"/>
      <c r="B244" s="515">
        <f t="shared" si="6"/>
        <v>0</v>
      </c>
      <c r="C244" s="524">
        <v>230</v>
      </c>
      <c r="D244" s="1076"/>
      <c r="E244" s="1076"/>
      <c r="F244" s="1076"/>
      <c r="G244" s="412"/>
      <c r="H244" s="412"/>
      <c r="I244" s="1113"/>
      <c r="J244" s="1113"/>
      <c r="K244" s="525">
        <f t="shared" si="7"/>
        <v>0</v>
      </c>
      <c r="L244" s="526"/>
      <c r="M244" s="527"/>
    </row>
    <row r="245" spans="1:13" s="483" customFormat="1" ht="18" hidden="1" customHeight="1" x14ac:dyDescent="0.25">
      <c r="A245" s="514"/>
      <c r="B245" s="515">
        <f t="shared" si="6"/>
        <v>0</v>
      </c>
      <c r="C245" s="524">
        <v>231</v>
      </c>
      <c r="D245" s="1076"/>
      <c r="E245" s="1076"/>
      <c r="F245" s="1076"/>
      <c r="G245" s="412"/>
      <c r="H245" s="412"/>
      <c r="I245" s="1113"/>
      <c r="J245" s="1113"/>
      <c r="K245" s="525">
        <f t="shared" si="7"/>
        <v>0</v>
      </c>
      <c r="L245" s="526"/>
      <c r="M245" s="527"/>
    </row>
    <row r="246" spans="1:13" s="483" customFormat="1" ht="18" hidden="1" customHeight="1" x14ac:dyDescent="0.25">
      <c r="A246" s="514"/>
      <c r="B246" s="515">
        <f t="shared" si="6"/>
        <v>0</v>
      </c>
      <c r="C246" s="524">
        <v>232</v>
      </c>
      <c r="D246" s="1076"/>
      <c r="E246" s="1076"/>
      <c r="F246" s="1076"/>
      <c r="G246" s="412"/>
      <c r="H246" s="412"/>
      <c r="I246" s="1113"/>
      <c r="J246" s="1113"/>
      <c r="K246" s="525">
        <f t="shared" si="7"/>
        <v>0</v>
      </c>
      <c r="L246" s="526"/>
      <c r="M246" s="527"/>
    </row>
    <row r="247" spans="1:13" s="483" customFormat="1" ht="18" hidden="1" customHeight="1" x14ac:dyDescent="0.25">
      <c r="A247" s="514"/>
      <c r="B247" s="515">
        <f t="shared" si="6"/>
        <v>0</v>
      </c>
      <c r="C247" s="524">
        <v>233</v>
      </c>
      <c r="D247" s="1076"/>
      <c r="E247" s="1076"/>
      <c r="F247" s="1076"/>
      <c r="G247" s="412"/>
      <c r="H247" s="412"/>
      <c r="I247" s="1113"/>
      <c r="J247" s="1113"/>
      <c r="K247" s="525">
        <f t="shared" si="7"/>
        <v>0</v>
      </c>
      <c r="L247" s="526"/>
      <c r="M247" s="527"/>
    </row>
    <row r="248" spans="1:13" s="483" customFormat="1" ht="18" hidden="1" customHeight="1" x14ac:dyDescent="0.25">
      <c r="A248" s="514"/>
      <c r="B248" s="515">
        <f t="shared" si="6"/>
        <v>0</v>
      </c>
      <c r="C248" s="524">
        <v>234</v>
      </c>
      <c r="D248" s="1076"/>
      <c r="E248" s="1076"/>
      <c r="F248" s="1076"/>
      <c r="G248" s="412"/>
      <c r="H248" s="412"/>
      <c r="I248" s="1113"/>
      <c r="J248" s="1113"/>
      <c r="K248" s="525">
        <f t="shared" si="7"/>
        <v>0</v>
      </c>
      <c r="L248" s="526"/>
      <c r="M248" s="527"/>
    </row>
    <row r="249" spans="1:13" s="483" customFormat="1" ht="18" hidden="1" customHeight="1" x14ac:dyDescent="0.25">
      <c r="A249" s="514"/>
      <c r="B249" s="515">
        <f t="shared" si="6"/>
        <v>0</v>
      </c>
      <c r="C249" s="524">
        <v>235</v>
      </c>
      <c r="D249" s="1076"/>
      <c r="E249" s="1076"/>
      <c r="F249" s="1076"/>
      <c r="G249" s="412"/>
      <c r="H249" s="412"/>
      <c r="I249" s="1113"/>
      <c r="J249" s="1113"/>
      <c r="K249" s="525">
        <f t="shared" si="7"/>
        <v>0</v>
      </c>
      <c r="L249" s="526"/>
      <c r="M249" s="527"/>
    </row>
    <row r="250" spans="1:13" s="483" customFormat="1" ht="18" hidden="1" customHeight="1" x14ac:dyDescent="0.25">
      <c r="A250" s="514"/>
      <c r="B250" s="515">
        <f t="shared" si="6"/>
        <v>0</v>
      </c>
      <c r="C250" s="524">
        <v>236</v>
      </c>
      <c r="D250" s="1076"/>
      <c r="E250" s="1076"/>
      <c r="F250" s="1076"/>
      <c r="G250" s="412"/>
      <c r="H250" s="412"/>
      <c r="I250" s="1113"/>
      <c r="J250" s="1113"/>
      <c r="K250" s="525">
        <f t="shared" si="7"/>
        <v>0</v>
      </c>
      <c r="L250" s="526"/>
      <c r="M250" s="527"/>
    </row>
    <row r="251" spans="1:13" s="483" customFormat="1" ht="18" hidden="1" customHeight="1" x14ac:dyDescent="0.25">
      <c r="A251" s="514"/>
      <c r="B251" s="515">
        <f t="shared" si="6"/>
        <v>0</v>
      </c>
      <c r="C251" s="524">
        <v>237</v>
      </c>
      <c r="D251" s="1076"/>
      <c r="E251" s="1076"/>
      <c r="F251" s="1076"/>
      <c r="G251" s="412"/>
      <c r="H251" s="412"/>
      <c r="I251" s="1113"/>
      <c r="J251" s="1113"/>
      <c r="K251" s="525">
        <f t="shared" si="7"/>
        <v>0</v>
      </c>
      <c r="L251" s="526"/>
      <c r="M251" s="527"/>
    </row>
    <row r="252" spans="1:13" s="483" customFormat="1" ht="18" hidden="1" customHeight="1" x14ac:dyDescent="0.25">
      <c r="A252" s="514"/>
      <c r="B252" s="515">
        <f t="shared" si="6"/>
        <v>0</v>
      </c>
      <c r="C252" s="524">
        <v>238</v>
      </c>
      <c r="D252" s="1076"/>
      <c r="E252" s="1076"/>
      <c r="F252" s="1076"/>
      <c r="G252" s="412"/>
      <c r="H252" s="412"/>
      <c r="I252" s="1113"/>
      <c r="J252" s="1113"/>
      <c r="K252" s="525">
        <f t="shared" si="7"/>
        <v>0</v>
      </c>
      <c r="L252" s="526"/>
      <c r="M252" s="527"/>
    </row>
    <row r="253" spans="1:13" s="483" customFormat="1" ht="18" hidden="1" customHeight="1" x14ac:dyDescent="0.25">
      <c r="A253" s="514"/>
      <c r="B253" s="515">
        <f t="shared" si="6"/>
        <v>0</v>
      </c>
      <c r="C253" s="524">
        <v>239</v>
      </c>
      <c r="D253" s="1076"/>
      <c r="E253" s="1076"/>
      <c r="F253" s="1076"/>
      <c r="G253" s="412"/>
      <c r="H253" s="412"/>
      <c r="I253" s="1113"/>
      <c r="J253" s="1113"/>
      <c r="K253" s="525">
        <f t="shared" si="7"/>
        <v>0</v>
      </c>
      <c r="L253" s="526"/>
      <c r="M253" s="527"/>
    </row>
    <row r="254" spans="1:13" s="483" customFormat="1" ht="18" hidden="1" customHeight="1" x14ac:dyDescent="0.25">
      <c r="A254" s="514"/>
      <c r="B254" s="515">
        <f t="shared" si="6"/>
        <v>0</v>
      </c>
      <c r="C254" s="524">
        <v>240</v>
      </c>
      <c r="D254" s="1076"/>
      <c r="E254" s="1076"/>
      <c r="F254" s="1076"/>
      <c r="G254" s="412"/>
      <c r="H254" s="412"/>
      <c r="I254" s="1113"/>
      <c r="J254" s="1113"/>
      <c r="K254" s="525">
        <f t="shared" si="7"/>
        <v>0</v>
      </c>
      <c r="L254" s="526"/>
      <c r="M254" s="527"/>
    </row>
    <row r="255" spans="1:13" s="483" customFormat="1" ht="18" hidden="1" customHeight="1" x14ac:dyDescent="0.25">
      <c r="A255" s="514"/>
      <c r="B255" s="515">
        <f t="shared" si="6"/>
        <v>0</v>
      </c>
      <c r="C255" s="524">
        <v>241</v>
      </c>
      <c r="D255" s="1076"/>
      <c r="E255" s="1076"/>
      <c r="F255" s="1076"/>
      <c r="G255" s="412"/>
      <c r="H255" s="412"/>
      <c r="I255" s="1113"/>
      <c r="J255" s="1113"/>
      <c r="K255" s="525">
        <f t="shared" si="7"/>
        <v>0</v>
      </c>
      <c r="L255" s="526"/>
      <c r="M255" s="527"/>
    </row>
    <row r="256" spans="1:13" s="483" customFormat="1" ht="18" hidden="1" customHeight="1" x14ac:dyDescent="0.25">
      <c r="A256" s="514"/>
      <c r="B256" s="515">
        <f t="shared" si="6"/>
        <v>0</v>
      </c>
      <c r="C256" s="524">
        <v>242</v>
      </c>
      <c r="D256" s="1076"/>
      <c r="E256" s="1076"/>
      <c r="F256" s="1076"/>
      <c r="G256" s="412"/>
      <c r="H256" s="412"/>
      <c r="I256" s="1113"/>
      <c r="J256" s="1113"/>
      <c r="K256" s="525">
        <f t="shared" si="7"/>
        <v>0</v>
      </c>
      <c r="L256" s="526"/>
      <c r="M256" s="527"/>
    </row>
    <row r="257" spans="1:16" s="483" customFormat="1" ht="18" hidden="1" customHeight="1" x14ac:dyDescent="0.25">
      <c r="A257" s="514"/>
      <c r="B257" s="515">
        <f t="shared" si="6"/>
        <v>0</v>
      </c>
      <c r="C257" s="524">
        <v>243</v>
      </c>
      <c r="D257" s="1076"/>
      <c r="E257" s="1076"/>
      <c r="F257" s="1076"/>
      <c r="G257" s="412"/>
      <c r="H257" s="412"/>
      <c r="I257" s="1113"/>
      <c r="J257" s="1113"/>
      <c r="K257" s="525">
        <f t="shared" si="7"/>
        <v>0</v>
      </c>
      <c r="L257" s="526"/>
      <c r="M257" s="527"/>
    </row>
    <row r="258" spans="1:16" s="483" customFormat="1" ht="18" hidden="1" customHeight="1" x14ac:dyDescent="0.25">
      <c r="A258" s="514"/>
      <c r="B258" s="515">
        <f t="shared" si="6"/>
        <v>0</v>
      </c>
      <c r="C258" s="524">
        <v>244</v>
      </c>
      <c r="D258" s="1076"/>
      <c r="E258" s="1076"/>
      <c r="F258" s="1076"/>
      <c r="G258" s="412"/>
      <c r="H258" s="412"/>
      <c r="I258" s="1113"/>
      <c r="J258" s="1113"/>
      <c r="K258" s="525">
        <f t="shared" si="7"/>
        <v>0</v>
      </c>
      <c r="L258" s="526"/>
      <c r="M258" s="527"/>
    </row>
    <row r="259" spans="1:16" s="483" customFormat="1" ht="18" hidden="1" customHeight="1" x14ac:dyDescent="0.25">
      <c r="A259" s="514"/>
      <c r="B259" s="515">
        <f t="shared" si="6"/>
        <v>0</v>
      </c>
      <c r="C259" s="524">
        <v>245</v>
      </c>
      <c r="D259" s="1076"/>
      <c r="E259" s="1076"/>
      <c r="F259" s="1076"/>
      <c r="G259" s="412"/>
      <c r="H259" s="412"/>
      <c r="I259" s="1113"/>
      <c r="J259" s="1113"/>
      <c r="K259" s="525">
        <f t="shared" si="7"/>
        <v>0</v>
      </c>
      <c r="L259" s="526"/>
      <c r="M259" s="527"/>
    </row>
    <row r="260" spans="1:16" s="483" customFormat="1" ht="18" hidden="1" customHeight="1" x14ac:dyDescent="0.25">
      <c r="A260" s="514"/>
      <c r="B260" s="515">
        <f t="shared" si="6"/>
        <v>0</v>
      </c>
      <c r="C260" s="524">
        <v>246</v>
      </c>
      <c r="D260" s="1076"/>
      <c r="E260" s="1076"/>
      <c r="F260" s="1076"/>
      <c r="G260" s="412"/>
      <c r="H260" s="412"/>
      <c r="I260" s="1113"/>
      <c r="J260" s="1113"/>
      <c r="K260" s="525">
        <f t="shared" si="7"/>
        <v>0</v>
      </c>
      <c r="L260" s="526"/>
      <c r="M260" s="527"/>
    </row>
    <row r="261" spans="1:16" s="483" customFormat="1" ht="18" hidden="1" customHeight="1" x14ac:dyDescent="0.25">
      <c r="A261" s="514"/>
      <c r="B261" s="515">
        <f t="shared" si="6"/>
        <v>0</v>
      </c>
      <c r="C261" s="524">
        <v>247</v>
      </c>
      <c r="D261" s="1076"/>
      <c r="E261" s="1076"/>
      <c r="F261" s="1076"/>
      <c r="G261" s="412"/>
      <c r="H261" s="412"/>
      <c r="I261" s="1113"/>
      <c r="J261" s="1113"/>
      <c r="K261" s="525">
        <f t="shared" si="7"/>
        <v>0</v>
      </c>
      <c r="L261" s="526"/>
      <c r="M261" s="527"/>
    </row>
    <row r="262" spans="1:16" s="483" customFormat="1" ht="18" hidden="1" customHeight="1" x14ac:dyDescent="0.25">
      <c r="A262" s="514"/>
      <c r="B262" s="515">
        <f t="shared" si="6"/>
        <v>0</v>
      </c>
      <c r="C262" s="524">
        <v>248</v>
      </c>
      <c r="D262" s="1076"/>
      <c r="E262" s="1076"/>
      <c r="F262" s="1076"/>
      <c r="G262" s="412"/>
      <c r="H262" s="412"/>
      <c r="I262" s="1113"/>
      <c r="J262" s="1113"/>
      <c r="K262" s="525">
        <f t="shared" si="7"/>
        <v>0</v>
      </c>
      <c r="L262" s="526"/>
      <c r="M262" s="527"/>
    </row>
    <row r="263" spans="1:16" s="483" customFormat="1" ht="18" hidden="1" customHeight="1" x14ac:dyDescent="0.25">
      <c r="A263" s="514"/>
      <c r="B263" s="515">
        <f t="shared" si="6"/>
        <v>0</v>
      </c>
      <c r="C263" s="524">
        <v>249</v>
      </c>
      <c r="D263" s="1076"/>
      <c r="E263" s="1076"/>
      <c r="F263" s="1076"/>
      <c r="G263" s="412"/>
      <c r="H263" s="412"/>
      <c r="I263" s="1113"/>
      <c r="J263" s="1113"/>
      <c r="K263" s="525">
        <f t="shared" si="7"/>
        <v>0</v>
      </c>
      <c r="L263" s="526"/>
      <c r="M263" s="527"/>
    </row>
    <row r="264" spans="1:16" s="483" customFormat="1" ht="18" hidden="1" customHeight="1" x14ac:dyDescent="0.25">
      <c r="A264" s="514"/>
      <c r="B264" s="515">
        <f t="shared" si="6"/>
        <v>0</v>
      </c>
      <c r="C264" s="524">
        <v>250</v>
      </c>
      <c r="D264" s="1076"/>
      <c r="E264" s="1076"/>
      <c r="F264" s="1076"/>
      <c r="G264" s="412"/>
      <c r="H264" s="412"/>
      <c r="I264" s="1113"/>
      <c r="J264" s="1113"/>
      <c r="K264" s="525">
        <f t="shared" si="7"/>
        <v>0</v>
      </c>
      <c r="L264" s="526"/>
      <c r="M264" s="527"/>
    </row>
    <row r="265" spans="1:16" s="483" customFormat="1" ht="18" customHeight="1" x14ac:dyDescent="0.25">
      <c r="A265" s="514"/>
      <c r="B265" s="515"/>
      <c r="C265" s="1114" t="s">
        <v>498</v>
      </c>
      <c r="D265" s="1114"/>
      <c r="E265" s="1114"/>
      <c r="F265" s="1114"/>
      <c r="G265" s="1114"/>
      <c r="H265" s="1114"/>
      <c r="I265" s="1114"/>
      <c r="J265" s="1114"/>
      <c r="K265" s="528">
        <f>SUM(K15:K264)</f>
        <v>0</v>
      </c>
      <c r="L265" s="529"/>
      <c r="M265" s="530"/>
    </row>
    <row r="266" spans="1:16" s="483" customFormat="1" ht="18" customHeight="1" x14ac:dyDescent="0.25">
      <c r="A266" s="514"/>
      <c r="B266" s="515"/>
      <c r="G266" s="492"/>
      <c r="H266" s="492"/>
      <c r="L266" s="516"/>
    </row>
    <row r="267" spans="1:16" s="483" customFormat="1" ht="53.25" customHeight="1" x14ac:dyDescent="0.25">
      <c r="A267" s="514"/>
      <c r="B267" s="515"/>
      <c r="C267" s="1111" t="s">
        <v>499</v>
      </c>
      <c r="D267" s="1111"/>
      <c r="E267" s="1111"/>
      <c r="F267" s="1111"/>
      <c r="G267" s="1111"/>
      <c r="H267" s="1111"/>
      <c r="I267" s="1111"/>
      <c r="J267" s="1111"/>
      <c r="K267" s="1111"/>
      <c r="L267" s="1111"/>
      <c r="M267" s="1111"/>
      <c r="N267" s="1111"/>
      <c r="O267" s="1111"/>
      <c r="P267" s="1111"/>
    </row>
    <row r="268" spans="1:16" s="483" customFormat="1" ht="18" customHeight="1" x14ac:dyDescent="0.25">
      <c r="A268" s="514"/>
      <c r="B268" s="515"/>
      <c r="G268" s="492"/>
      <c r="H268" s="492"/>
      <c r="L268" s="516"/>
    </row>
    <row r="269" spans="1:16" s="483" customFormat="1" ht="18" customHeight="1" x14ac:dyDescent="0.25">
      <c r="A269" s="531"/>
      <c r="B269" s="514"/>
      <c r="C269" s="1115" t="s">
        <v>500</v>
      </c>
      <c r="D269" s="1115"/>
      <c r="E269" s="1115"/>
      <c r="F269" s="1115"/>
      <c r="G269" s="1115"/>
      <c r="H269" s="1115"/>
      <c r="I269" s="1115"/>
      <c r="J269" s="1115"/>
      <c r="K269" s="1115"/>
      <c r="L269" s="1115"/>
      <c r="M269" s="1115"/>
      <c r="N269" s="1115"/>
      <c r="O269" s="1115"/>
      <c r="P269" s="1115"/>
    </row>
    <row r="270" spans="1:16" s="483" customFormat="1" ht="54.75" customHeight="1" x14ac:dyDescent="0.25">
      <c r="A270" s="532" t="s">
        <v>501</v>
      </c>
      <c r="B270" s="533" t="s">
        <v>502</v>
      </c>
      <c r="C270" s="534" t="s">
        <v>497</v>
      </c>
      <c r="D270" s="1116" t="s">
        <v>380</v>
      </c>
      <c r="E270" s="1116"/>
      <c r="F270" s="1116"/>
      <c r="G270" s="534" t="s">
        <v>113</v>
      </c>
      <c r="H270" s="534" t="s">
        <v>383</v>
      </c>
      <c r="I270" s="1116" t="s">
        <v>393</v>
      </c>
      <c r="J270" s="1116"/>
      <c r="K270" s="534" t="s">
        <v>385</v>
      </c>
      <c r="L270" s="535"/>
      <c r="M270" s="534" t="s">
        <v>503</v>
      </c>
      <c r="N270" s="534" t="s">
        <v>504</v>
      </c>
      <c r="O270" s="534" t="s">
        <v>505</v>
      </c>
      <c r="P270" s="534" t="s">
        <v>506</v>
      </c>
    </row>
    <row r="271" spans="1:16" s="483" customFormat="1" ht="18" customHeight="1" x14ac:dyDescent="0.25">
      <c r="A271" s="536" t="str">
        <f t="shared" ref="A271:A334" si="8">P271</f>
        <v/>
      </c>
      <c r="B271" s="537">
        <f>LARGE($B$15:$B$264,1)</f>
        <v>0</v>
      </c>
      <c r="C271" s="538" t="str">
        <f t="shared" ref="C271:C334" si="9">IFERROR(IF(B271=0,"",VLOOKUP(B271,$B$15:$J$264,2,FALSE())),"")</f>
        <v/>
      </c>
      <c r="D271" s="1117" t="str">
        <f t="shared" ref="D271:D334" si="10">IFERROR(IF(B271=0,"",VLOOKUP(B271,$B$15:$J$264,3,FALSE())),"")</f>
        <v/>
      </c>
      <c r="E271" s="1117"/>
      <c r="F271" s="1117"/>
      <c r="G271" s="538" t="str">
        <f t="shared" ref="G271:G334" si="11">IFERROR(IF(B271=0,"",VLOOKUP(B271,$B$15:$J$264,6,FALSE())),"")</f>
        <v/>
      </c>
      <c r="H271" s="538" t="str">
        <f t="shared" ref="H271:H334" si="12">IFERROR(IF(B271=0,"",VLOOKUP(B271,$B$15:$J$264,7,FALSE())),"")</f>
        <v/>
      </c>
      <c r="I271" s="1118" t="str">
        <f t="shared" ref="I271:I334" si="13">IF(B271=0,"",VLOOKUP(B271,$B$15:$J$264,8,FALSE()))</f>
        <v/>
      </c>
      <c r="J271" s="1118"/>
      <c r="K271" s="539" t="str">
        <f t="shared" ref="K271:K334" si="14">IF(B271=0,"",H271*I271)</f>
        <v/>
      </c>
      <c r="L271" s="536" t="str">
        <f t="shared" ref="L271:L334" si="15">O271</f>
        <v/>
      </c>
      <c r="M271" s="540" t="str">
        <f t="shared" ref="M271:M334" si="16">IF(B271=0,"",B271)</f>
        <v/>
      </c>
      <c r="N271" s="540" t="str">
        <f>IF(B271=0,"",M271)</f>
        <v/>
      </c>
      <c r="O271" s="538" t="str">
        <f t="shared" ref="O271:O334" si="17">IF(B271=0,"",(IF(N271&lt;80%,"Si","No")))</f>
        <v/>
      </c>
      <c r="P271" s="540" t="str">
        <f t="shared" ref="P271:P334" si="18">IF(B271=0,"",(IF(M271=$M$521,"Si",(IF(M271&gt;$M$521,"Si","No")))))</f>
        <v/>
      </c>
    </row>
    <row r="272" spans="1:16" s="483" customFormat="1" ht="18" customHeight="1" x14ac:dyDescent="0.25">
      <c r="A272" s="536" t="str">
        <f t="shared" si="8"/>
        <v/>
      </c>
      <c r="B272" s="537">
        <f>LARGE($B$15:$B$264,2)</f>
        <v>0</v>
      </c>
      <c r="C272" s="538" t="str">
        <f t="shared" si="9"/>
        <v/>
      </c>
      <c r="D272" s="1117" t="str">
        <f t="shared" si="10"/>
        <v/>
      </c>
      <c r="E272" s="1117"/>
      <c r="F272" s="1117"/>
      <c r="G272" s="538" t="str">
        <f t="shared" si="11"/>
        <v/>
      </c>
      <c r="H272" s="538" t="str">
        <f t="shared" si="12"/>
        <v/>
      </c>
      <c r="I272" s="1118" t="str">
        <f t="shared" si="13"/>
        <v/>
      </c>
      <c r="J272" s="1118"/>
      <c r="K272" s="539" t="str">
        <f t="shared" si="14"/>
        <v/>
      </c>
      <c r="L272" s="536" t="str">
        <f t="shared" si="15"/>
        <v/>
      </c>
      <c r="M272" s="540" t="str">
        <f t="shared" si="16"/>
        <v/>
      </c>
      <c r="N272" s="540" t="str">
        <f t="shared" ref="N272:N335" si="19">IF(B272=0,"",M272+N271)</f>
        <v/>
      </c>
      <c r="O272" s="538" t="str">
        <f t="shared" si="17"/>
        <v/>
      </c>
      <c r="P272" s="540" t="str">
        <f t="shared" si="18"/>
        <v/>
      </c>
    </row>
    <row r="273" spans="1:16" s="483" customFormat="1" ht="18" customHeight="1" x14ac:dyDescent="0.25">
      <c r="A273" s="536" t="str">
        <f t="shared" si="8"/>
        <v/>
      </c>
      <c r="B273" s="537">
        <f>LARGE($B$15:$B$264,3)</f>
        <v>0</v>
      </c>
      <c r="C273" s="538" t="str">
        <f t="shared" si="9"/>
        <v/>
      </c>
      <c r="D273" s="1117" t="str">
        <f t="shared" si="10"/>
        <v/>
      </c>
      <c r="E273" s="1117"/>
      <c r="F273" s="1117"/>
      <c r="G273" s="538" t="str">
        <f t="shared" si="11"/>
        <v/>
      </c>
      <c r="H273" s="538" t="str">
        <f t="shared" si="12"/>
        <v/>
      </c>
      <c r="I273" s="1118" t="str">
        <f t="shared" si="13"/>
        <v/>
      </c>
      <c r="J273" s="1118"/>
      <c r="K273" s="539" t="str">
        <f t="shared" si="14"/>
        <v/>
      </c>
      <c r="L273" s="536" t="str">
        <f t="shared" si="15"/>
        <v/>
      </c>
      <c r="M273" s="540" t="str">
        <f t="shared" si="16"/>
        <v/>
      </c>
      <c r="N273" s="540" t="str">
        <f t="shared" si="19"/>
        <v/>
      </c>
      <c r="O273" s="538" t="str">
        <f t="shared" si="17"/>
        <v/>
      </c>
      <c r="P273" s="540" t="str">
        <f t="shared" si="18"/>
        <v/>
      </c>
    </row>
    <row r="274" spans="1:16" s="483" customFormat="1" ht="18" customHeight="1" x14ac:dyDescent="0.25">
      <c r="A274" s="536" t="str">
        <f t="shared" si="8"/>
        <v/>
      </c>
      <c r="B274" s="537">
        <f>LARGE($B$15:$B$264,4)</f>
        <v>0</v>
      </c>
      <c r="C274" s="538" t="str">
        <f t="shared" si="9"/>
        <v/>
      </c>
      <c r="D274" s="1117" t="str">
        <f t="shared" si="10"/>
        <v/>
      </c>
      <c r="E274" s="1117"/>
      <c r="F274" s="1117"/>
      <c r="G274" s="538" t="str">
        <f t="shared" si="11"/>
        <v/>
      </c>
      <c r="H274" s="538" t="str">
        <f t="shared" si="12"/>
        <v/>
      </c>
      <c r="I274" s="1118" t="str">
        <f t="shared" si="13"/>
        <v/>
      </c>
      <c r="J274" s="1118"/>
      <c r="K274" s="539" t="str">
        <f t="shared" si="14"/>
        <v/>
      </c>
      <c r="L274" s="536" t="str">
        <f t="shared" si="15"/>
        <v/>
      </c>
      <c r="M274" s="540" t="str">
        <f t="shared" si="16"/>
        <v/>
      </c>
      <c r="N274" s="540" t="str">
        <f t="shared" si="19"/>
        <v/>
      </c>
      <c r="O274" s="538" t="str">
        <f t="shared" si="17"/>
        <v/>
      </c>
      <c r="P274" s="540" t="str">
        <f t="shared" si="18"/>
        <v/>
      </c>
    </row>
    <row r="275" spans="1:16" s="483" customFormat="1" ht="18" customHeight="1" x14ac:dyDescent="0.25">
      <c r="A275" s="536" t="str">
        <f t="shared" si="8"/>
        <v/>
      </c>
      <c r="B275" s="537">
        <f>LARGE($B$15:$B$264,5)</f>
        <v>0</v>
      </c>
      <c r="C275" s="538" t="str">
        <f t="shared" si="9"/>
        <v/>
      </c>
      <c r="D275" s="1117" t="str">
        <f t="shared" si="10"/>
        <v/>
      </c>
      <c r="E275" s="1117"/>
      <c r="F275" s="1117"/>
      <c r="G275" s="538" t="str">
        <f t="shared" si="11"/>
        <v/>
      </c>
      <c r="H275" s="538" t="str">
        <f t="shared" si="12"/>
        <v/>
      </c>
      <c r="I275" s="1118" t="str">
        <f t="shared" si="13"/>
        <v/>
      </c>
      <c r="J275" s="1118"/>
      <c r="K275" s="539" t="str">
        <f t="shared" si="14"/>
        <v/>
      </c>
      <c r="L275" s="536" t="str">
        <f t="shared" si="15"/>
        <v/>
      </c>
      <c r="M275" s="540" t="str">
        <f t="shared" si="16"/>
        <v/>
      </c>
      <c r="N275" s="540" t="str">
        <f t="shared" si="19"/>
        <v/>
      </c>
      <c r="O275" s="538" t="str">
        <f t="shared" si="17"/>
        <v/>
      </c>
      <c r="P275" s="540" t="str">
        <f t="shared" si="18"/>
        <v/>
      </c>
    </row>
    <row r="276" spans="1:16" s="483" customFormat="1" ht="18" hidden="1" customHeight="1" x14ac:dyDescent="0.25">
      <c r="A276" s="536" t="str">
        <f t="shared" si="8"/>
        <v/>
      </c>
      <c r="B276" s="537">
        <f>LARGE($B$15:$B$264,6)</f>
        <v>0</v>
      </c>
      <c r="C276" s="538" t="str">
        <f t="shared" si="9"/>
        <v/>
      </c>
      <c r="D276" s="1117" t="str">
        <f t="shared" si="10"/>
        <v/>
      </c>
      <c r="E276" s="1117"/>
      <c r="F276" s="1117"/>
      <c r="G276" s="538" t="str">
        <f t="shared" si="11"/>
        <v/>
      </c>
      <c r="H276" s="538" t="str">
        <f t="shared" si="12"/>
        <v/>
      </c>
      <c r="I276" s="1118" t="str">
        <f t="shared" si="13"/>
        <v/>
      </c>
      <c r="J276" s="1118"/>
      <c r="K276" s="539" t="str">
        <f t="shared" si="14"/>
        <v/>
      </c>
      <c r="L276" s="536" t="str">
        <f t="shared" si="15"/>
        <v/>
      </c>
      <c r="M276" s="540" t="str">
        <f t="shared" si="16"/>
        <v/>
      </c>
      <c r="N276" s="540" t="str">
        <f t="shared" si="19"/>
        <v/>
      </c>
      <c r="O276" s="538" t="str">
        <f t="shared" si="17"/>
        <v/>
      </c>
      <c r="P276" s="540" t="str">
        <f t="shared" si="18"/>
        <v/>
      </c>
    </row>
    <row r="277" spans="1:16" s="483" customFormat="1" ht="18" hidden="1" customHeight="1" x14ac:dyDescent="0.25">
      <c r="A277" s="536" t="str">
        <f t="shared" si="8"/>
        <v/>
      </c>
      <c r="B277" s="537">
        <f>LARGE($B$15:$B$264,7)</f>
        <v>0</v>
      </c>
      <c r="C277" s="538" t="str">
        <f t="shared" si="9"/>
        <v/>
      </c>
      <c r="D277" s="1117" t="str">
        <f t="shared" si="10"/>
        <v/>
      </c>
      <c r="E277" s="1117"/>
      <c r="F277" s="1117"/>
      <c r="G277" s="538" t="str">
        <f t="shared" si="11"/>
        <v/>
      </c>
      <c r="H277" s="538" t="str">
        <f t="shared" si="12"/>
        <v/>
      </c>
      <c r="I277" s="1118" t="str">
        <f t="shared" si="13"/>
        <v/>
      </c>
      <c r="J277" s="1118"/>
      <c r="K277" s="539" t="str">
        <f t="shared" si="14"/>
        <v/>
      </c>
      <c r="L277" s="536" t="str">
        <f t="shared" si="15"/>
        <v/>
      </c>
      <c r="M277" s="540" t="str">
        <f t="shared" si="16"/>
        <v/>
      </c>
      <c r="N277" s="540" t="str">
        <f t="shared" si="19"/>
        <v/>
      </c>
      <c r="O277" s="538" t="str">
        <f t="shared" si="17"/>
        <v/>
      </c>
      <c r="P277" s="540" t="str">
        <f t="shared" si="18"/>
        <v/>
      </c>
    </row>
    <row r="278" spans="1:16" s="483" customFormat="1" ht="18" hidden="1" customHeight="1" x14ac:dyDescent="0.25">
      <c r="A278" s="536" t="str">
        <f t="shared" si="8"/>
        <v/>
      </c>
      <c r="B278" s="537">
        <f>LARGE($B$15:$B$264,8)</f>
        <v>0</v>
      </c>
      <c r="C278" s="538" t="str">
        <f t="shared" si="9"/>
        <v/>
      </c>
      <c r="D278" s="1117" t="str">
        <f t="shared" si="10"/>
        <v/>
      </c>
      <c r="E278" s="1117"/>
      <c r="F278" s="1117"/>
      <c r="G278" s="538" t="str">
        <f t="shared" si="11"/>
        <v/>
      </c>
      <c r="H278" s="538" t="str">
        <f t="shared" si="12"/>
        <v/>
      </c>
      <c r="I278" s="1118" t="str">
        <f t="shared" si="13"/>
        <v/>
      </c>
      <c r="J278" s="1118"/>
      <c r="K278" s="539" t="str">
        <f t="shared" si="14"/>
        <v/>
      </c>
      <c r="L278" s="536" t="str">
        <f t="shared" si="15"/>
        <v/>
      </c>
      <c r="M278" s="540" t="str">
        <f t="shared" si="16"/>
        <v/>
      </c>
      <c r="N278" s="540" t="str">
        <f t="shared" si="19"/>
        <v/>
      </c>
      <c r="O278" s="538" t="str">
        <f t="shared" si="17"/>
        <v/>
      </c>
      <c r="P278" s="540" t="str">
        <f t="shared" si="18"/>
        <v/>
      </c>
    </row>
    <row r="279" spans="1:16" s="483" customFormat="1" ht="18" hidden="1" customHeight="1" x14ac:dyDescent="0.25">
      <c r="A279" s="536" t="str">
        <f t="shared" si="8"/>
        <v/>
      </c>
      <c r="B279" s="537">
        <f>LARGE($B$15:$B$264,9)</f>
        <v>0</v>
      </c>
      <c r="C279" s="538" t="str">
        <f t="shared" si="9"/>
        <v/>
      </c>
      <c r="D279" s="1117" t="str">
        <f t="shared" si="10"/>
        <v/>
      </c>
      <c r="E279" s="1117"/>
      <c r="F279" s="1117"/>
      <c r="G279" s="538" t="str">
        <f t="shared" si="11"/>
        <v/>
      </c>
      <c r="H279" s="538" t="str">
        <f t="shared" si="12"/>
        <v/>
      </c>
      <c r="I279" s="1118" t="str">
        <f t="shared" si="13"/>
        <v/>
      </c>
      <c r="J279" s="1118"/>
      <c r="K279" s="539" t="str">
        <f t="shared" si="14"/>
        <v/>
      </c>
      <c r="L279" s="536" t="str">
        <f t="shared" si="15"/>
        <v/>
      </c>
      <c r="M279" s="540" t="str">
        <f t="shared" si="16"/>
        <v/>
      </c>
      <c r="N279" s="540" t="str">
        <f t="shared" si="19"/>
        <v/>
      </c>
      <c r="O279" s="538" t="str">
        <f t="shared" si="17"/>
        <v/>
      </c>
      <c r="P279" s="540" t="str">
        <f t="shared" si="18"/>
        <v/>
      </c>
    </row>
    <row r="280" spans="1:16" s="483" customFormat="1" ht="18" hidden="1" customHeight="1" x14ac:dyDescent="0.25">
      <c r="A280" s="536" t="str">
        <f t="shared" si="8"/>
        <v/>
      </c>
      <c r="B280" s="537">
        <f>LARGE($B$15:$B$264,10)</f>
        <v>0</v>
      </c>
      <c r="C280" s="538" t="str">
        <f t="shared" si="9"/>
        <v/>
      </c>
      <c r="D280" s="1117" t="str">
        <f t="shared" si="10"/>
        <v/>
      </c>
      <c r="E280" s="1117"/>
      <c r="F280" s="1117"/>
      <c r="G280" s="538" t="str">
        <f t="shared" si="11"/>
        <v/>
      </c>
      <c r="H280" s="538" t="str">
        <f t="shared" si="12"/>
        <v/>
      </c>
      <c r="I280" s="1118" t="str">
        <f t="shared" si="13"/>
        <v/>
      </c>
      <c r="J280" s="1118"/>
      <c r="K280" s="539" t="str">
        <f t="shared" si="14"/>
        <v/>
      </c>
      <c r="L280" s="536" t="str">
        <f t="shared" si="15"/>
        <v/>
      </c>
      <c r="M280" s="540" t="str">
        <f t="shared" si="16"/>
        <v/>
      </c>
      <c r="N280" s="540" t="str">
        <f t="shared" si="19"/>
        <v/>
      </c>
      <c r="O280" s="538" t="str">
        <f t="shared" si="17"/>
        <v/>
      </c>
      <c r="P280" s="540" t="str">
        <f t="shared" si="18"/>
        <v/>
      </c>
    </row>
    <row r="281" spans="1:16" s="483" customFormat="1" ht="18" hidden="1" customHeight="1" x14ac:dyDescent="0.25">
      <c r="A281" s="536" t="str">
        <f t="shared" si="8"/>
        <v/>
      </c>
      <c r="B281" s="537">
        <f>LARGE($B$15:$B$264,11)</f>
        <v>0</v>
      </c>
      <c r="C281" s="538" t="str">
        <f t="shared" si="9"/>
        <v/>
      </c>
      <c r="D281" s="1117" t="str">
        <f t="shared" si="10"/>
        <v/>
      </c>
      <c r="E281" s="1117"/>
      <c r="F281" s="1117"/>
      <c r="G281" s="538" t="str">
        <f t="shared" si="11"/>
        <v/>
      </c>
      <c r="H281" s="538" t="str">
        <f t="shared" si="12"/>
        <v/>
      </c>
      <c r="I281" s="1118" t="str">
        <f t="shared" si="13"/>
        <v/>
      </c>
      <c r="J281" s="1118"/>
      <c r="K281" s="539" t="str">
        <f t="shared" si="14"/>
        <v/>
      </c>
      <c r="L281" s="536" t="str">
        <f t="shared" si="15"/>
        <v/>
      </c>
      <c r="M281" s="540" t="str">
        <f t="shared" si="16"/>
        <v/>
      </c>
      <c r="N281" s="540" t="str">
        <f t="shared" si="19"/>
        <v/>
      </c>
      <c r="O281" s="538" t="str">
        <f t="shared" si="17"/>
        <v/>
      </c>
      <c r="P281" s="540" t="str">
        <f t="shared" si="18"/>
        <v/>
      </c>
    </row>
    <row r="282" spans="1:16" s="483" customFormat="1" ht="18" hidden="1" customHeight="1" x14ac:dyDescent="0.25">
      <c r="A282" s="536" t="str">
        <f t="shared" si="8"/>
        <v/>
      </c>
      <c r="B282" s="537">
        <f>LARGE($B$15:$B$264,12)</f>
        <v>0</v>
      </c>
      <c r="C282" s="538" t="str">
        <f t="shared" si="9"/>
        <v/>
      </c>
      <c r="D282" s="1117" t="str">
        <f t="shared" si="10"/>
        <v/>
      </c>
      <c r="E282" s="1117"/>
      <c r="F282" s="1117"/>
      <c r="G282" s="538" t="str">
        <f t="shared" si="11"/>
        <v/>
      </c>
      <c r="H282" s="538" t="str">
        <f t="shared" si="12"/>
        <v/>
      </c>
      <c r="I282" s="1118" t="str">
        <f t="shared" si="13"/>
        <v/>
      </c>
      <c r="J282" s="1118"/>
      <c r="K282" s="539" t="str">
        <f t="shared" si="14"/>
        <v/>
      </c>
      <c r="L282" s="536" t="str">
        <f t="shared" si="15"/>
        <v/>
      </c>
      <c r="M282" s="540" t="str">
        <f t="shared" si="16"/>
        <v/>
      </c>
      <c r="N282" s="540" t="str">
        <f t="shared" si="19"/>
        <v/>
      </c>
      <c r="O282" s="538" t="str">
        <f t="shared" si="17"/>
        <v/>
      </c>
      <c r="P282" s="540" t="str">
        <f t="shared" si="18"/>
        <v/>
      </c>
    </row>
    <row r="283" spans="1:16" s="483" customFormat="1" ht="18" hidden="1" customHeight="1" x14ac:dyDescent="0.25">
      <c r="A283" s="536" t="str">
        <f t="shared" si="8"/>
        <v/>
      </c>
      <c r="B283" s="537">
        <f>LARGE($B$15:$B$264,13)</f>
        <v>0</v>
      </c>
      <c r="C283" s="538" t="str">
        <f t="shared" si="9"/>
        <v/>
      </c>
      <c r="D283" s="1117" t="str">
        <f t="shared" si="10"/>
        <v/>
      </c>
      <c r="E283" s="1117"/>
      <c r="F283" s="1117"/>
      <c r="G283" s="538" t="str">
        <f t="shared" si="11"/>
        <v/>
      </c>
      <c r="H283" s="538" t="str">
        <f t="shared" si="12"/>
        <v/>
      </c>
      <c r="I283" s="1118" t="str">
        <f t="shared" si="13"/>
        <v/>
      </c>
      <c r="J283" s="1118"/>
      <c r="K283" s="539" t="str">
        <f t="shared" si="14"/>
        <v/>
      </c>
      <c r="L283" s="536" t="str">
        <f t="shared" si="15"/>
        <v/>
      </c>
      <c r="M283" s="540" t="str">
        <f t="shared" si="16"/>
        <v/>
      </c>
      <c r="N283" s="540" t="str">
        <f t="shared" si="19"/>
        <v/>
      </c>
      <c r="O283" s="538" t="str">
        <f t="shared" si="17"/>
        <v/>
      </c>
      <c r="P283" s="540" t="str">
        <f t="shared" si="18"/>
        <v/>
      </c>
    </row>
    <row r="284" spans="1:16" s="483" customFormat="1" ht="18" hidden="1" customHeight="1" x14ac:dyDescent="0.25">
      <c r="A284" s="536" t="str">
        <f t="shared" si="8"/>
        <v/>
      </c>
      <c r="B284" s="537">
        <f>LARGE($B$15:$B$264,14)</f>
        <v>0</v>
      </c>
      <c r="C284" s="538" t="str">
        <f t="shared" si="9"/>
        <v/>
      </c>
      <c r="D284" s="1117" t="str">
        <f t="shared" si="10"/>
        <v/>
      </c>
      <c r="E284" s="1117"/>
      <c r="F284" s="1117"/>
      <c r="G284" s="538" t="str">
        <f t="shared" si="11"/>
        <v/>
      </c>
      <c r="H284" s="538" t="str">
        <f t="shared" si="12"/>
        <v/>
      </c>
      <c r="I284" s="1118" t="str">
        <f t="shared" si="13"/>
        <v/>
      </c>
      <c r="J284" s="1118"/>
      <c r="K284" s="539" t="str">
        <f t="shared" si="14"/>
        <v/>
      </c>
      <c r="L284" s="536" t="str">
        <f t="shared" si="15"/>
        <v/>
      </c>
      <c r="M284" s="540" t="str">
        <f t="shared" si="16"/>
        <v/>
      </c>
      <c r="N284" s="540" t="str">
        <f t="shared" si="19"/>
        <v/>
      </c>
      <c r="O284" s="538" t="str">
        <f t="shared" si="17"/>
        <v/>
      </c>
      <c r="P284" s="540" t="str">
        <f t="shared" si="18"/>
        <v/>
      </c>
    </row>
    <row r="285" spans="1:16" s="483" customFormat="1" ht="18" hidden="1" customHeight="1" x14ac:dyDescent="0.25">
      <c r="A285" s="536" t="str">
        <f t="shared" si="8"/>
        <v/>
      </c>
      <c r="B285" s="537">
        <f>LARGE($B$15:$B$264,15)</f>
        <v>0</v>
      </c>
      <c r="C285" s="538" t="str">
        <f t="shared" si="9"/>
        <v/>
      </c>
      <c r="D285" s="1117" t="str">
        <f t="shared" si="10"/>
        <v/>
      </c>
      <c r="E285" s="1117"/>
      <c r="F285" s="1117"/>
      <c r="G285" s="538" t="str">
        <f t="shared" si="11"/>
        <v/>
      </c>
      <c r="H285" s="538" t="str">
        <f t="shared" si="12"/>
        <v/>
      </c>
      <c r="I285" s="1118" t="str">
        <f t="shared" si="13"/>
        <v/>
      </c>
      <c r="J285" s="1118"/>
      <c r="K285" s="539" t="str">
        <f t="shared" si="14"/>
        <v/>
      </c>
      <c r="L285" s="536" t="str">
        <f t="shared" si="15"/>
        <v/>
      </c>
      <c r="M285" s="540" t="str">
        <f t="shared" si="16"/>
        <v/>
      </c>
      <c r="N285" s="540" t="str">
        <f t="shared" si="19"/>
        <v/>
      </c>
      <c r="O285" s="538" t="str">
        <f t="shared" si="17"/>
        <v/>
      </c>
      <c r="P285" s="540" t="str">
        <f t="shared" si="18"/>
        <v/>
      </c>
    </row>
    <row r="286" spans="1:16" s="483" customFormat="1" ht="18" hidden="1" customHeight="1" x14ac:dyDescent="0.25">
      <c r="A286" s="536" t="str">
        <f t="shared" si="8"/>
        <v/>
      </c>
      <c r="B286" s="537">
        <f>LARGE($B$15:$B$264,16)</f>
        <v>0</v>
      </c>
      <c r="C286" s="538" t="str">
        <f t="shared" si="9"/>
        <v/>
      </c>
      <c r="D286" s="1117" t="str">
        <f t="shared" si="10"/>
        <v/>
      </c>
      <c r="E286" s="1117"/>
      <c r="F286" s="1117"/>
      <c r="G286" s="538" t="str">
        <f t="shared" si="11"/>
        <v/>
      </c>
      <c r="H286" s="538" t="str">
        <f t="shared" si="12"/>
        <v/>
      </c>
      <c r="I286" s="1118" t="str">
        <f t="shared" si="13"/>
        <v/>
      </c>
      <c r="J286" s="1118"/>
      <c r="K286" s="539" t="str">
        <f t="shared" si="14"/>
        <v/>
      </c>
      <c r="L286" s="536" t="str">
        <f t="shared" si="15"/>
        <v/>
      </c>
      <c r="M286" s="540" t="str">
        <f t="shared" si="16"/>
        <v/>
      </c>
      <c r="N286" s="540" t="str">
        <f t="shared" si="19"/>
        <v/>
      </c>
      <c r="O286" s="538" t="str">
        <f t="shared" si="17"/>
        <v/>
      </c>
      <c r="P286" s="540" t="str">
        <f t="shared" si="18"/>
        <v/>
      </c>
    </row>
    <row r="287" spans="1:16" s="483" customFormat="1" ht="18" hidden="1" customHeight="1" x14ac:dyDescent="0.25">
      <c r="A287" s="536" t="str">
        <f t="shared" si="8"/>
        <v/>
      </c>
      <c r="B287" s="537">
        <f>LARGE($B$15:$B$264,17)</f>
        <v>0</v>
      </c>
      <c r="C287" s="538" t="str">
        <f t="shared" si="9"/>
        <v/>
      </c>
      <c r="D287" s="1117" t="str">
        <f t="shared" si="10"/>
        <v/>
      </c>
      <c r="E287" s="1117"/>
      <c r="F287" s="1117"/>
      <c r="G287" s="538" t="str">
        <f t="shared" si="11"/>
        <v/>
      </c>
      <c r="H287" s="538" t="str">
        <f t="shared" si="12"/>
        <v/>
      </c>
      <c r="I287" s="1118" t="str">
        <f t="shared" si="13"/>
        <v/>
      </c>
      <c r="J287" s="1118"/>
      <c r="K287" s="539" t="str">
        <f t="shared" si="14"/>
        <v/>
      </c>
      <c r="L287" s="536" t="str">
        <f t="shared" si="15"/>
        <v/>
      </c>
      <c r="M287" s="540" t="str">
        <f t="shared" si="16"/>
        <v/>
      </c>
      <c r="N287" s="540" t="str">
        <f t="shared" si="19"/>
        <v/>
      </c>
      <c r="O287" s="538" t="str">
        <f t="shared" si="17"/>
        <v/>
      </c>
      <c r="P287" s="540" t="str">
        <f t="shared" si="18"/>
        <v/>
      </c>
    </row>
    <row r="288" spans="1:16" s="483" customFormat="1" ht="18" hidden="1" customHeight="1" x14ac:dyDescent="0.25">
      <c r="A288" s="536" t="str">
        <f t="shared" si="8"/>
        <v/>
      </c>
      <c r="B288" s="537">
        <f>LARGE($B$15:$B$264,18)</f>
        <v>0</v>
      </c>
      <c r="C288" s="538" t="str">
        <f t="shared" si="9"/>
        <v/>
      </c>
      <c r="D288" s="1117" t="str">
        <f t="shared" si="10"/>
        <v/>
      </c>
      <c r="E288" s="1117"/>
      <c r="F288" s="1117"/>
      <c r="G288" s="538" t="str">
        <f t="shared" si="11"/>
        <v/>
      </c>
      <c r="H288" s="538" t="str">
        <f t="shared" si="12"/>
        <v/>
      </c>
      <c r="I288" s="1118" t="str">
        <f t="shared" si="13"/>
        <v/>
      </c>
      <c r="J288" s="1118"/>
      <c r="K288" s="539" t="str">
        <f t="shared" si="14"/>
        <v/>
      </c>
      <c r="L288" s="536" t="str">
        <f t="shared" si="15"/>
        <v/>
      </c>
      <c r="M288" s="540" t="str">
        <f t="shared" si="16"/>
        <v/>
      </c>
      <c r="N288" s="540" t="str">
        <f t="shared" si="19"/>
        <v/>
      </c>
      <c r="O288" s="538" t="str">
        <f t="shared" si="17"/>
        <v/>
      </c>
      <c r="P288" s="540" t="str">
        <f t="shared" si="18"/>
        <v/>
      </c>
    </row>
    <row r="289" spans="1:16" s="483" customFormat="1" ht="18" hidden="1" customHeight="1" x14ac:dyDescent="0.25">
      <c r="A289" s="536" t="str">
        <f t="shared" si="8"/>
        <v/>
      </c>
      <c r="B289" s="537">
        <f>LARGE($B$15:$B$264,19)</f>
        <v>0</v>
      </c>
      <c r="C289" s="538" t="str">
        <f t="shared" si="9"/>
        <v/>
      </c>
      <c r="D289" s="1117" t="str">
        <f t="shared" si="10"/>
        <v/>
      </c>
      <c r="E289" s="1117"/>
      <c r="F289" s="1117"/>
      <c r="G289" s="538" t="str">
        <f t="shared" si="11"/>
        <v/>
      </c>
      <c r="H289" s="538" t="str">
        <f t="shared" si="12"/>
        <v/>
      </c>
      <c r="I289" s="1118" t="str">
        <f t="shared" si="13"/>
        <v/>
      </c>
      <c r="J289" s="1118"/>
      <c r="K289" s="539" t="str">
        <f t="shared" si="14"/>
        <v/>
      </c>
      <c r="L289" s="536" t="str">
        <f t="shared" si="15"/>
        <v/>
      </c>
      <c r="M289" s="540" t="str">
        <f t="shared" si="16"/>
        <v/>
      </c>
      <c r="N289" s="540" t="str">
        <f t="shared" si="19"/>
        <v/>
      </c>
      <c r="O289" s="538" t="str">
        <f t="shared" si="17"/>
        <v/>
      </c>
      <c r="P289" s="540" t="str">
        <f t="shared" si="18"/>
        <v/>
      </c>
    </row>
    <row r="290" spans="1:16" s="483" customFormat="1" ht="18" hidden="1" customHeight="1" x14ac:dyDescent="0.25">
      <c r="A290" s="536" t="str">
        <f t="shared" si="8"/>
        <v/>
      </c>
      <c r="B290" s="537">
        <f>LARGE($B$15:$B$264,20)</f>
        <v>0</v>
      </c>
      <c r="C290" s="538" t="str">
        <f t="shared" si="9"/>
        <v/>
      </c>
      <c r="D290" s="1117" t="str">
        <f t="shared" si="10"/>
        <v/>
      </c>
      <c r="E290" s="1117"/>
      <c r="F290" s="1117"/>
      <c r="G290" s="538" t="str">
        <f t="shared" si="11"/>
        <v/>
      </c>
      <c r="H290" s="538" t="str">
        <f t="shared" si="12"/>
        <v/>
      </c>
      <c r="I290" s="1118" t="str">
        <f t="shared" si="13"/>
        <v/>
      </c>
      <c r="J290" s="1118"/>
      <c r="K290" s="539" t="str">
        <f t="shared" si="14"/>
        <v/>
      </c>
      <c r="L290" s="536" t="str">
        <f t="shared" si="15"/>
        <v/>
      </c>
      <c r="M290" s="540" t="str">
        <f t="shared" si="16"/>
        <v/>
      </c>
      <c r="N290" s="540" t="str">
        <f t="shared" si="19"/>
        <v/>
      </c>
      <c r="O290" s="538" t="str">
        <f t="shared" si="17"/>
        <v/>
      </c>
      <c r="P290" s="540" t="str">
        <f t="shared" si="18"/>
        <v/>
      </c>
    </row>
    <row r="291" spans="1:16" s="483" customFormat="1" ht="18" hidden="1" customHeight="1" x14ac:dyDescent="0.25">
      <c r="A291" s="536" t="str">
        <f t="shared" si="8"/>
        <v/>
      </c>
      <c r="B291" s="537">
        <f>LARGE($B$15:$B$264,21)</f>
        <v>0</v>
      </c>
      <c r="C291" s="538" t="str">
        <f t="shared" si="9"/>
        <v/>
      </c>
      <c r="D291" s="1117" t="str">
        <f t="shared" si="10"/>
        <v/>
      </c>
      <c r="E291" s="1117"/>
      <c r="F291" s="1117"/>
      <c r="G291" s="538" t="str">
        <f t="shared" si="11"/>
        <v/>
      </c>
      <c r="H291" s="538" t="str">
        <f t="shared" si="12"/>
        <v/>
      </c>
      <c r="I291" s="1118" t="str">
        <f t="shared" si="13"/>
        <v/>
      </c>
      <c r="J291" s="1118"/>
      <c r="K291" s="539" t="str">
        <f t="shared" si="14"/>
        <v/>
      </c>
      <c r="L291" s="536" t="str">
        <f t="shared" si="15"/>
        <v/>
      </c>
      <c r="M291" s="540" t="str">
        <f t="shared" si="16"/>
        <v/>
      </c>
      <c r="N291" s="540" t="str">
        <f t="shared" si="19"/>
        <v/>
      </c>
      <c r="O291" s="538" t="str">
        <f t="shared" si="17"/>
        <v/>
      </c>
      <c r="P291" s="540" t="str">
        <f t="shared" si="18"/>
        <v/>
      </c>
    </row>
    <row r="292" spans="1:16" s="483" customFormat="1" ht="18" hidden="1" customHeight="1" x14ac:dyDescent="0.25">
      <c r="A292" s="536" t="str">
        <f t="shared" si="8"/>
        <v/>
      </c>
      <c r="B292" s="537">
        <f>LARGE($B$15:$B$264,22)</f>
        <v>0</v>
      </c>
      <c r="C292" s="538" t="str">
        <f t="shared" si="9"/>
        <v/>
      </c>
      <c r="D292" s="1117" t="str">
        <f t="shared" si="10"/>
        <v/>
      </c>
      <c r="E292" s="1117"/>
      <c r="F292" s="1117"/>
      <c r="G292" s="538" t="str">
        <f t="shared" si="11"/>
        <v/>
      </c>
      <c r="H292" s="538" t="str">
        <f t="shared" si="12"/>
        <v/>
      </c>
      <c r="I292" s="1118" t="str">
        <f t="shared" si="13"/>
        <v/>
      </c>
      <c r="J292" s="1118"/>
      <c r="K292" s="539" t="str">
        <f t="shared" si="14"/>
        <v/>
      </c>
      <c r="L292" s="536" t="str">
        <f t="shared" si="15"/>
        <v/>
      </c>
      <c r="M292" s="540" t="str">
        <f t="shared" si="16"/>
        <v/>
      </c>
      <c r="N292" s="540" t="str">
        <f t="shared" si="19"/>
        <v/>
      </c>
      <c r="O292" s="538" t="str">
        <f t="shared" si="17"/>
        <v/>
      </c>
      <c r="P292" s="540" t="str">
        <f t="shared" si="18"/>
        <v/>
      </c>
    </row>
    <row r="293" spans="1:16" s="483" customFormat="1" ht="18" hidden="1" customHeight="1" x14ac:dyDescent="0.25">
      <c r="A293" s="536" t="str">
        <f t="shared" si="8"/>
        <v/>
      </c>
      <c r="B293" s="537">
        <f>LARGE($B$15:$B$264,23)</f>
        <v>0</v>
      </c>
      <c r="C293" s="538" t="str">
        <f t="shared" si="9"/>
        <v/>
      </c>
      <c r="D293" s="1117" t="str">
        <f t="shared" si="10"/>
        <v/>
      </c>
      <c r="E293" s="1117"/>
      <c r="F293" s="1117"/>
      <c r="G293" s="538" t="str">
        <f t="shared" si="11"/>
        <v/>
      </c>
      <c r="H293" s="538" t="str">
        <f t="shared" si="12"/>
        <v/>
      </c>
      <c r="I293" s="1118" t="str">
        <f t="shared" si="13"/>
        <v/>
      </c>
      <c r="J293" s="1118"/>
      <c r="K293" s="539" t="str">
        <f t="shared" si="14"/>
        <v/>
      </c>
      <c r="L293" s="536" t="str">
        <f t="shared" si="15"/>
        <v/>
      </c>
      <c r="M293" s="540" t="str">
        <f t="shared" si="16"/>
        <v/>
      </c>
      <c r="N293" s="540" t="str">
        <f t="shared" si="19"/>
        <v/>
      </c>
      <c r="O293" s="538" t="str">
        <f t="shared" si="17"/>
        <v/>
      </c>
      <c r="P293" s="540" t="str">
        <f t="shared" si="18"/>
        <v/>
      </c>
    </row>
    <row r="294" spans="1:16" s="483" customFormat="1" ht="18" hidden="1" customHeight="1" x14ac:dyDescent="0.25">
      <c r="A294" s="536" t="str">
        <f t="shared" si="8"/>
        <v/>
      </c>
      <c r="B294" s="537">
        <f>LARGE($B$15:$B$264,24)</f>
        <v>0</v>
      </c>
      <c r="C294" s="538" t="str">
        <f t="shared" si="9"/>
        <v/>
      </c>
      <c r="D294" s="1117" t="str">
        <f t="shared" si="10"/>
        <v/>
      </c>
      <c r="E294" s="1117"/>
      <c r="F294" s="1117"/>
      <c r="G294" s="538" t="str">
        <f t="shared" si="11"/>
        <v/>
      </c>
      <c r="H294" s="538" t="str">
        <f t="shared" si="12"/>
        <v/>
      </c>
      <c r="I294" s="1118" t="str">
        <f t="shared" si="13"/>
        <v/>
      </c>
      <c r="J294" s="1118"/>
      <c r="K294" s="539" t="str">
        <f t="shared" si="14"/>
        <v/>
      </c>
      <c r="L294" s="536" t="str">
        <f t="shared" si="15"/>
        <v/>
      </c>
      <c r="M294" s="540" t="str">
        <f t="shared" si="16"/>
        <v/>
      </c>
      <c r="N294" s="540" t="str">
        <f t="shared" si="19"/>
        <v/>
      </c>
      <c r="O294" s="538" t="str">
        <f t="shared" si="17"/>
        <v/>
      </c>
      <c r="P294" s="540" t="str">
        <f t="shared" si="18"/>
        <v/>
      </c>
    </row>
    <row r="295" spans="1:16" s="483" customFormat="1" ht="18" hidden="1" customHeight="1" x14ac:dyDescent="0.25">
      <c r="A295" s="536" t="str">
        <f t="shared" si="8"/>
        <v/>
      </c>
      <c r="B295" s="537">
        <f>LARGE($B$15:$B$264,25)</f>
        <v>0</v>
      </c>
      <c r="C295" s="538" t="str">
        <f t="shared" si="9"/>
        <v/>
      </c>
      <c r="D295" s="1117" t="str">
        <f t="shared" si="10"/>
        <v/>
      </c>
      <c r="E295" s="1117"/>
      <c r="F295" s="1117"/>
      <c r="G295" s="538" t="str">
        <f t="shared" si="11"/>
        <v/>
      </c>
      <c r="H295" s="538" t="str">
        <f t="shared" si="12"/>
        <v/>
      </c>
      <c r="I295" s="1118" t="str">
        <f t="shared" si="13"/>
        <v/>
      </c>
      <c r="J295" s="1118"/>
      <c r="K295" s="539" t="str">
        <f t="shared" si="14"/>
        <v/>
      </c>
      <c r="L295" s="536" t="str">
        <f t="shared" si="15"/>
        <v/>
      </c>
      <c r="M295" s="540" t="str">
        <f t="shared" si="16"/>
        <v/>
      </c>
      <c r="N295" s="540" t="str">
        <f t="shared" si="19"/>
        <v/>
      </c>
      <c r="O295" s="538" t="str">
        <f t="shared" si="17"/>
        <v/>
      </c>
      <c r="P295" s="540" t="str">
        <f t="shared" si="18"/>
        <v/>
      </c>
    </row>
    <row r="296" spans="1:16" s="483" customFormat="1" ht="18" hidden="1" customHeight="1" x14ac:dyDescent="0.25">
      <c r="A296" s="536" t="str">
        <f t="shared" si="8"/>
        <v/>
      </c>
      <c r="B296" s="537">
        <f>LARGE($B$15:$B$264,26)</f>
        <v>0</v>
      </c>
      <c r="C296" s="538" t="str">
        <f t="shared" si="9"/>
        <v/>
      </c>
      <c r="D296" s="1117" t="str">
        <f t="shared" si="10"/>
        <v/>
      </c>
      <c r="E296" s="1117"/>
      <c r="F296" s="1117"/>
      <c r="G296" s="538" t="str">
        <f t="shared" si="11"/>
        <v/>
      </c>
      <c r="H296" s="538" t="str">
        <f t="shared" si="12"/>
        <v/>
      </c>
      <c r="I296" s="1118" t="str">
        <f t="shared" si="13"/>
        <v/>
      </c>
      <c r="J296" s="1118"/>
      <c r="K296" s="539" t="str">
        <f t="shared" si="14"/>
        <v/>
      </c>
      <c r="L296" s="536" t="str">
        <f t="shared" si="15"/>
        <v/>
      </c>
      <c r="M296" s="540" t="str">
        <f t="shared" si="16"/>
        <v/>
      </c>
      <c r="N296" s="540" t="str">
        <f t="shared" si="19"/>
        <v/>
      </c>
      <c r="O296" s="538" t="str">
        <f t="shared" si="17"/>
        <v/>
      </c>
      <c r="P296" s="540" t="str">
        <f t="shared" si="18"/>
        <v/>
      </c>
    </row>
    <row r="297" spans="1:16" s="483" customFormat="1" ht="18" hidden="1" customHeight="1" x14ac:dyDescent="0.25">
      <c r="A297" s="536" t="str">
        <f t="shared" si="8"/>
        <v/>
      </c>
      <c r="B297" s="537">
        <f>LARGE($B$15:$B$264,27)</f>
        <v>0</v>
      </c>
      <c r="C297" s="538" t="str">
        <f t="shared" si="9"/>
        <v/>
      </c>
      <c r="D297" s="1117" t="str">
        <f t="shared" si="10"/>
        <v/>
      </c>
      <c r="E297" s="1117"/>
      <c r="F297" s="1117"/>
      <c r="G297" s="538" t="str">
        <f t="shared" si="11"/>
        <v/>
      </c>
      <c r="H297" s="538" t="str">
        <f t="shared" si="12"/>
        <v/>
      </c>
      <c r="I297" s="1118" t="str">
        <f t="shared" si="13"/>
        <v/>
      </c>
      <c r="J297" s="1118"/>
      <c r="K297" s="539" t="str">
        <f t="shared" si="14"/>
        <v/>
      </c>
      <c r="L297" s="536" t="str">
        <f t="shared" si="15"/>
        <v/>
      </c>
      <c r="M297" s="540" t="str">
        <f t="shared" si="16"/>
        <v/>
      </c>
      <c r="N297" s="540" t="str">
        <f t="shared" si="19"/>
        <v/>
      </c>
      <c r="O297" s="538" t="str">
        <f t="shared" si="17"/>
        <v/>
      </c>
      <c r="P297" s="540" t="str">
        <f t="shared" si="18"/>
        <v/>
      </c>
    </row>
    <row r="298" spans="1:16" s="483" customFormat="1" ht="18" hidden="1" customHeight="1" x14ac:dyDescent="0.25">
      <c r="A298" s="536" t="str">
        <f t="shared" si="8"/>
        <v/>
      </c>
      <c r="B298" s="537">
        <f>LARGE($B$15:$B$264,28)</f>
        <v>0</v>
      </c>
      <c r="C298" s="538" t="str">
        <f t="shared" si="9"/>
        <v/>
      </c>
      <c r="D298" s="1117" t="str">
        <f t="shared" si="10"/>
        <v/>
      </c>
      <c r="E298" s="1117"/>
      <c r="F298" s="1117"/>
      <c r="G298" s="538" t="str">
        <f t="shared" si="11"/>
        <v/>
      </c>
      <c r="H298" s="538" t="str">
        <f t="shared" si="12"/>
        <v/>
      </c>
      <c r="I298" s="1118" t="str">
        <f t="shared" si="13"/>
        <v/>
      </c>
      <c r="J298" s="1118"/>
      <c r="K298" s="539" t="str">
        <f t="shared" si="14"/>
        <v/>
      </c>
      <c r="L298" s="536" t="str">
        <f t="shared" si="15"/>
        <v/>
      </c>
      <c r="M298" s="540" t="str">
        <f t="shared" si="16"/>
        <v/>
      </c>
      <c r="N298" s="540" t="str">
        <f t="shared" si="19"/>
        <v/>
      </c>
      <c r="O298" s="538" t="str">
        <f t="shared" si="17"/>
        <v/>
      </c>
      <c r="P298" s="540" t="str">
        <f t="shared" si="18"/>
        <v/>
      </c>
    </row>
    <row r="299" spans="1:16" s="483" customFormat="1" ht="18" hidden="1" customHeight="1" x14ac:dyDescent="0.25">
      <c r="A299" s="536" t="str">
        <f t="shared" si="8"/>
        <v/>
      </c>
      <c r="B299" s="537">
        <f>LARGE($B$15:$B$264,29)</f>
        <v>0</v>
      </c>
      <c r="C299" s="538" t="str">
        <f t="shared" si="9"/>
        <v/>
      </c>
      <c r="D299" s="1117" t="str">
        <f t="shared" si="10"/>
        <v/>
      </c>
      <c r="E299" s="1117"/>
      <c r="F299" s="1117"/>
      <c r="G299" s="538" t="str">
        <f t="shared" si="11"/>
        <v/>
      </c>
      <c r="H299" s="538" t="str">
        <f t="shared" si="12"/>
        <v/>
      </c>
      <c r="I299" s="1118" t="str">
        <f t="shared" si="13"/>
        <v/>
      </c>
      <c r="J299" s="1118"/>
      <c r="K299" s="539" t="str">
        <f t="shared" si="14"/>
        <v/>
      </c>
      <c r="L299" s="536" t="str">
        <f t="shared" si="15"/>
        <v/>
      </c>
      <c r="M299" s="540" t="str">
        <f t="shared" si="16"/>
        <v/>
      </c>
      <c r="N299" s="540" t="str">
        <f t="shared" si="19"/>
        <v/>
      </c>
      <c r="O299" s="538" t="str">
        <f t="shared" si="17"/>
        <v/>
      </c>
      <c r="P299" s="540" t="str">
        <f t="shared" si="18"/>
        <v/>
      </c>
    </row>
    <row r="300" spans="1:16" s="483" customFormat="1" ht="18" hidden="1" customHeight="1" x14ac:dyDescent="0.25">
      <c r="A300" s="536" t="str">
        <f t="shared" si="8"/>
        <v/>
      </c>
      <c r="B300" s="537">
        <f>LARGE($B$15:$B$264,30)</f>
        <v>0</v>
      </c>
      <c r="C300" s="538" t="str">
        <f t="shared" si="9"/>
        <v/>
      </c>
      <c r="D300" s="1117" t="str">
        <f t="shared" si="10"/>
        <v/>
      </c>
      <c r="E300" s="1117"/>
      <c r="F300" s="1117"/>
      <c r="G300" s="538" t="str">
        <f t="shared" si="11"/>
        <v/>
      </c>
      <c r="H300" s="538" t="str">
        <f t="shared" si="12"/>
        <v/>
      </c>
      <c r="I300" s="1118" t="str">
        <f t="shared" si="13"/>
        <v/>
      </c>
      <c r="J300" s="1118"/>
      <c r="K300" s="539" t="str">
        <f t="shared" si="14"/>
        <v/>
      </c>
      <c r="L300" s="536" t="str">
        <f t="shared" si="15"/>
        <v/>
      </c>
      <c r="M300" s="540" t="str">
        <f t="shared" si="16"/>
        <v/>
      </c>
      <c r="N300" s="540" t="str">
        <f t="shared" si="19"/>
        <v/>
      </c>
      <c r="O300" s="538" t="str">
        <f t="shared" si="17"/>
        <v/>
      </c>
      <c r="P300" s="540" t="str">
        <f t="shared" si="18"/>
        <v/>
      </c>
    </row>
    <row r="301" spans="1:16" s="483" customFormat="1" ht="18" hidden="1" customHeight="1" x14ac:dyDescent="0.25">
      <c r="A301" s="536" t="str">
        <f t="shared" si="8"/>
        <v/>
      </c>
      <c r="B301" s="537">
        <f>LARGE($B$15:$B$264,31)</f>
        <v>0</v>
      </c>
      <c r="C301" s="538" t="str">
        <f t="shared" si="9"/>
        <v/>
      </c>
      <c r="D301" s="1117" t="str">
        <f t="shared" si="10"/>
        <v/>
      </c>
      <c r="E301" s="1117"/>
      <c r="F301" s="1117"/>
      <c r="G301" s="538" t="str">
        <f t="shared" si="11"/>
        <v/>
      </c>
      <c r="H301" s="538" t="str">
        <f t="shared" si="12"/>
        <v/>
      </c>
      <c r="I301" s="1118" t="str">
        <f t="shared" si="13"/>
        <v/>
      </c>
      <c r="J301" s="1118"/>
      <c r="K301" s="539" t="str">
        <f t="shared" si="14"/>
        <v/>
      </c>
      <c r="L301" s="536" t="str">
        <f t="shared" si="15"/>
        <v/>
      </c>
      <c r="M301" s="540" t="str">
        <f t="shared" si="16"/>
        <v/>
      </c>
      <c r="N301" s="540" t="str">
        <f t="shared" si="19"/>
        <v/>
      </c>
      <c r="O301" s="538" t="str">
        <f t="shared" si="17"/>
        <v/>
      </c>
      <c r="P301" s="540" t="str">
        <f t="shared" si="18"/>
        <v/>
      </c>
    </row>
    <row r="302" spans="1:16" s="483" customFormat="1" ht="18" hidden="1" customHeight="1" x14ac:dyDescent="0.25">
      <c r="A302" s="536" t="str">
        <f t="shared" si="8"/>
        <v/>
      </c>
      <c r="B302" s="537">
        <f>LARGE($B$15:$B$264,32)</f>
        <v>0</v>
      </c>
      <c r="C302" s="538" t="str">
        <f t="shared" si="9"/>
        <v/>
      </c>
      <c r="D302" s="1117" t="str">
        <f t="shared" si="10"/>
        <v/>
      </c>
      <c r="E302" s="1117"/>
      <c r="F302" s="1117"/>
      <c r="G302" s="538" t="str">
        <f t="shared" si="11"/>
        <v/>
      </c>
      <c r="H302" s="538" t="str">
        <f t="shared" si="12"/>
        <v/>
      </c>
      <c r="I302" s="1118" t="str">
        <f t="shared" si="13"/>
        <v/>
      </c>
      <c r="J302" s="1118"/>
      <c r="K302" s="539" t="str">
        <f t="shared" si="14"/>
        <v/>
      </c>
      <c r="L302" s="536" t="str">
        <f t="shared" si="15"/>
        <v/>
      </c>
      <c r="M302" s="540" t="str">
        <f t="shared" si="16"/>
        <v/>
      </c>
      <c r="N302" s="540" t="str">
        <f t="shared" si="19"/>
        <v/>
      </c>
      <c r="O302" s="538" t="str">
        <f t="shared" si="17"/>
        <v/>
      </c>
      <c r="P302" s="540" t="str">
        <f t="shared" si="18"/>
        <v/>
      </c>
    </row>
    <row r="303" spans="1:16" s="483" customFormat="1" ht="18" hidden="1" customHeight="1" x14ac:dyDescent="0.25">
      <c r="A303" s="536" t="str">
        <f t="shared" si="8"/>
        <v/>
      </c>
      <c r="B303" s="537">
        <f>LARGE($B$15:$B$264,33)</f>
        <v>0</v>
      </c>
      <c r="C303" s="538" t="str">
        <f t="shared" si="9"/>
        <v/>
      </c>
      <c r="D303" s="1117" t="str">
        <f t="shared" si="10"/>
        <v/>
      </c>
      <c r="E303" s="1117"/>
      <c r="F303" s="1117"/>
      <c r="G303" s="538" t="str">
        <f t="shared" si="11"/>
        <v/>
      </c>
      <c r="H303" s="538" t="str">
        <f t="shared" si="12"/>
        <v/>
      </c>
      <c r="I303" s="1118" t="str">
        <f t="shared" si="13"/>
        <v/>
      </c>
      <c r="J303" s="1118"/>
      <c r="K303" s="539" t="str">
        <f t="shared" si="14"/>
        <v/>
      </c>
      <c r="L303" s="536" t="str">
        <f t="shared" si="15"/>
        <v/>
      </c>
      <c r="M303" s="540" t="str">
        <f t="shared" si="16"/>
        <v/>
      </c>
      <c r="N303" s="540" t="str">
        <f t="shared" si="19"/>
        <v/>
      </c>
      <c r="O303" s="538" t="str">
        <f t="shared" si="17"/>
        <v/>
      </c>
      <c r="P303" s="540" t="str">
        <f t="shared" si="18"/>
        <v/>
      </c>
    </row>
    <row r="304" spans="1:16" s="483" customFormat="1" ht="18" hidden="1" customHeight="1" x14ac:dyDescent="0.25">
      <c r="A304" s="536" t="str">
        <f t="shared" si="8"/>
        <v/>
      </c>
      <c r="B304" s="537">
        <f>LARGE($B$15:$B$264,34)</f>
        <v>0</v>
      </c>
      <c r="C304" s="538" t="str">
        <f t="shared" si="9"/>
        <v/>
      </c>
      <c r="D304" s="1117" t="str">
        <f t="shared" si="10"/>
        <v/>
      </c>
      <c r="E304" s="1117"/>
      <c r="F304" s="1117"/>
      <c r="G304" s="538" t="str">
        <f t="shared" si="11"/>
        <v/>
      </c>
      <c r="H304" s="538" t="str">
        <f t="shared" si="12"/>
        <v/>
      </c>
      <c r="I304" s="1118" t="str">
        <f t="shared" si="13"/>
        <v/>
      </c>
      <c r="J304" s="1118"/>
      <c r="K304" s="539" t="str">
        <f t="shared" si="14"/>
        <v/>
      </c>
      <c r="L304" s="536" t="str">
        <f t="shared" si="15"/>
        <v/>
      </c>
      <c r="M304" s="540" t="str">
        <f t="shared" si="16"/>
        <v/>
      </c>
      <c r="N304" s="540" t="str">
        <f t="shared" si="19"/>
        <v/>
      </c>
      <c r="O304" s="538" t="str">
        <f t="shared" si="17"/>
        <v/>
      </c>
      <c r="P304" s="540" t="str">
        <f t="shared" si="18"/>
        <v/>
      </c>
    </row>
    <row r="305" spans="1:16" s="483" customFormat="1" ht="18" hidden="1" customHeight="1" x14ac:dyDescent="0.25">
      <c r="A305" s="536" t="str">
        <f t="shared" si="8"/>
        <v/>
      </c>
      <c r="B305" s="537">
        <f>LARGE($B$15:$B$264,35)</f>
        <v>0</v>
      </c>
      <c r="C305" s="538" t="str">
        <f t="shared" si="9"/>
        <v/>
      </c>
      <c r="D305" s="1117" t="str">
        <f t="shared" si="10"/>
        <v/>
      </c>
      <c r="E305" s="1117"/>
      <c r="F305" s="1117"/>
      <c r="G305" s="538" t="str">
        <f t="shared" si="11"/>
        <v/>
      </c>
      <c r="H305" s="538" t="str">
        <f t="shared" si="12"/>
        <v/>
      </c>
      <c r="I305" s="1118" t="str">
        <f t="shared" si="13"/>
        <v/>
      </c>
      <c r="J305" s="1118"/>
      <c r="K305" s="539" t="str">
        <f t="shared" si="14"/>
        <v/>
      </c>
      <c r="L305" s="536" t="str">
        <f t="shared" si="15"/>
        <v/>
      </c>
      <c r="M305" s="540" t="str">
        <f t="shared" si="16"/>
        <v/>
      </c>
      <c r="N305" s="540" t="str">
        <f t="shared" si="19"/>
        <v/>
      </c>
      <c r="O305" s="538" t="str">
        <f t="shared" si="17"/>
        <v/>
      </c>
      <c r="P305" s="540" t="str">
        <f t="shared" si="18"/>
        <v/>
      </c>
    </row>
    <row r="306" spans="1:16" s="483" customFormat="1" ht="18" hidden="1" customHeight="1" x14ac:dyDescent="0.25">
      <c r="A306" s="536" t="str">
        <f t="shared" si="8"/>
        <v/>
      </c>
      <c r="B306" s="537">
        <f>LARGE($B$15:$B$264,36)</f>
        <v>0</v>
      </c>
      <c r="C306" s="538" t="str">
        <f t="shared" si="9"/>
        <v/>
      </c>
      <c r="D306" s="1117" t="str">
        <f t="shared" si="10"/>
        <v/>
      </c>
      <c r="E306" s="1117"/>
      <c r="F306" s="1117"/>
      <c r="G306" s="538" t="str">
        <f t="shared" si="11"/>
        <v/>
      </c>
      <c r="H306" s="538" t="str">
        <f t="shared" si="12"/>
        <v/>
      </c>
      <c r="I306" s="1118" t="str">
        <f t="shared" si="13"/>
        <v/>
      </c>
      <c r="J306" s="1118"/>
      <c r="K306" s="539" t="str">
        <f t="shared" si="14"/>
        <v/>
      </c>
      <c r="L306" s="536" t="str">
        <f t="shared" si="15"/>
        <v/>
      </c>
      <c r="M306" s="540" t="str">
        <f t="shared" si="16"/>
        <v/>
      </c>
      <c r="N306" s="540" t="str">
        <f t="shared" si="19"/>
        <v/>
      </c>
      <c r="O306" s="538" t="str">
        <f t="shared" si="17"/>
        <v/>
      </c>
      <c r="P306" s="540" t="str">
        <f t="shared" si="18"/>
        <v/>
      </c>
    </row>
    <row r="307" spans="1:16" s="483" customFormat="1" ht="18" hidden="1" customHeight="1" x14ac:dyDescent="0.25">
      <c r="A307" s="536" t="str">
        <f t="shared" si="8"/>
        <v/>
      </c>
      <c r="B307" s="537">
        <f>LARGE($B$15:$B$264,37)</f>
        <v>0</v>
      </c>
      <c r="C307" s="538" t="str">
        <f t="shared" si="9"/>
        <v/>
      </c>
      <c r="D307" s="1117" t="str">
        <f t="shared" si="10"/>
        <v/>
      </c>
      <c r="E307" s="1117"/>
      <c r="F307" s="1117"/>
      <c r="G307" s="538" t="str">
        <f t="shared" si="11"/>
        <v/>
      </c>
      <c r="H307" s="538" t="str">
        <f t="shared" si="12"/>
        <v/>
      </c>
      <c r="I307" s="1118" t="str">
        <f t="shared" si="13"/>
        <v/>
      </c>
      <c r="J307" s="1118"/>
      <c r="K307" s="539" t="str">
        <f t="shared" si="14"/>
        <v/>
      </c>
      <c r="L307" s="536" t="str">
        <f t="shared" si="15"/>
        <v/>
      </c>
      <c r="M307" s="540" t="str">
        <f t="shared" si="16"/>
        <v/>
      </c>
      <c r="N307" s="540" t="str">
        <f t="shared" si="19"/>
        <v/>
      </c>
      <c r="O307" s="538" t="str">
        <f t="shared" si="17"/>
        <v/>
      </c>
      <c r="P307" s="540" t="str">
        <f t="shared" si="18"/>
        <v/>
      </c>
    </row>
    <row r="308" spans="1:16" s="483" customFormat="1" ht="18" hidden="1" customHeight="1" x14ac:dyDescent="0.25">
      <c r="A308" s="536" t="str">
        <f t="shared" si="8"/>
        <v/>
      </c>
      <c r="B308" s="537">
        <f>LARGE($B$15:$B$264,38)</f>
        <v>0</v>
      </c>
      <c r="C308" s="538" t="str">
        <f t="shared" si="9"/>
        <v/>
      </c>
      <c r="D308" s="1117" t="str">
        <f t="shared" si="10"/>
        <v/>
      </c>
      <c r="E308" s="1117"/>
      <c r="F308" s="1117"/>
      <c r="G308" s="538" t="str">
        <f t="shared" si="11"/>
        <v/>
      </c>
      <c r="H308" s="538" t="str">
        <f t="shared" si="12"/>
        <v/>
      </c>
      <c r="I308" s="1118" t="str">
        <f t="shared" si="13"/>
        <v/>
      </c>
      <c r="J308" s="1118"/>
      <c r="K308" s="539" t="str">
        <f t="shared" si="14"/>
        <v/>
      </c>
      <c r="L308" s="536" t="str">
        <f t="shared" si="15"/>
        <v/>
      </c>
      <c r="M308" s="540" t="str">
        <f t="shared" si="16"/>
        <v/>
      </c>
      <c r="N308" s="540" t="str">
        <f t="shared" si="19"/>
        <v/>
      </c>
      <c r="O308" s="538" t="str">
        <f t="shared" si="17"/>
        <v/>
      </c>
      <c r="P308" s="540" t="str">
        <f t="shared" si="18"/>
        <v/>
      </c>
    </row>
    <row r="309" spans="1:16" s="483" customFormat="1" ht="18" hidden="1" customHeight="1" x14ac:dyDescent="0.25">
      <c r="A309" s="536" t="str">
        <f t="shared" si="8"/>
        <v/>
      </c>
      <c r="B309" s="537">
        <f>LARGE($B$15:$B$264,39)</f>
        <v>0</v>
      </c>
      <c r="C309" s="538" t="str">
        <f t="shared" si="9"/>
        <v/>
      </c>
      <c r="D309" s="1117" t="str">
        <f t="shared" si="10"/>
        <v/>
      </c>
      <c r="E309" s="1117"/>
      <c r="F309" s="1117"/>
      <c r="G309" s="538" t="str">
        <f t="shared" si="11"/>
        <v/>
      </c>
      <c r="H309" s="538" t="str">
        <f t="shared" si="12"/>
        <v/>
      </c>
      <c r="I309" s="1118" t="str">
        <f t="shared" si="13"/>
        <v/>
      </c>
      <c r="J309" s="1118"/>
      <c r="K309" s="539" t="str">
        <f t="shared" si="14"/>
        <v/>
      </c>
      <c r="L309" s="536" t="str">
        <f t="shared" si="15"/>
        <v/>
      </c>
      <c r="M309" s="540" t="str">
        <f t="shared" si="16"/>
        <v/>
      </c>
      <c r="N309" s="540" t="str">
        <f t="shared" si="19"/>
        <v/>
      </c>
      <c r="O309" s="538" t="str">
        <f t="shared" si="17"/>
        <v/>
      </c>
      <c r="P309" s="540" t="str">
        <f t="shared" si="18"/>
        <v/>
      </c>
    </row>
    <row r="310" spans="1:16" s="483" customFormat="1" ht="18" hidden="1" customHeight="1" x14ac:dyDescent="0.25">
      <c r="A310" s="536" t="str">
        <f t="shared" si="8"/>
        <v/>
      </c>
      <c r="B310" s="537">
        <f>LARGE($B$15:$B$264,40)</f>
        <v>0</v>
      </c>
      <c r="C310" s="538" t="str">
        <f t="shared" si="9"/>
        <v/>
      </c>
      <c r="D310" s="1117" t="str">
        <f t="shared" si="10"/>
        <v/>
      </c>
      <c r="E310" s="1117"/>
      <c r="F310" s="1117"/>
      <c r="G310" s="538" t="str">
        <f t="shared" si="11"/>
        <v/>
      </c>
      <c r="H310" s="538" t="str">
        <f t="shared" si="12"/>
        <v/>
      </c>
      <c r="I310" s="1118" t="str">
        <f t="shared" si="13"/>
        <v/>
      </c>
      <c r="J310" s="1118"/>
      <c r="K310" s="539" t="str">
        <f t="shared" si="14"/>
        <v/>
      </c>
      <c r="L310" s="536" t="str">
        <f t="shared" si="15"/>
        <v/>
      </c>
      <c r="M310" s="540" t="str">
        <f t="shared" si="16"/>
        <v/>
      </c>
      <c r="N310" s="540" t="str">
        <f t="shared" si="19"/>
        <v/>
      </c>
      <c r="O310" s="538" t="str">
        <f t="shared" si="17"/>
        <v/>
      </c>
      <c r="P310" s="540" t="str">
        <f t="shared" si="18"/>
        <v/>
      </c>
    </row>
    <row r="311" spans="1:16" s="483" customFormat="1" ht="18" hidden="1" customHeight="1" x14ac:dyDescent="0.25">
      <c r="A311" s="536" t="str">
        <f t="shared" si="8"/>
        <v/>
      </c>
      <c r="B311" s="537">
        <f>LARGE($B$15:$B$264,41)</f>
        <v>0</v>
      </c>
      <c r="C311" s="538" t="str">
        <f t="shared" si="9"/>
        <v/>
      </c>
      <c r="D311" s="1117" t="str">
        <f t="shared" si="10"/>
        <v/>
      </c>
      <c r="E311" s="1117"/>
      <c r="F311" s="1117"/>
      <c r="G311" s="538" t="str">
        <f t="shared" si="11"/>
        <v/>
      </c>
      <c r="H311" s="538" t="str">
        <f t="shared" si="12"/>
        <v/>
      </c>
      <c r="I311" s="1118" t="str">
        <f t="shared" si="13"/>
        <v/>
      </c>
      <c r="J311" s="1118"/>
      <c r="K311" s="539" t="str">
        <f t="shared" si="14"/>
        <v/>
      </c>
      <c r="L311" s="536" t="str">
        <f t="shared" si="15"/>
        <v/>
      </c>
      <c r="M311" s="540" t="str">
        <f t="shared" si="16"/>
        <v/>
      </c>
      <c r="N311" s="540" t="str">
        <f t="shared" si="19"/>
        <v/>
      </c>
      <c r="O311" s="538" t="str">
        <f t="shared" si="17"/>
        <v/>
      </c>
      <c r="P311" s="540" t="str">
        <f t="shared" si="18"/>
        <v/>
      </c>
    </row>
    <row r="312" spans="1:16" s="483" customFormat="1" ht="18" hidden="1" customHeight="1" x14ac:dyDescent="0.25">
      <c r="A312" s="536" t="str">
        <f t="shared" si="8"/>
        <v/>
      </c>
      <c r="B312" s="537">
        <f>LARGE($B$15:$B$264,42)</f>
        <v>0</v>
      </c>
      <c r="C312" s="538" t="str">
        <f t="shared" si="9"/>
        <v/>
      </c>
      <c r="D312" s="1117" t="str">
        <f t="shared" si="10"/>
        <v/>
      </c>
      <c r="E312" s="1117"/>
      <c r="F312" s="1117"/>
      <c r="G312" s="538" t="str">
        <f t="shared" si="11"/>
        <v/>
      </c>
      <c r="H312" s="538" t="str">
        <f t="shared" si="12"/>
        <v/>
      </c>
      <c r="I312" s="1118" t="str">
        <f t="shared" si="13"/>
        <v/>
      </c>
      <c r="J312" s="1118"/>
      <c r="K312" s="539" t="str">
        <f t="shared" si="14"/>
        <v/>
      </c>
      <c r="L312" s="536" t="str">
        <f t="shared" si="15"/>
        <v/>
      </c>
      <c r="M312" s="540" t="str">
        <f t="shared" si="16"/>
        <v/>
      </c>
      <c r="N312" s="540" t="str">
        <f t="shared" si="19"/>
        <v/>
      </c>
      <c r="O312" s="538" t="str">
        <f t="shared" si="17"/>
        <v/>
      </c>
      <c r="P312" s="540" t="str">
        <f t="shared" si="18"/>
        <v/>
      </c>
    </row>
    <row r="313" spans="1:16" s="483" customFormat="1" ht="18" hidden="1" customHeight="1" x14ac:dyDescent="0.25">
      <c r="A313" s="536" t="str">
        <f t="shared" si="8"/>
        <v/>
      </c>
      <c r="B313" s="537">
        <f>LARGE($B$15:$B$264,43)</f>
        <v>0</v>
      </c>
      <c r="C313" s="538" t="str">
        <f t="shared" si="9"/>
        <v/>
      </c>
      <c r="D313" s="1117" t="str">
        <f t="shared" si="10"/>
        <v/>
      </c>
      <c r="E313" s="1117"/>
      <c r="F313" s="1117"/>
      <c r="G313" s="538" t="str">
        <f t="shared" si="11"/>
        <v/>
      </c>
      <c r="H313" s="538" t="str">
        <f t="shared" si="12"/>
        <v/>
      </c>
      <c r="I313" s="1118" t="str">
        <f t="shared" si="13"/>
        <v/>
      </c>
      <c r="J313" s="1118"/>
      <c r="K313" s="539" t="str">
        <f t="shared" si="14"/>
        <v/>
      </c>
      <c r="L313" s="536" t="str">
        <f t="shared" si="15"/>
        <v/>
      </c>
      <c r="M313" s="540" t="str">
        <f t="shared" si="16"/>
        <v/>
      </c>
      <c r="N313" s="540" t="str">
        <f t="shared" si="19"/>
        <v/>
      </c>
      <c r="O313" s="538" t="str">
        <f t="shared" si="17"/>
        <v/>
      </c>
      <c r="P313" s="540" t="str">
        <f t="shared" si="18"/>
        <v/>
      </c>
    </row>
    <row r="314" spans="1:16" s="483" customFormat="1" ht="18" hidden="1" customHeight="1" x14ac:dyDescent="0.25">
      <c r="A314" s="536" t="str">
        <f t="shared" si="8"/>
        <v/>
      </c>
      <c r="B314" s="537">
        <f>LARGE($B$15:$B$264,44)</f>
        <v>0</v>
      </c>
      <c r="C314" s="538" t="str">
        <f t="shared" si="9"/>
        <v/>
      </c>
      <c r="D314" s="1117" t="str">
        <f t="shared" si="10"/>
        <v/>
      </c>
      <c r="E314" s="1117"/>
      <c r="F314" s="1117"/>
      <c r="G314" s="538" t="str">
        <f t="shared" si="11"/>
        <v/>
      </c>
      <c r="H314" s="538" t="str">
        <f t="shared" si="12"/>
        <v/>
      </c>
      <c r="I314" s="1118" t="str">
        <f t="shared" si="13"/>
        <v/>
      </c>
      <c r="J314" s="1118"/>
      <c r="K314" s="539" t="str">
        <f t="shared" si="14"/>
        <v/>
      </c>
      <c r="L314" s="536" t="str">
        <f t="shared" si="15"/>
        <v/>
      </c>
      <c r="M314" s="540" t="str">
        <f t="shared" si="16"/>
        <v/>
      </c>
      <c r="N314" s="540" t="str">
        <f t="shared" si="19"/>
        <v/>
      </c>
      <c r="O314" s="538" t="str">
        <f t="shared" si="17"/>
        <v/>
      </c>
      <c r="P314" s="540" t="str">
        <f t="shared" si="18"/>
        <v/>
      </c>
    </row>
    <row r="315" spans="1:16" s="483" customFormat="1" ht="18" hidden="1" customHeight="1" x14ac:dyDescent="0.25">
      <c r="A315" s="536" t="str">
        <f t="shared" si="8"/>
        <v/>
      </c>
      <c r="B315" s="537">
        <f>LARGE($B$15:$B$264,45)</f>
        <v>0</v>
      </c>
      <c r="C315" s="538" t="str">
        <f t="shared" si="9"/>
        <v/>
      </c>
      <c r="D315" s="1117" t="str">
        <f t="shared" si="10"/>
        <v/>
      </c>
      <c r="E315" s="1117"/>
      <c r="F315" s="1117"/>
      <c r="G315" s="538" t="str">
        <f t="shared" si="11"/>
        <v/>
      </c>
      <c r="H315" s="538" t="str">
        <f t="shared" si="12"/>
        <v/>
      </c>
      <c r="I315" s="1118" t="str">
        <f t="shared" si="13"/>
        <v/>
      </c>
      <c r="J315" s="1118"/>
      <c r="K315" s="539" t="str">
        <f t="shared" si="14"/>
        <v/>
      </c>
      <c r="L315" s="536" t="str">
        <f t="shared" si="15"/>
        <v/>
      </c>
      <c r="M315" s="540" t="str">
        <f t="shared" si="16"/>
        <v/>
      </c>
      <c r="N315" s="540" t="str">
        <f t="shared" si="19"/>
        <v/>
      </c>
      <c r="O315" s="538" t="str">
        <f t="shared" si="17"/>
        <v/>
      </c>
      <c r="P315" s="540" t="str">
        <f t="shared" si="18"/>
        <v/>
      </c>
    </row>
    <row r="316" spans="1:16" s="483" customFormat="1" ht="18" hidden="1" customHeight="1" x14ac:dyDescent="0.25">
      <c r="A316" s="536" t="str">
        <f t="shared" si="8"/>
        <v/>
      </c>
      <c r="B316" s="537">
        <f>LARGE($B$15:$B$264,46)</f>
        <v>0</v>
      </c>
      <c r="C316" s="538" t="str">
        <f t="shared" si="9"/>
        <v/>
      </c>
      <c r="D316" s="1117" t="str">
        <f t="shared" si="10"/>
        <v/>
      </c>
      <c r="E316" s="1117"/>
      <c r="F316" s="1117"/>
      <c r="G316" s="538" t="str">
        <f t="shared" si="11"/>
        <v/>
      </c>
      <c r="H316" s="538" t="str">
        <f t="shared" si="12"/>
        <v/>
      </c>
      <c r="I316" s="1118" t="str">
        <f t="shared" si="13"/>
        <v/>
      </c>
      <c r="J316" s="1118"/>
      <c r="K316" s="539" t="str">
        <f t="shared" si="14"/>
        <v/>
      </c>
      <c r="L316" s="536" t="str">
        <f t="shared" si="15"/>
        <v/>
      </c>
      <c r="M316" s="540" t="str">
        <f t="shared" si="16"/>
        <v/>
      </c>
      <c r="N316" s="540" t="str">
        <f t="shared" si="19"/>
        <v/>
      </c>
      <c r="O316" s="538" t="str">
        <f t="shared" si="17"/>
        <v/>
      </c>
      <c r="P316" s="540" t="str">
        <f t="shared" si="18"/>
        <v/>
      </c>
    </row>
    <row r="317" spans="1:16" s="483" customFormat="1" ht="18" hidden="1" customHeight="1" x14ac:dyDescent="0.25">
      <c r="A317" s="536" t="str">
        <f t="shared" si="8"/>
        <v/>
      </c>
      <c r="B317" s="537">
        <f>LARGE($B$15:$B$264,47)</f>
        <v>0</v>
      </c>
      <c r="C317" s="538" t="str">
        <f t="shared" si="9"/>
        <v/>
      </c>
      <c r="D317" s="1117" t="str">
        <f t="shared" si="10"/>
        <v/>
      </c>
      <c r="E317" s="1117"/>
      <c r="F317" s="1117"/>
      <c r="G317" s="538" t="str">
        <f t="shared" si="11"/>
        <v/>
      </c>
      <c r="H317" s="538" t="str">
        <f t="shared" si="12"/>
        <v/>
      </c>
      <c r="I317" s="1118" t="str">
        <f t="shared" si="13"/>
        <v/>
      </c>
      <c r="J317" s="1118"/>
      <c r="K317" s="539" t="str">
        <f t="shared" si="14"/>
        <v/>
      </c>
      <c r="L317" s="536" t="str">
        <f t="shared" si="15"/>
        <v/>
      </c>
      <c r="M317" s="540" t="str">
        <f t="shared" si="16"/>
        <v/>
      </c>
      <c r="N317" s="540" t="str">
        <f t="shared" si="19"/>
        <v/>
      </c>
      <c r="O317" s="538" t="str">
        <f t="shared" si="17"/>
        <v/>
      </c>
      <c r="P317" s="540" t="str">
        <f t="shared" si="18"/>
        <v/>
      </c>
    </row>
    <row r="318" spans="1:16" s="483" customFormat="1" ht="18" hidden="1" customHeight="1" x14ac:dyDescent="0.25">
      <c r="A318" s="536" t="str">
        <f t="shared" si="8"/>
        <v/>
      </c>
      <c r="B318" s="537">
        <f>LARGE($B$15:$B$264,48)</f>
        <v>0</v>
      </c>
      <c r="C318" s="538" t="str">
        <f t="shared" si="9"/>
        <v/>
      </c>
      <c r="D318" s="1117" t="str">
        <f t="shared" si="10"/>
        <v/>
      </c>
      <c r="E318" s="1117"/>
      <c r="F318" s="1117"/>
      <c r="G318" s="538" t="str">
        <f t="shared" si="11"/>
        <v/>
      </c>
      <c r="H318" s="538" t="str">
        <f t="shared" si="12"/>
        <v/>
      </c>
      <c r="I318" s="1118" t="str">
        <f t="shared" si="13"/>
        <v/>
      </c>
      <c r="J318" s="1118"/>
      <c r="K318" s="539" t="str">
        <f t="shared" si="14"/>
        <v/>
      </c>
      <c r="L318" s="536" t="str">
        <f t="shared" si="15"/>
        <v/>
      </c>
      <c r="M318" s="540" t="str">
        <f t="shared" si="16"/>
        <v/>
      </c>
      <c r="N318" s="540" t="str">
        <f t="shared" si="19"/>
        <v/>
      </c>
      <c r="O318" s="538" t="str">
        <f t="shared" si="17"/>
        <v/>
      </c>
      <c r="P318" s="540" t="str">
        <f t="shared" si="18"/>
        <v/>
      </c>
    </row>
    <row r="319" spans="1:16" s="483" customFormat="1" ht="18" hidden="1" customHeight="1" x14ac:dyDescent="0.25">
      <c r="A319" s="536" t="str">
        <f t="shared" si="8"/>
        <v/>
      </c>
      <c r="B319" s="537">
        <f>LARGE($B$15:$B$264,49)</f>
        <v>0</v>
      </c>
      <c r="C319" s="538" t="str">
        <f t="shared" si="9"/>
        <v/>
      </c>
      <c r="D319" s="1117" t="str">
        <f t="shared" si="10"/>
        <v/>
      </c>
      <c r="E319" s="1117"/>
      <c r="F319" s="1117"/>
      <c r="G319" s="538" t="str">
        <f t="shared" si="11"/>
        <v/>
      </c>
      <c r="H319" s="538" t="str">
        <f t="shared" si="12"/>
        <v/>
      </c>
      <c r="I319" s="1118" t="str">
        <f t="shared" si="13"/>
        <v/>
      </c>
      <c r="J319" s="1118"/>
      <c r="K319" s="539" t="str">
        <f t="shared" si="14"/>
        <v/>
      </c>
      <c r="L319" s="536" t="str">
        <f t="shared" si="15"/>
        <v/>
      </c>
      <c r="M319" s="540" t="str">
        <f t="shared" si="16"/>
        <v/>
      </c>
      <c r="N319" s="540" t="str">
        <f t="shared" si="19"/>
        <v/>
      </c>
      <c r="O319" s="538" t="str">
        <f t="shared" si="17"/>
        <v/>
      </c>
      <c r="P319" s="540" t="str">
        <f t="shared" si="18"/>
        <v/>
      </c>
    </row>
    <row r="320" spans="1:16" s="483" customFormat="1" ht="18" hidden="1" customHeight="1" x14ac:dyDescent="0.25">
      <c r="A320" s="536" t="str">
        <f t="shared" si="8"/>
        <v/>
      </c>
      <c r="B320" s="537">
        <f>LARGE($B$15:$B$264,50)</f>
        <v>0</v>
      </c>
      <c r="C320" s="538" t="str">
        <f t="shared" si="9"/>
        <v/>
      </c>
      <c r="D320" s="1117" t="str">
        <f t="shared" si="10"/>
        <v/>
      </c>
      <c r="E320" s="1117"/>
      <c r="F320" s="1117"/>
      <c r="G320" s="538" t="str">
        <f t="shared" si="11"/>
        <v/>
      </c>
      <c r="H320" s="538" t="str">
        <f t="shared" si="12"/>
        <v/>
      </c>
      <c r="I320" s="1118" t="str">
        <f t="shared" si="13"/>
        <v/>
      </c>
      <c r="J320" s="1118"/>
      <c r="K320" s="539" t="str">
        <f t="shared" si="14"/>
        <v/>
      </c>
      <c r="L320" s="536" t="str">
        <f t="shared" si="15"/>
        <v/>
      </c>
      <c r="M320" s="540" t="str">
        <f t="shared" si="16"/>
        <v/>
      </c>
      <c r="N320" s="540" t="str">
        <f t="shared" si="19"/>
        <v/>
      </c>
      <c r="O320" s="538" t="str">
        <f t="shared" si="17"/>
        <v/>
      </c>
      <c r="P320" s="540" t="str">
        <f t="shared" si="18"/>
        <v/>
      </c>
    </row>
    <row r="321" spans="1:16" s="483" customFormat="1" ht="18" hidden="1" customHeight="1" x14ac:dyDescent="0.25">
      <c r="A321" s="536" t="str">
        <f t="shared" si="8"/>
        <v/>
      </c>
      <c r="B321" s="537">
        <f>LARGE($B$15:$B$264,51)</f>
        <v>0</v>
      </c>
      <c r="C321" s="538" t="str">
        <f t="shared" si="9"/>
        <v/>
      </c>
      <c r="D321" s="1117" t="str">
        <f t="shared" si="10"/>
        <v/>
      </c>
      <c r="E321" s="1117"/>
      <c r="F321" s="1117"/>
      <c r="G321" s="538" t="str">
        <f t="shared" si="11"/>
        <v/>
      </c>
      <c r="H321" s="538" t="str">
        <f t="shared" si="12"/>
        <v/>
      </c>
      <c r="I321" s="1118" t="str">
        <f t="shared" si="13"/>
        <v/>
      </c>
      <c r="J321" s="1118"/>
      <c r="K321" s="539" t="str">
        <f t="shared" si="14"/>
        <v/>
      </c>
      <c r="L321" s="536" t="str">
        <f t="shared" si="15"/>
        <v/>
      </c>
      <c r="M321" s="540" t="str">
        <f t="shared" si="16"/>
        <v/>
      </c>
      <c r="N321" s="540" t="str">
        <f t="shared" si="19"/>
        <v/>
      </c>
      <c r="O321" s="538" t="str">
        <f t="shared" si="17"/>
        <v/>
      </c>
      <c r="P321" s="540" t="str">
        <f t="shared" si="18"/>
        <v/>
      </c>
    </row>
    <row r="322" spans="1:16" s="483" customFormat="1" ht="18" hidden="1" customHeight="1" x14ac:dyDescent="0.25">
      <c r="A322" s="536" t="str">
        <f t="shared" si="8"/>
        <v/>
      </c>
      <c r="B322" s="537">
        <f>LARGE($B$15:$B$264,52)</f>
        <v>0</v>
      </c>
      <c r="C322" s="538" t="str">
        <f t="shared" si="9"/>
        <v/>
      </c>
      <c r="D322" s="1117" t="str">
        <f t="shared" si="10"/>
        <v/>
      </c>
      <c r="E322" s="1117"/>
      <c r="F322" s="1117"/>
      <c r="G322" s="538" t="str">
        <f t="shared" si="11"/>
        <v/>
      </c>
      <c r="H322" s="538" t="str">
        <f t="shared" si="12"/>
        <v/>
      </c>
      <c r="I322" s="1118" t="str">
        <f t="shared" si="13"/>
        <v/>
      </c>
      <c r="J322" s="1118"/>
      <c r="K322" s="539" t="str">
        <f t="shared" si="14"/>
        <v/>
      </c>
      <c r="L322" s="536" t="str">
        <f t="shared" si="15"/>
        <v/>
      </c>
      <c r="M322" s="540" t="str">
        <f t="shared" si="16"/>
        <v/>
      </c>
      <c r="N322" s="540" t="str">
        <f t="shared" si="19"/>
        <v/>
      </c>
      <c r="O322" s="538" t="str">
        <f t="shared" si="17"/>
        <v/>
      </c>
      <c r="P322" s="540" t="str">
        <f t="shared" si="18"/>
        <v/>
      </c>
    </row>
    <row r="323" spans="1:16" s="483" customFormat="1" ht="18" hidden="1" customHeight="1" x14ac:dyDescent="0.25">
      <c r="A323" s="536" t="str">
        <f t="shared" si="8"/>
        <v/>
      </c>
      <c r="B323" s="537">
        <f>LARGE($B$15:$B$264,53)</f>
        <v>0</v>
      </c>
      <c r="C323" s="538" t="str">
        <f t="shared" si="9"/>
        <v/>
      </c>
      <c r="D323" s="1117" t="str">
        <f t="shared" si="10"/>
        <v/>
      </c>
      <c r="E323" s="1117"/>
      <c r="F323" s="1117"/>
      <c r="G323" s="538" t="str">
        <f t="shared" si="11"/>
        <v/>
      </c>
      <c r="H323" s="538" t="str">
        <f t="shared" si="12"/>
        <v/>
      </c>
      <c r="I323" s="1118" t="str">
        <f t="shared" si="13"/>
        <v/>
      </c>
      <c r="J323" s="1118"/>
      <c r="K323" s="539" t="str">
        <f t="shared" si="14"/>
        <v/>
      </c>
      <c r="L323" s="536" t="str">
        <f t="shared" si="15"/>
        <v/>
      </c>
      <c r="M323" s="540" t="str">
        <f t="shared" si="16"/>
        <v/>
      </c>
      <c r="N323" s="540" t="str">
        <f t="shared" si="19"/>
        <v/>
      </c>
      <c r="O323" s="538" t="str">
        <f t="shared" si="17"/>
        <v/>
      </c>
      <c r="P323" s="540" t="str">
        <f t="shared" si="18"/>
        <v/>
      </c>
    </row>
    <row r="324" spans="1:16" s="483" customFormat="1" ht="18" hidden="1" customHeight="1" x14ac:dyDescent="0.25">
      <c r="A324" s="536" t="str">
        <f t="shared" si="8"/>
        <v/>
      </c>
      <c r="B324" s="537">
        <f>LARGE($B$15:$B$264,54)</f>
        <v>0</v>
      </c>
      <c r="C324" s="538" t="str">
        <f t="shared" si="9"/>
        <v/>
      </c>
      <c r="D324" s="1117" t="str">
        <f t="shared" si="10"/>
        <v/>
      </c>
      <c r="E324" s="1117"/>
      <c r="F324" s="1117"/>
      <c r="G324" s="538" t="str">
        <f t="shared" si="11"/>
        <v/>
      </c>
      <c r="H324" s="538" t="str">
        <f t="shared" si="12"/>
        <v/>
      </c>
      <c r="I324" s="1118" t="str">
        <f t="shared" si="13"/>
        <v/>
      </c>
      <c r="J324" s="1118"/>
      <c r="K324" s="539" t="str">
        <f t="shared" si="14"/>
        <v/>
      </c>
      <c r="L324" s="536" t="str">
        <f t="shared" si="15"/>
        <v/>
      </c>
      <c r="M324" s="540" t="str">
        <f t="shared" si="16"/>
        <v/>
      </c>
      <c r="N324" s="540" t="str">
        <f t="shared" si="19"/>
        <v/>
      </c>
      <c r="O324" s="538" t="str">
        <f t="shared" si="17"/>
        <v/>
      </c>
      <c r="P324" s="540" t="str">
        <f t="shared" si="18"/>
        <v/>
      </c>
    </row>
    <row r="325" spans="1:16" s="483" customFormat="1" ht="18" hidden="1" customHeight="1" x14ac:dyDescent="0.25">
      <c r="A325" s="536" t="str">
        <f t="shared" si="8"/>
        <v/>
      </c>
      <c r="B325" s="537">
        <f>LARGE($B$15:$B$264,55)</f>
        <v>0</v>
      </c>
      <c r="C325" s="538" t="str">
        <f t="shared" si="9"/>
        <v/>
      </c>
      <c r="D325" s="1117" t="str">
        <f t="shared" si="10"/>
        <v/>
      </c>
      <c r="E325" s="1117"/>
      <c r="F325" s="1117"/>
      <c r="G325" s="538" t="str">
        <f t="shared" si="11"/>
        <v/>
      </c>
      <c r="H325" s="538" t="str">
        <f t="shared" si="12"/>
        <v/>
      </c>
      <c r="I325" s="1118" t="str">
        <f t="shared" si="13"/>
        <v/>
      </c>
      <c r="J325" s="1118"/>
      <c r="K325" s="539" t="str">
        <f t="shared" si="14"/>
        <v/>
      </c>
      <c r="L325" s="536" t="str">
        <f t="shared" si="15"/>
        <v/>
      </c>
      <c r="M325" s="540" t="str">
        <f t="shared" si="16"/>
        <v/>
      </c>
      <c r="N325" s="540" t="str">
        <f t="shared" si="19"/>
        <v/>
      </c>
      <c r="O325" s="538" t="str">
        <f t="shared" si="17"/>
        <v/>
      </c>
      <c r="P325" s="540" t="str">
        <f t="shared" si="18"/>
        <v/>
      </c>
    </row>
    <row r="326" spans="1:16" s="483" customFormat="1" ht="18" hidden="1" customHeight="1" x14ac:dyDescent="0.25">
      <c r="A326" s="536" t="str">
        <f t="shared" si="8"/>
        <v/>
      </c>
      <c r="B326" s="537">
        <f>LARGE($B$15:$B$264,56)</f>
        <v>0</v>
      </c>
      <c r="C326" s="538" t="str">
        <f t="shared" si="9"/>
        <v/>
      </c>
      <c r="D326" s="1117" t="str">
        <f t="shared" si="10"/>
        <v/>
      </c>
      <c r="E326" s="1117"/>
      <c r="F326" s="1117"/>
      <c r="G326" s="538" t="str">
        <f t="shared" si="11"/>
        <v/>
      </c>
      <c r="H326" s="538" t="str">
        <f t="shared" si="12"/>
        <v/>
      </c>
      <c r="I326" s="1118" t="str">
        <f t="shared" si="13"/>
        <v/>
      </c>
      <c r="J326" s="1118"/>
      <c r="K326" s="539" t="str">
        <f t="shared" si="14"/>
        <v/>
      </c>
      <c r="L326" s="536" t="str">
        <f t="shared" si="15"/>
        <v/>
      </c>
      <c r="M326" s="540" t="str">
        <f t="shared" si="16"/>
        <v/>
      </c>
      <c r="N326" s="540" t="str">
        <f t="shared" si="19"/>
        <v/>
      </c>
      <c r="O326" s="538" t="str">
        <f t="shared" si="17"/>
        <v/>
      </c>
      <c r="P326" s="540" t="str">
        <f t="shared" si="18"/>
        <v/>
      </c>
    </row>
    <row r="327" spans="1:16" s="483" customFormat="1" ht="18" hidden="1" customHeight="1" x14ac:dyDescent="0.25">
      <c r="A327" s="536" t="str">
        <f t="shared" si="8"/>
        <v/>
      </c>
      <c r="B327" s="537">
        <f>LARGE($B$15:$B$264,57)</f>
        <v>0</v>
      </c>
      <c r="C327" s="538" t="str">
        <f t="shared" si="9"/>
        <v/>
      </c>
      <c r="D327" s="1117" t="str">
        <f t="shared" si="10"/>
        <v/>
      </c>
      <c r="E327" s="1117"/>
      <c r="F327" s="1117"/>
      <c r="G327" s="538" t="str">
        <f t="shared" si="11"/>
        <v/>
      </c>
      <c r="H327" s="538" t="str">
        <f t="shared" si="12"/>
        <v/>
      </c>
      <c r="I327" s="1118" t="str">
        <f t="shared" si="13"/>
        <v/>
      </c>
      <c r="J327" s="1118"/>
      <c r="K327" s="539" t="str">
        <f t="shared" si="14"/>
        <v/>
      </c>
      <c r="L327" s="536" t="str">
        <f t="shared" si="15"/>
        <v/>
      </c>
      <c r="M327" s="540" t="str">
        <f t="shared" si="16"/>
        <v/>
      </c>
      <c r="N327" s="540" t="str">
        <f t="shared" si="19"/>
        <v/>
      </c>
      <c r="O327" s="538" t="str">
        <f t="shared" si="17"/>
        <v/>
      </c>
      <c r="P327" s="540" t="str">
        <f t="shared" si="18"/>
        <v/>
      </c>
    </row>
    <row r="328" spans="1:16" s="483" customFormat="1" ht="18" hidden="1" customHeight="1" x14ac:dyDescent="0.25">
      <c r="A328" s="536" t="str">
        <f t="shared" si="8"/>
        <v/>
      </c>
      <c r="B328" s="537">
        <f>LARGE($B$15:$B$264,58)</f>
        <v>0</v>
      </c>
      <c r="C328" s="538" t="str">
        <f t="shared" si="9"/>
        <v/>
      </c>
      <c r="D328" s="1117" t="str">
        <f t="shared" si="10"/>
        <v/>
      </c>
      <c r="E328" s="1117"/>
      <c r="F328" s="1117"/>
      <c r="G328" s="538" t="str">
        <f t="shared" si="11"/>
        <v/>
      </c>
      <c r="H328" s="538" t="str">
        <f t="shared" si="12"/>
        <v/>
      </c>
      <c r="I328" s="1118" t="str">
        <f t="shared" si="13"/>
        <v/>
      </c>
      <c r="J328" s="1118"/>
      <c r="K328" s="539" t="str">
        <f t="shared" si="14"/>
        <v/>
      </c>
      <c r="L328" s="536" t="str">
        <f t="shared" si="15"/>
        <v/>
      </c>
      <c r="M328" s="540" t="str">
        <f t="shared" si="16"/>
        <v/>
      </c>
      <c r="N328" s="540" t="str">
        <f t="shared" si="19"/>
        <v/>
      </c>
      <c r="O328" s="538" t="str">
        <f t="shared" si="17"/>
        <v/>
      </c>
      <c r="P328" s="540" t="str">
        <f t="shared" si="18"/>
        <v/>
      </c>
    </row>
    <row r="329" spans="1:16" s="483" customFormat="1" ht="18" hidden="1" customHeight="1" x14ac:dyDescent="0.25">
      <c r="A329" s="536" t="str">
        <f t="shared" si="8"/>
        <v/>
      </c>
      <c r="B329" s="537">
        <f>LARGE($B$15:$B$264,59)</f>
        <v>0</v>
      </c>
      <c r="C329" s="538" t="str">
        <f t="shared" si="9"/>
        <v/>
      </c>
      <c r="D329" s="1117" t="str">
        <f t="shared" si="10"/>
        <v/>
      </c>
      <c r="E329" s="1117"/>
      <c r="F329" s="1117"/>
      <c r="G329" s="538" t="str">
        <f t="shared" si="11"/>
        <v/>
      </c>
      <c r="H329" s="538" t="str">
        <f t="shared" si="12"/>
        <v/>
      </c>
      <c r="I329" s="1118" t="str">
        <f t="shared" si="13"/>
        <v/>
      </c>
      <c r="J329" s="1118"/>
      <c r="K329" s="539" t="str">
        <f t="shared" si="14"/>
        <v/>
      </c>
      <c r="L329" s="536" t="str">
        <f t="shared" si="15"/>
        <v/>
      </c>
      <c r="M329" s="540" t="str">
        <f t="shared" si="16"/>
        <v/>
      </c>
      <c r="N329" s="540" t="str">
        <f t="shared" si="19"/>
        <v/>
      </c>
      <c r="O329" s="538" t="str">
        <f t="shared" si="17"/>
        <v/>
      </c>
      <c r="P329" s="540" t="str">
        <f t="shared" si="18"/>
        <v/>
      </c>
    </row>
    <row r="330" spans="1:16" s="483" customFormat="1" ht="18" hidden="1" customHeight="1" x14ac:dyDescent="0.25">
      <c r="A330" s="536" t="str">
        <f t="shared" si="8"/>
        <v/>
      </c>
      <c r="B330" s="537">
        <f>LARGE($B$15:$B$264,60)</f>
        <v>0</v>
      </c>
      <c r="C330" s="538" t="str">
        <f t="shared" si="9"/>
        <v/>
      </c>
      <c r="D330" s="1117" t="str">
        <f t="shared" si="10"/>
        <v/>
      </c>
      <c r="E330" s="1117"/>
      <c r="F330" s="1117"/>
      <c r="G330" s="538" t="str">
        <f t="shared" si="11"/>
        <v/>
      </c>
      <c r="H330" s="538" t="str">
        <f t="shared" si="12"/>
        <v/>
      </c>
      <c r="I330" s="1118" t="str">
        <f t="shared" si="13"/>
        <v/>
      </c>
      <c r="J330" s="1118"/>
      <c r="K330" s="539" t="str">
        <f t="shared" si="14"/>
        <v/>
      </c>
      <c r="L330" s="536" t="str">
        <f t="shared" si="15"/>
        <v/>
      </c>
      <c r="M330" s="540" t="str">
        <f t="shared" si="16"/>
        <v/>
      </c>
      <c r="N330" s="540" t="str">
        <f t="shared" si="19"/>
        <v/>
      </c>
      <c r="O330" s="538" t="str">
        <f t="shared" si="17"/>
        <v/>
      </c>
      <c r="P330" s="540" t="str">
        <f t="shared" si="18"/>
        <v/>
      </c>
    </row>
    <row r="331" spans="1:16" s="483" customFormat="1" ht="18" hidden="1" customHeight="1" x14ac:dyDescent="0.25">
      <c r="A331" s="536" t="str">
        <f t="shared" si="8"/>
        <v/>
      </c>
      <c r="B331" s="537">
        <f>LARGE($B$15:$B$264,61)</f>
        <v>0</v>
      </c>
      <c r="C331" s="538" t="str">
        <f t="shared" si="9"/>
        <v/>
      </c>
      <c r="D331" s="1117" t="str">
        <f t="shared" si="10"/>
        <v/>
      </c>
      <c r="E331" s="1117"/>
      <c r="F331" s="1117"/>
      <c r="G331" s="538" t="str">
        <f t="shared" si="11"/>
        <v/>
      </c>
      <c r="H331" s="538" t="str">
        <f t="shared" si="12"/>
        <v/>
      </c>
      <c r="I331" s="1118" t="str">
        <f t="shared" si="13"/>
        <v/>
      </c>
      <c r="J331" s="1118"/>
      <c r="K331" s="539" t="str">
        <f t="shared" si="14"/>
        <v/>
      </c>
      <c r="L331" s="536" t="str">
        <f t="shared" si="15"/>
        <v/>
      </c>
      <c r="M331" s="540" t="str">
        <f t="shared" si="16"/>
        <v/>
      </c>
      <c r="N331" s="540" t="str">
        <f t="shared" si="19"/>
        <v/>
      </c>
      <c r="O331" s="538" t="str">
        <f t="shared" si="17"/>
        <v/>
      </c>
      <c r="P331" s="540" t="str">
        <f t="shared" si="18"/>
        <v/>
      </c>
    </row>
    <row r="332" spans="1:16" s="483" customFormat="1" ht="18" hidden="1" customHeight="1" x14ac:dyDescent="0.25">
      <c r="A332" s="536" t="str">
        <f t="shared" si="8"/>
        <v/>
      </c>
      <c r="B332" s="537">
        <f>LARGE($B$15:$B$264,62)</f>
        <v>0</v>
      </c>
      <c r="C332" s="538" t="str">
        <f t="shared" si="9"/>
        <v/>
      </c>
      <c r="D332" s="1117" t="str">
        <f t="shared" si="10"/>
        <v/>
      </c>
      <c r="E332" s="1117"/>
      <c r="F332" s="1117"/>
      <c r="G332" s="538" t="str">
        <f t="shared" si="11"/>
        <v/>
      </c>
      <c r="H332" s="538" t="str">
        <f t="shared" si="12"/>
        <v/>
      </c>
      <c r="I332" s="1118" t="str">
        <f t="shared" si="13"/>
        <v/>
      </c>
      <c r="J332" s="1118"/>
      <c r="K332" s="539" t="str">
        <f t="shared" si="14"/>
        <v/>
      </c>
      <c r="L332" s="536" t="str">
        <f t="shared" si="15"/>
        <v/>
      </c>
      <c r="M332" s="540" t="str">
        <f t="shared" si="16"/>
        <v/>
      </c>
      <c r="N332" s="540" t="str">
        <f t="shared" si="19"/>
        <v/>
      </c>
      <c r="O332" s="538" t="str">
        <f t="shared" si="17"/>
        <v/>
      </c>
      <c r="P332" s="540" t="str">
        <f t="shared" si="18"/>
        <v/>
      </c>
    </row>
    <row r="333" spans="1:16" s="483" customFormat="1" ht="18" hidden="1" customHeight="1" x14ac:dyDescent="0.25">
      <c r="A333" s="536" t="str">
        <f t="shared" si="8"/>
        <v/>
      </c>
      <c r="B333" s="537">
        <f>LARGE($B$15:$B$264,63)</f>
        <v>0</v>
      </c>
      <c r="C333" s="538" t="str">
        <f t="shared" si="9"/>
        <v/>
      </c>
      <c r="D333" s="1117" t="str">
        <f t="shared" si="10"/>
        <v/>
      </c>
      <c r="E333" s="1117"/>
      <c r="F333" s="1117"/>
      <c r="G333" s="538" t="str">
        <f t="shared" si="11"/>
        <v/>
      </c>
      <c r="H333" s="538" t="str">
        <f t="shared" si="12"/>
        <v/>
      </c>
      <c r="I333" s="1118" t="str">
        <f t="shared" si="13"/>
        <v/>
      </c>
      <c r="J333" s="1118"/>
      <c r="K333" s="539" t="str">
        <f t="shared" si="14"/>
        <v/>
      </c>
      <c r="L333" s="536" t="str">
        <f t="shared" si="15"/>
        <v/>
      </c>
      <c r="M333" s="540" t="str">
        <f t="shared" si="16"/>
        <v/>
      </c>
      <c r="N333" s="540" t="str">
        <f t="shared" si="19"/>
        <v/>
      </c>
      <c r="O333" s="538" t="str">
        <f t="shared" si="17"/>
        <v/>
      </c>
      <c r="P333" s="540" t="str">
        <f t="shared" si="18"/>
        <v/>
      </c>
    </row>
    <row r="334" spans="1:16" s="483" customFormat="1" ht="18" hidden="1" customHeight="1" x14ac:dyDescent="0.25">
      <c r="A334" s="536" t="str">
        <f t="shared" si="8"/>
        <v/>
      </c>
      <c r="B334" s="537">
        <f>LARGE($B$15:$B$264,64)</f>
        <v>0</v>
      </c>
      <c r="C334" s="538" t="str">
        <f t="shared" si="9"/>
        <v/>
      </c>
      <c r="D334" s="1117" t="str">
        <f t="shared" si="10"/>
        <v/>
      </c>
      <c r="E334" s="1117"/>
      <c r="F334" s="1117"/>
      <c r="G334" s="538" t="str">
        <f t="shared" si="11"/>
        <v/>
      </c>
      <c r="H334" s="538" t="str">
        <f t="shared" si="12"/>
        <v/>
      </c>
      <c r="I334" s="1118" t="str">
        <f t="shared" si="13"/>
        <v/>
      </c>
      <c r="J334" s="1118"/>
      <c r="K334" s="539" t="str">
        <f t="shared" si="14"/>
        <v/>
      </c>
      <c r="L334" s="536" t="str">
        <f t="shared" si="15"/>
        <v/>
      </c>
      <c r="M334" s="540" t="str">
        <f t="shared" si="16"/>
        <v/>
      </c>
      <c r="N334" s="540" t="str">
        <f t="shared" si="19"/>
        <v/>
      </c>
      <c r="O334" s="538" t="str">
        <f t="shared" si="17"/>
        <v/>
      </c>
      <c r="P334" s="540" t="str">
        <f t="shared" si="18"/>
        <v/>
      </c>
    </row>
    <row r="335" spans="1:16" s="483" customFormat="1" ht="18" hidden="1" customHeight="1" x14ac:dyDescent="0.25">
      <c r="A335" s="536" t="str">
        <f t="shared" ref="A335:A398" si="20">P335</f>
        <v/>
      </c>
      <c r="B335" s="537">
        <f>LARGE($B$15:$B$264,65)</f>
        <v>0</v>
      </c>
      <c r="C335" s="538" t="str">
        <f t="shared" ref="C335:C398" si="21">IFERROR(IF(B335=0,"",VLOOKUP(B335,$B$15:$J$264,2,FALSE())),"")</f>
        <v/>
      </c>
      <c r="D335" s="1117" t="str">
        <f t="shared" ref="D335:D398" si="22">IFERROR(IF(B335=0,"",VLOOKUP(B335,$B$15:$J$264,3,FALSE())),"")</f>
        <v/>
      </c>
      <c r="E335" s="1117"/>
      <c r="F335" s="1117"/>
      <c r="G335" s="538" t="str">
        <f t="shared" ref="G335:G398" si="23">IFERROR(IF(B335=0,"",VLOOKUP(B335,$B$15:$J$264,6,FALSE())),"")</f>
        <v/>
      </c>
      <c r="H335" s="538" t="str">
        <f t="shared" ref="H335:H398" si="24">IFERROR(IF(B335=0,"",VLOOKUP(B335,$B$15:$J$264,7,FALSE())),"")</f>
        <v/>
      </c>
      <c r="I335" s="1118" t="str">
        <f t="shared" ref="I335:I398" si="25">IF(B335=0,"",VLOOKUP(B335,$B$15:$J$264,8,FALSE()))</f>
        <v/>
      </c>
      <c r="J335" s="1118"/>
      <c r="K335" s="539" t="str">
        <f t="shared" ref="K335:K398" si="26">IF(B335=0,"",H335*I335)</f>
        <v/>
      </c>
      <c r="L335" s="536" t="str">
        <f t="shared" ref="L335:L398" si="27">O335</f>
        <v/>
      </c>
      <c r="M335" s="540" t="str">
        <f t="shared" ref="M335:M398" si="28">IF(B335=0,"",B335)</f>
        <v/>
      </c>
      <c r="N335" s="540" t="str">
        <f t="shared" si="19"/>
        <v/>
      </c>
      <c r="O335" s="538" t="str">
        <f t="shared" ref="O335:O398" si="29">IF(B335=0,"",(IF(N335&lt;80%,"Si","No")))</f>
        <v/>
      </c>
      <c r="P335" s="540" t="str">
        <f t="shared" ref="P335:P398" si="30">IF(B335=0,"",(IF(M335=$M$521,"Si",(IF(M335&gt;$M$521,"Si","No")))))</f>
        <v/>
      </c>
    </row>
    <row r="336" spans="1:16" s="483" customFormat="1" ht="18" hidden="1" customHeight="1" x14ac:dyDescent="0.25">
      <c r="A336" s="536" t="str">
        <f t="shared" si="20"/>
        <v/>
      </c>
      <c r="B336" s="537">
        <f>LARGE($B$15:$B$264,66)</f>
        <v>0</v>
      </c>
      <c r="C336" s="538" t="str">
        <f t="shared" si="21"/>
        <v/>
      </c>
      <c r="D336" s="1117" t="str">
        <f t="shared" si="22"/>
        <v/>
      </c>
      <c r="E336" s="1117"/>
      <c r="F336" s="1117"/>
      <c r="G336" s="538" t="str">
        <f t="shared" si="23"/>
        <v/>
      </c>
      <c r="H336" s="538" t="str">
        <f t="shared" si="24"/>
        <v/>
      </c>
      <c r="I336" s="1118" t="str">
        <f t="shared" si="25"/>
        <v/>
      </c>
      <c r="J336" s="1118"/>
      <c r="K336" s="539" t="str">
        <f t="shared" si="26"/>
        <v/>
      </c>
      <c r="L336" s="536" t="str">
        <f t="shared" si="27"/>
        <v/>
      </c>
      <c r="M336" s="540" t="str">
        <f t="shared" si="28"/>
        <v/>
      </c>
      <c r="N336" s="540" t="str">
        <f t="shared" ref="N336:N399" si="31">IF(B336=0,"",M336+N335)</f>
        <v/>
      </c>
      <c r="O336" s="538" t="str">
        <f t="shared" si="29"/>
        <v/>
      </c>
      <c r="P336" s="540" t="str">
        <f t="shared" si="30"/>
        <v/>
      </c>
    </row>
    <row r="337" spans="1:16" s="483" customFormat="1" ht="18" hidden="1" customHeight="1" x14ac:dyDescent="0.25">
      <c r="A337" s="536" t="str">
        <f t="shared" si="20"/>
        <v/>
      </c>
      <c r="B337" s="537">
        <f>LARGE($B$15:$B$264,67)</f>
        <v>0</v>
      </c>
      <c r="C337" s="538" t="str">
        <f t="shared" si="21"/>
        <v/>
      </c>
      <c r="D337" s="1117" t="str">
        <f t="shared" si="22"/>
        <v/>
      </c>
      <c r="E337" s="1117"/>
      <c r="F337" s="1117"/>
      <c r="G337" s="538" t="str">
        <f t="shared" si="23"/>
        <v/>
      </c>
      <c r="H337" s="538" t="str">
        <f t="shared" si="24"/>
        <v/>
      </c>
      <c r="I337" s="1118" t="str">
        <f t="shared" si="25"/>
        <v/>
      </c>
      <c r="J337" s="1118"/>
      <c r="K337" s="539" t="str">
        <f t="shared" si="26"/>
        <v/>
      </c>
      <c r="L337" s="536" t="str">
        <f t="shared" si="27"/>
        <v/>
      </c>
      <c r="M337" s="540" t="str">
        <f t="shared" si="28"/>
        <v/>
      </c>
      <c r="N337" s="540" t="str">
        <f t="shared" si="31"/>
        <v/>
      </c>
      <c r="O337" s="538" t="str">
        <f t="shared" si="29"/>
        <v/>
      </c>
      <c r="P337" s="540" t="str">
        <f t="shared" si="30"/>
        <v/>
      </c>
    </row>
    <row r="338" spans="1:16" s="483" customFormat="1" ht="18" hidden="1" customHeight="1" x14ac:dyDescent="0.25">
      <c r="A338" s="536" t="str">
        <f t="shared" si="20"/>
        <v/>
      </c>
      <c r="B338" s="537">
        <f>LARGE($B$15:$B$264,68)</f>
        <v>0</v>
      </c>
      <c r="C338" s="538" t="str">
        <f t="shared" si="21"/>
        <v/>
      </c>
      <c r="D338" s="1117" t="str">
        <f t="shared" si="22"/>
        <v/>
      </c>
      <c r="E338" s="1117"/>
      <c r="F338" s="1117"/>
      <c r="G338" s="538" t="str">
        <f t="shared" si="23"/>
        <v/>
      </c>
      <c r="H338" s="538" t="str">
        <f t="shared" si="24"/>
        <v/>
      </c>
      <c r="I338" s="1118" t="str">
        <f t="shared" si="25"/>
        <v/>
      </c>
      <c r="J338" s="1118"/>
      <c r="K338" s="539" t="str">
        <f t="shared" si="26"/>
        <v/>
      </c>
      <c r="L338" s="536" t="str">
        <f t="shared" si="27"/>
        <v/>
      </c>
      <c r="M338" s="540" t="str">
        <f t="shared" si="28"/>
        <v/>
      </c>
      <c r="N338" s="540" t="str">
        <f t="shared" si="31"/>
        <v/>
      </c>
      <c r="O338" s="538" t="str">
        <f t="shared" si="29"/>
        <v/>
      </c>
      <c r="P338" s="540" t="str">
        <f t="shared" si="30"/>
        <v/>
      </c>
    </row>
    <row r="339" spans="1:16" s="483" customFormat="1" ht="18" hidden="1" customHeight="1" x14ac:dyDescent="0.25">
      <c r="A339" s="536" t="str">
        <f t="shared" si="20"/>
        <v/>
      </c>
      <c r="B339" s="537">
        <f>LARGE($B$15:$B$264,69)</f>
        <v>0</v>
      </c>
      <c r="C339" s="538" t="str">
        <f t="shared" si="21"/>
        <v/>
      </c>
      <c r="D339" s="1117" t="str">
        <f t="shared" si="22"/>
        <v/>
      </c>
      <c r="E339" s="1117"/>
      <c r="F339" s="1117"/>
      <c r="G339" s="538" t="str">
        <f t="shared" si="23"/>
        <v/>
      </c>
      <c r="H339" s="538" t="str">
        <f t="shared" si="24"/>
        <v/>
      </c>
      <c r="I339" s="1118" t="str">
        <f t="shared" si="25"/>
        <v/>
      </c>
      <c r="J339" s="1118"/>
      <c r="K339" s="539" t="str">
        <f t="shared" si="26"/>
        <v/>
      </c>
      <c r="L339" s="536" t="str">
        <f t="shared" si="27"/>
        <v/>
      </c>
      <c r="M339" s="540" t="str">
        <f t="shared" si="28"/>
        <v/>
      </c>
      <c r="N339" s="540" t="str">
        <f t="shared" si="31"/>
        <v/>
      </c>
      <c r="O339" s="538" t="str">
        <f t="shared" si="29"/>
        <v/>
      </c>
      <c r="P339" s="540" t="str">
        <f t="shared" si="30"/>
        <v/>
      </c>
    </row>
    <row r="340" spans="1:16" s="483" customFormat="1" ht="18" hidden="1" customHeight="1" x14ac:dyDescent="0.25">
      <c r="A340" s="536" t="str">
        <f t="shared" si="20"/>
        <v/>
      </c>
      <c r="B340" s="537">
        <f>LARGE($B$15:$B$264,70)</f>
        <v>0</v>
      </c>
      <c r="C340" s="538" t="str">
        <f t="shared" si="21"/>
        <v/>
      </c>
      <c r="D340" s="1117" t="str">
        <f t="shared" si="22"/>
        <v/>
      </c>
      <c r="E340" s="1117"/>
      <c r="F340" s="1117"/>
      <c r="G340" s="538" t="str">
        <f t="shared" si="23"/>
        <v/>
      </c>
      <c r="H340" s="538" t="str">
        <f t="shared" si="24"/>
        <v/>
      </c>
      <c r="I340" s="1118" t="str">
        <f t="shared" si="25"/>
        <v/>
      </c>
      <c r="J340" s="1118"/>
      <c r="K340" s="539" t="str">
        <f t="shared" si="26"/>
        <v/>
      </c>
      <c r="L340" s="536" t="str">
        <f t="shared" si="27"/>
        <v/>
      </c>
      <c r="M340" s="540" t="str">
        <f t="shared" si="28"/>
        <v/>
      </c>
      <c r="N340" s="540" t="str">
        <f t="shared" si="31"/>
        <v/>
      </c>
      <c r="O340" s="538" t="str">
        <f t="shared" si="29"/>
        <v/>
      </c>
      <c r="P340" s="540" t="str">
        <f t="shared" si="30"/>
        <v/>
      </c>
    </row>
    <row r="341" spans="1:16" s="483" customFormat="1" ht="18" hidden="1" customHeight="1" x14ac:dyDescent="0.25">
      <c r="A341" s="536" t="str">
        <f t="shared" si="20"/>
        <v/>
      </c>
      <c r="B341" s="537">
        <f>LARGE($B$15:$B$264,71)</f>
        <v>0</v>
      </c>
      <c r="C341" s="538" t="str">
        <f t="shared" si="21"/>
        <v/>
      </c>
      <c r="D341" s="1117" t="str">
        <f t="shared" si="22"/>
        <v/>
      </c>
      <c r="E341" s="1117"/>
      <c r="F341" s="1117"/>
      <c r="G341" s="538" t="str">
        <f t="shared" si="23"/>
        <v/>
      </c>
      <c r="H341" s="538" t="str">
        <f t="shared" si="24"/>
        <v/>
      </c>
      <c r="I341" s="1118" t="str">
        <f t="shared" si="25"/>
        <v/>
      </c>
      <c r="J341" s="1118"/>
      <c r="K341" s="539" t="str">
        <f t="shared" si="26"/>
        <v/>
      </c>
      <c r="L341" s="536" t="str">
        <f t="shared" si="27"/>
        <v/>
      </c>
      <c r="M341" s="540" t="str">
        <f t="shared" si="28"/>
        <v/>
      </c>
      <c r="N341" s="540" t="str">
        <f t="shared" si="31"/>
        <v/>
      </c>
      <c r="O341" s="538" t="str">
        <f t="shared" si="29"/>
        <v/>
      </c>
      <c r="P341" s="540" t="str">
        <f t="shared" si="30"/>
        <v/>
      </c>
    </row>
    <row r="342" spans="1:16" s="483" customFormat="1" ht="18" hidden="1" customHeight="1" x14ac:dyDescent="0.25">
      <c r="A342" s="536" t="str">
        <f t="shared" si="20"/>
        <v/>
      </c>
      <c r="B342" s="537">
        <f>LARGE($B$15:$B$264,72)</f>
        <v>0</v>
      </c>
      <c r="C342" s="538" t="str">
        <f t="shared" si="21"/>
        <v/>
      </c>
      <c r="D342" s="1117" t="str">
        <f t="shared" si="22"/>
        <v/>
      </c>
      <c r="E342" s="1117"/>
      <c r="F342" s="1117"/>
      <c r="G342" s="538" t="str">
        <f t="shared" si="23"/>
        <v/>
      </c>
      <c r="H342" s="538" t="str">
        <f t="shared" si="24"/>
        <v/>
      </c>
      <c r="I342" s="1118" t="str">
        <f t="shared" si="25"/>
        <v/>
      </c>
      <c r="J342" s="1118"/>
      <c r="K342" s="539" t="str">
        <f t="shared" si="26"/>
        <v/>
      </c>
      <c r="L342" s="536" t="str">
        <f t="shared" si="27"/>
        <v/>
      </c>
      <c r="M342" s="540" t="str">
        <f t="shared" si="28"/>
        <v/>
      </c>
      <c r="N342" s="540" t="str">
        <f t="shared" si="31"/>
        <v/>
      </c>
      <c r="O342" s="538" t="str">
        <f t="shared" si="29"/>
        <v/>
      </c>
      <c r="P342" s="540" t="str">
        <f t="shared" si="30"/>
        <v/>
      </c>
    </row>
    <row r="343" spans="1:16" s="483" customFormat="1" ht="18" hidden="1" customHeight="1" x14ac:dyDescent="0.25">
      <c r="A343" s="536" t="str">
        <f t="shared" si="20"/>
        <v/>
      </c>
      <c r="B343" s="537">
        <f>LARGE($B$15:$B$264,73)</f>
        <v>0</v>
      </c>
      <c r="C343" s="538" t="str">
        <f t="shared" si="21"/>
        <v/>
      </c>
      <c r="D343" s="1117" t="str">
        <f t="shared" si="22"/>
        <v/>
      </c>
      <c r="E343" s="1117"/>
      <c r="F343" s="1117"/>
      <c r="G343" s="538" t="str">
        <f t="shared" si="23"/>
        <v/>
      </c>
      <c r="H343" s="538" t="str">
        <f t="shared" si="24"/>
        <v/>
      </c>
      <c r="I343" s="1118" t="str">
        <f t="shared" si="25"/>
        <v/>
      </c>
      <c r="J343" s="1118"/>
      <c r="K343" s="539" t="str">
        <f t="shared" si="26"/>
        <v/>
      </c>
      <c r="L343" s="536" t="str">
        <f t="shared" si="27"/>
        <v/>
      </c>
      <c r="M343" s="540" t="str">
        <f t="shared" si="28"/>
        <v/>
      </c>
      <c r="N343" s="540" t="str">
        <f t="shared" si="31"/>
        <v/>
      </c>
      <c r="O343" s="538" t="str">
        <f t="shared" si="29"/>
        <v/>
      </c>
      <c r="P343" s="540" t="str">
        <f t="shared" si="30"/>
        <v/>
      </c>
    </row>
    <row r="344" spans="1:16" s="483" customFormat="1" ht="18" hidden="1" customHeight="1" x14ac:dyDescent="0.25">
      <c r="A344" s="536" t="str">
        <f t="shared" si="20"/>
        <v/>
      </c>
      <c r="B344" s="537">
        <f>LARGE($B$15:$B$264,74)</f>
        <v>0</v>
      </c>
      <c r="C344" s="538" t="str">
        <f t="shared" si="21"/>
        <v/>
      </c>
      <c r="D344" s="1117" t="str">
        <f t="shared" si="22"/>
        <v/>
      </c>
      <c r="E344" s="1117"/>
      <c r="F344" s="1117"/>
      <c r="G344" s="538" t="str">
        <f t="shared" si="23"/>
        <v/>
      </c>
      <c r="H344" s="538" t="str">
        <f t="shared" si="24"/>
        <v/>
      </c>
      <c r="I344" s="1118" t="str">
        <f t="shared" si="25"/>
        <v/>
      </c>
      <c r="J344" s="1118"/>
      <c r="K344" s="539" t="str">
        <f t="shared" si="26"/>
        <v/>
      </c>
      <c r="L344" s="536" t="str">
        <f t="shared" si="27"/>
        <v/>
      </c>
      <c r="M344" s="540" t="str">
        <f t="shared" si="28"/>
        <v/>
      </c>
      <c r="N344" s="540" t="str">
        <f t="shared" si="31"/>
        <v/>
      </c>
      <c r="O344" s="538" t="str">
        <f t="shared" si="29"/>
        <v/>
      </c>
      <c r="P344" s="540" t="str">
        <f t="shared" si="30"/>
        <v/>
      </c>
    </row>
    <row r="345" spans="1:16" s="483" customFormat="1" ht="18" hidden="1" customHeight="1" x14ac:dyDescent="0.25">
      <c r="A345" s="536" t="str">
        <f t="shared" si="20"/>
        <v/>
      </c>
      <c r="B345" s="537">
        <f>LARGE($B$15:$B$264,75)</f>
        <v>0</v>
      </c>
      <c r="C345" s="538" t="str">
        <f t="shared" si="21"/>
        <v/>
      </c>
      <c r="D345" s="1117" t="str">
        <f t="shared" si="22"/>
        <v/>
      </c>
      <c r="E345" s="1117"/>
      <c r="F345" s="1117"/>
      <c r="G345" s="538" t="str">
        <f t="shared" si="23"/>
        <v/>
      </c>
      <c r="H345" s="538" t="str">
        <f t="shared" si="24"/>
        <v/>
      </c>
      <c r="I345" s="1118" t="str">
        <f t="shared" si="25"/>
        <v/>
      </c>
      <c r="J345" s="1118"/>
      <c r="K345" s="539" t="str">
        <f t="shared" si="26"/>
        <v/>
      </c>
      <c r="L345" s="536" t="str">
        <f t="shared" si="27"/>
        <v/>
      </c>
      <c r="M345" s="540" t="str">
        <f t="shared" si="28"/>
        <v/>
      </c>
      <c r="N345" s="540" t="str">
        <f t="shared" si="31"/>
        <v/>
      </c>
      <c r="O345" s="538" t="str">
        <f t="shared" si="29"/>
        <v/>
      </c>
      <c r="P345" s="540" t="str">
        <f t="shared" si="30"/>
        <v/>
      </c>
    </row>
    <row r="346" spans="1:16" s="483" customFormat="1" ht="18" hidden="1" customHeight="1" x14ac:dyDescent="0.25">
      <c r="A346" s="536" t="str">
        <f t="shared" si="20"/>
        <v/>
      </c>
      <c r="B346" s="537">
        <f>LARGE($B$15:$B$264,76)</f>
        <v>0</v>
      </c>
      <c r="C346" s="538" t="str">
        <f t="shared" si="21"/>
        <v/>
      </c>
      <c r="D346" s="1117" t="str">
        <f t="shared" si="22"/>
        <v/>
      </c>
      <c r="E346" s="1117"/>
      <c r="F346" s="1117"/>
      <c r="G346" s="538" t="str">
        <f t="shared" si="23"/>
        <v/>
      </c>
      <c r="H346" s="538" t="str">
        <f t="shared" si="24"/>
        <v/>
      </c>
      <c r="I346" s="1118" t="str">
        <f t="shared" si="25"/>
        <v/>
      </c>
      <c r="J346" s="1118"/>
      <c r="K346" s="539" t="str">
        <f t="shared" si="26"/>
        <v/>
      </c>
      <c r="L346" s="536" t="str">
        <f t="shared" si="27"/>
        <v/>
      </c>
      <c r="M346" s="540" t="str">
        <f t="shared" si="28"/>
        <v/>
      </c>
      <c r="N346" s="540" t="str">
        <f t="shared" si="31"/>
        <v/>
      </c>
      <c r="O346" s="538" t="str">
        <f t="shared" si="29"/>
        <v/>
      </c>
      <c r="P346" s="540" t="str">
        <f t="shared" si="30"/>
        <v/>
      </c>
    </row>
    <row r="347" spans="1:16" s="483" customFormat="1" ht="18" hidden="1" customHeight="1" x14ac:dyDescent="0.25">
      <c r="A347" s="536" t="str">
        <f t="shared" si="20"/>
        <v/>
      </c>
      <c r="B347" s="537">
        <f>LARGE($B$15:$B$264,77)</f>
        <v>0</v>
      </c>
      <c r="C347" s="538" t="str">
        <f t="shared" si="21"/>
        <v/>
      </c>
      <c r="D347" s="1117" t="str">
        <f t="shared" si="22"/>
        <v/>
      </c>
      <c r="E347" s="1117"/>
      <c r="F347" s="1117"/>
      <c r="G347" s="538" t="str">
        <f t="shared" si="23"/>
        <v/>
      </c>
      <c r="H347" s="538" t="str">
        <f t="shared" si="24"/>
        <v/>
      </c>
      <c r="I347" s="1118" t="str">
        <f t="shared" si="25"/>
        <v/>
      </c>
      <c r="J347" s="1118"/>
      <c r="K347" s="539" t="str">
        <f t="shared" si="26"/>
        <v/>
      </c>
      <c r="L347" s="536" t="str">
        <f t="shared" si="27"/>
        <v/>
      </c>
      <c r="M347" s="540" t="str">
        <f t="shared" si="28"/>
        <v/>
      </c>
      <c r="N347" s="540" t="str">
        <f t="shared" si="31"/>
        <v/>
      </c>
      <c r="O347" s="538" t="str">
        <f t="shared" si="29"/>
        <v/>
      </c>
      <c r="P347" s="540" t="str">
        <f t="shared" si="30"/>
        <v/>
      </c>
    </row>
    <row r="348" spans="1:16" s="483" customFormat="1" ht="18" hidden="1" customHeight="1" x14ac:dyDescent="0.25">
      <c r="A348" s="536" t="str">
        <f t="shared" si="20"/>
        <v/>
      </c>
      <c r="B348" s="537">
        <f>LARGE($B$15:$B$264,78)</f>
        <v>0</v>
      </c>
      <c r="C348" s="538" t="str">
        <f t="shared" si="21"/>
        <v/>
      </c>
      <c r="D348" s="1117" t="str">
        <f t="shared" si="22"/>
        <v/>
      </c>
      <c r="E348" s="1117"/>
      <c r="F348" s="1117"/>
      <c r="G348" s="538" t="str">
        <f t="shared" si="23"/>
        <v/>
      </c>
      <c r="H348" s="538" t="str">
        <f t="shared" si="24"/>
        <v/>
      </c>
      <c r="I348" s="1118" t="str">
        <f t="shared" si="25"/>
        <v/>
      </c>
      <c r="J348" s="1118"/>
      <c r="K348" s="539" t="str">
        <f t="shared" si="26"/>
        <v/>
      </c>
      <c r="L348" s="536" t="str">
        <f t="shared" si="27"/>
        <v/>
      </c>
      <c r="M348" s="540" t="str">
        <f t="shared" si="28"/>
        <v/>
      </c>
      <c r="N348" s="540" t="str">
        <f t="shared" si="31"/>
        <v/>
      </c>
      <c r="O348" s="538" t="str">
        <f t="shared" si="29"/>
        <v/>
      </c>
      <c r="P348" s="540" t="str">
        <f t="shared" si="30"/>
        <v/>
      </c>
    </row>
    <row r="349" spans="1:16" s="483" customFormat="1" ht="18" hidden="1" customHeight="1" x14ac:dyDescent="0.25">
      <c r="A349" s="536" t="str">
        <f t="shared" si="20"/>
        <v/>
      </c>
      <c r="B349" s="537">
        <f>LARGE($B$15:$B$264,79)</f>
        <v>0</v>
      </c>
      <c r="C349" s="538" t="str">
        <f t="shared" si="21"/>
        <v/>
      </c>
      <c r="D349" s="1117" t="str">
        <f t="shared" si="22"/>
        <v/>
      </c>
      <c r="E349" s="1117"/>
      <c r="F349" s="1117"/>
      <c r="G349" s="538" t="str">
        <f t="shared" si="23"/>
        <v/>
      </c>
      <c r="H349" s="538" t="str">
        <f t="shared" si="24"/>
        <v/>
      </c>
      <c r="I349" s="1118" t="str">
        <f t="shared" si="25"/>
        <v/>
      </c>
      <c r="J349" s="1118"/>
      <c r="K349" s="539" t="str">
        <f t="shared" si="26"/>
        <v/>
      </c>
      <c r="L349" s="536" t="str">
        <f t="shared" si="27"/>
        <v/>
      </c>
      <c r="M349" s="540" t="str">
        <f t="shared" si="28"/>
        <v/>
      </c>
      <c r="N349" s="540" t="str">
        <f t="shared" si="31"/>
        <v/>
      </c>
      <c r="O349" s="538" t="str">
        <f t="shared" si="29"/>
        <v/>
      </c>
      <c r="P349" s="540" t="str">
        <f t="shared" si="30"/>
        <v/>
      </c>
    </row>
    <row r="350" spans="1:16" s="483" customFormat="1" ht="18" hidden="1" customHeight="1" x14ac:dyDescent="0.25">
      <c r="A350" s="536" t="str">
        <f t="shared" si="20"/>
        <v/>
      </c>
      <c r="B350" s="537">
        <f>LARGE($B$15:$B$264,80)</f>
        <v>0</v>
      </c>
      <c r="C350" s="538" t="str">
        <f t="shared" si="21"/>
        <v/>
      </c>
      <c r="D350" s="1117" t="str">
        <f t="shared" si="22"/>
        <v/>
      </c>
      <c r="E350" s="1117"/>
      <c r="F350" s="1117"/>
      <c r="G350" s="538" t="str">
        <f t="shared" si="23"/>
        <v/>
      </c>
      <c r="H350" s="538" t="str">
        <f t="shared" si="24"/>
        <v/>
      </c>
      <c r="I350" s="1118" t="str">
        <f t="shared" si="25"/>
        <v/>
      </c>
      <c r="J350" s="1118"/>
      <c r="K350" s="539" t="str">
        <f t="shared" si="26"/>
        <v/>
      </c>
      <c r="L350" s="536" t="str">
        <f t="shared" si="27"/>
        <v/>
      </c>
      <c r="M350" s="540" t="str">
        <f t="shared" si="28"/>
        <v/>
      </c>
      <c r="N350" s="540" t="str">
        <f t="shared" si="31"/>
        <v/>
      </c>
      <c r="O350" s="538" t="str">
        <f t="shared" si="29"/>
        <v/>
      </c>
      <c r="P350" s="540" t="str">
        <f t="shared" si="30"/>
        <v/>
      </c>
    </row>
    <row r="351" spans="1:16" s="483" customFormat="1" ht="18" hidden="1" customHeight="1" x14ac:dyDescent="0.25">
      <c r="A351" s="536" t="str">
        <f t="shared" si="20"/>
        <v/>
      </c>
      <c r="B351" s="537">
        <f>LARGE($B$15:$B$264,81)</f>
        <v>0</v>
      </c>
      <c r="C351" s="538" t="str">
        <f t="shared" si="21"/>
        <v/>
      </c>
      <c r="D351" s="1117" t="str">
        <f t="shared" si="22"/>
        <v/>
      </c>
      <c r="E351" s="1117"/>
      <c r="F351" s="1117"/>
      <c r="G351" s="538" t="str">
        <f t="shared" si="23"/>
        <v/>
      </c>
      <c r="H351" s="538" t="str">
        <f t="shared" si="24"/>
        <v/>
      </c>
      <c r="I351" s="1118" t="str">
        <f t="shared" si="25"/>
        <v/>
      </c>
      <c r="J351" s="1118"/>
      <c r="K351" s="539" t="str">
        <f t="shared" si="26"/>
        <v/>
      </c>
      <c r="L351" s="536" t="str">
        <f t="shared" si="27"/>
        <v/>
      </c>
      <c r="M351" s="540" t="str">
        <f t="shared" si="28"/>
        <v/>
      </c>
      <c r="N351" s="540" t="str">
        <f t="shared" si="31"/>
        <v/>
      </c>
      <c r="O351" s="538" t="str">
        <f t="shared" si="29"/>
        <v/>
      </c>
      <c r="P351" s="540" t="str">
        <f t="shared" si="30"/>
        <v/>
      </c>
    </row>
    <row r="352" spans="1:16" s="483" customFormat="1" ht="18" hidden="1" customHeight="1" x14ac:dyDescent="0.25">
      <c r="A352" s="536" t="str">
        <f t="shared" si="20"/>
        <v/>
      </c>
      <c r="B352" s="537">
        <f>LARGE($B$15:$B$264,82)</f>
        <v>0</v>
      </c>
      <c r="C352" s="538" t="str">
        <f t="shared" si="21"/>
        <v/>
      </c>
      <c r="D352" s="1117" t="str">
        <f t="shared" si="22"/>
        <v/>
      </c>
      <c r="E352" s="1117"/>
      <c r="F352" s="1117"/>
      <c r="G352" s="538" t="str">
        <f t="shared" si="23"/>
        <v/>
      </c>
      <c r="H352" s="538" t="str">
        <f t="shared" si="24"/>
        <v/>
      </c>
      <c r="I352" s="1118" t="str">
        <f t="shared" si="25"/>
        <v/>
      </c>
      <c r="J352" s="1118"/>
      <c r="K352" s="539" t="str">
        <f t="shared" si="26"/>
        <v/>
      </c>
      <c r="L352" s="536" t="str">
        <f t="shared" si="27"/>
        <v/>
      </c>
      <c r="M352" s="540" t="str">
        <f t="shared" si="28"/>
        <v/>
      </c>
      <c r="N352" s="540" t="str">
        <f t="shared" si="31"/>
        <v/>
      </c>
      <c r="O352" s="538" t="str">
        <f t="shared" si="29"/>
        <v/>
      </c>
      <c r="P352" s="540" t="str">
        <f t="shared" si="30"/>
        <v/>
      </c>
    </row>
    <row r="353" spans="1:16" s="483" customFormat="1" ht="18" hidden="1" customHeight="1" x14ac:dyDescent="0.25">
      <c r="A353" s="536" t="str">
        <f t="shared" si="20"/>
        <v/>
      </c>
      <c r="B353" s="537">
        <f>LARGE($B$15:$B$264,83)</f>
        <v>0</v>
      </c>
      <c r="C353" s="538" t="str">
        <f t="shared" si="21"/>
        <v/>
      </c>
      <c r="D353" s="1117" t="str">
        <f t="shared" si="22"/>
        <v/>
      </c>
      <c r="E353" s="1117"/>
      <c r="F353" s="1117"/>
      <c r="G353" s="538" t="str">
        <f t="shared" si="23"/>
        <v/>
      </c>
      <c r="H353" s="538" t="str">
        <f t="shared" si="24"/>
        <v/>
      </c>
      <c r="I353" s="1118" t="str">
        <f t="shared" si="25"/>
        <v/>
      </c>
      <c r="J353" s="1118"/>
      <c r="K353" s="539" t="str">
        <f t="shared" si="26"/>
        <v/>
      </c>
      <c r="L353" s="536" t="str">
        <f t="shared" si="27"/>
        <v/>
      </c>
      <c r="M353" s="540" t="str">
        <f t="shared" si="28"/>
        <v/>
      </c>
      <c r="N353" s="540" t="str">
        <f t="shared" si="31"/>
        <v/>
      </c>
      <c r="O353" s="538" t="str">
        <f t="shared" si="29"/>
        <v/>
      </c>
      <c r="P353" s="540" t="str">
        <f t="shared" si="30"/>
        <v/>
      </c>
    </row>
    <row r="354" spans="1:16" s="483" customFormat="1" ht="18" hidden="1" customHeight="1" x14ac:dyDescent="0.25">
      <c r="A354" s="536" t="str">
        <f t="shared" si="20"/>
        <v/>
      </c>
      <c r="B354" s="537">
        <f>LARGE($B$15:$B$264,84)</f>
        <v>0</v>
      </c>
      <c r="C354" s="538" t="str">
        <f t="shared" si="21"/>
        <v/>
      </c>
      <c r="D354" s="1117" t="str">
        <f t="shared" si="22"/>
        <v/>
      </c>
      <c r="E354" s="1117"/>
      <c r="F354" s="1117"/>
      <c r="G354" s="538" t="str">
        <f t="shared" si="23"/>
        <v/>
      </c>
      <c r="H354" s="538" t="str">
        <f t="shared" si="24"/>
        <v/>
      </c>
      <c r="I354" s="1118" t="str">
        <f t="shared" si="25"/>
        <v/>
      </c>
      <c r="J354" s="1118"/>
      <c r="K354" s="539" t="str">
        <f t="shared" si="26"/>
        <v/>
      </c>
      <c r="L354" s="536" t="str">
        <f t="shared" si="27"/>
        <v/>
      </c>
      <c r="M354" s="540" t="str">
        <f t="shared" si="28"/>
        <v/>
      </c>
      <c r="N354" s="540" t="str">
        <f t="shared" si="31"/>
        <v/>
      </c>
      <c r="O354" s="538" t="str">
        <f t="shared" si="29"/>
        <v/>
      </c>
      <c r="P354" s="540" t="str">
        <f t="shared" si="30"/>
        <v/>
      </c>
    </row>
    <row r="355" spans="1:16" s="483" customFormat="1" ht="18" hidden="1" customHeight="1" x14ac:dyDescent="0.25">
      <c r="A355" s="536" t="str">
        <f t="shared" si="20"/>
        <v/>
      </c>
      <c r="B355" s="537">
        <f>LARGE($B$15:$B$264,85)</f>
        <v>0</v>
      </c>
      <c r="C355" s="538" t="str">
        <f t="shared" si="21"/>
        <v/>
      </c>
      <c r="D355" s="1117" t="str">
        <f t="shared" si="22"/>
        <v/>
      </c>
      <c r="E355" s="1117"/>
      <c r="F355" s="1117"/>
      <c r="G355" s="538" t="str">
        <f t="shared" si="23"/>
        <v/>
      </c>
      <c r="H355" s="538" t="str">
        <f t="shared" si="24"/>
        <v/>
      </c>
      <c r="I355" s="1118" t="str">
        <f t="shared" si="25"/>
        <v/>
      </c>
      <c r="J355" s="1118"/>
      <c r="K355" s="539" t="str">
        <f t="shared" si="26"/>
        <v/>
      </c>
      <c r="L355" s="536" t="str">
        <f t="shared" si="27"/>
        <v/>
      </c>
      <c r="M355" s="540" t="str">
        <f t="shared" si="28"/>
        <v/>
      </c>
      <c r="N355" s="540" t="str">
        <f t="shared" si="31"/>
        <v/>
      </c>
      <c r="O355" s="538" t="str">
        <f t="shared" si="29"/>
        <v/>
      </c>
      <c r="P355" s="540" t="str">
        <f t="shared" si="30"/>
        <v/>
      </c>
    </row>
    <row r="356" spans="1:16" s="483" customFormat="1" ht="18" hidden="1" customHeight="1" x14ac:dyDescent="0.25">
      <c r="A356" s="536" t="str">
        <f t="shared" si="20"/>
        <v/>
      </c>
      <c r="B356" s="537">
        <f>LARGE($B$15:$B$264,86)</f>
        <v>0</v>
      </c>
      <c r="C356" s="538" t="str">
        <f t="shared" si="21"/>
        <v/>
      </c>
      <c r="D356" s="1117" t="str">
        <f t="shared" si="22"/>
        <v/>
      </c>
      <c r="E356" s="1117"/>
      <c r="F356" s="1117"/>
      <c r="G356" s="538" t="str">
        <f t="shared" si="23"/>
        <v/>
      </c>
      <c r="H356" s="538" t="str">
        <f t="shared" si="24"/>
        <v/>
      </c>
      <c r="I356" s="1118" t="str">
        <f t="shared" si="25"/>
        <v/>
      </c>
      <c r="J356" s="1118"/>
      <c r="K356" s="539" t="str">
        <f t="shared" si="26"/>
        <v/>
      </c>
      <c r="L356" s="536" t="str">
        <f t="shared" si="27"/>
        <v/>
      </c>
      <c r="M356" s="540" t="str">
        <f t="shared" si="28"/>
        <v/>
      </c>
      <c r="N356" s="540" t="str">
        <f t="shared" si="31"/>
        <v/>
      </c>
      <c r="O356" s="538" t="str">
        <f t="shared" si="29"/>
        <v/>
      </c>
      <c r="P356" s="540" t="str">
        <f t="shared" si="30"/>
        <v/>
      </c>
    </row>
    <row r="357" spans="1:16" s="483" customFormat="1" ht="18" hidden="1" customHeight="1" x14ac:dyDescent="0.25">
      <c r="A357" s="536" t="str">
        <f t="shared" si="20"/>
        <v/>
      </c>
      <c r="B357" s="537">
        <f>LARGE($B$15:$B$264,87)</f>
        <v>0</v>
      </c>
      <c r="C357" s="538" t="str">
        <f t="shared" si="21"/>
        <v/>
      </c>
      <c r="D357" s="1117" t="str">
        <f t="shared" si="22"/>
        <v/>
      </c>
      <c r="E357" s="1117"/>
      <c r="F357" s="1117"/>
      <c r="G357" s="538" t="str">
        <f t="shared" si="23"/>
        <v/>
      </c>
      <c r="H357" s="538" t="str">
        <f t="shared" si="24"/>
        <v/>
      </c>
      <c r="I357" s="1118" t="str">
        <f t="shared" si="25"/>
        <v/>
      </c>
      <c r="J357" s="1118"/>
      <c r="K357" s="539" t="str">
        <f t="shared" si="26"/>
        <v/>
      </c>
      <c r="L357" s="536" t="str">
        <f t="shared" si="27"/>
        <v/>
      </c>
      <c r="M357" s="540" t="str">
        <f t="shared" si="28"/>
        <v/>
      </c>
      <c r="N357" s="540" t="str">
        <f t="shared" si="31"/>
        <v/>
      </c>
      <c r="O357" s="538" t="str">
        <f t="shared" si="29"/>
        <v/>
      </c>
      <c r="P357" s="540" t="str">
        <f t="shared" si="30"/>
        <v/>
      </c>
    </row>
    <row r="358" spans="1:16" s="483" customFormat="1" ht="18" hidden="1" customHeight="1" x14ac:dyDescent="0.25">
      <c r="A358" s="536" t="str">
        <f t="shared" si="20"/>
        <v/>
      </c>
      <c r="B358" s="537">
        <f>LARGE($B$15:$B$264,88)</f>
        <v>0</v>
      </c>
      <c r="C358" s="538" t="str">
        <f t="shared" si="21"/>
        <v/>
      </c>
      <c r="D358" s="1117" t="str">
        <f t="shared" si="22"/>
        <v/>
      </c>
      <c r="E358" s="1117"/>
      <c r="F358" s="1117"/>
      <c r="G358" s="538" t="str">
        <f t="shared" si="23"/>
        <v/>
      </c>
      <c r="H358" s="538" t="str">
        <f t="shared" si="24"/>
        <v/>
      </c>
      <c r="I358" s="1118" t="str">
        <f t="shared" si="25"/>
        <v/>
      </c>
      <c r="J358" s="1118"/>
      <c r="K358" s="539" t="str">
        <f t="shared" si="26"/>
        <v/>
      </c>
      <c r="L358" s="536" t="str">
        <f t="shared" si="27"/>
        <v/>
      </c>
      <c r="M358" s="540" t="str">
        <f t="shared" si="28"/>
        <v/>
      </c>
      <c r="N358" s="540" t="str">
        <f t="shared" si="31"/>
        <v/>
      </c>
      <c r="O358" s="538" t="str">
        <f t="shared" si="29"/>
        <v/>
      </c>
      <c r="P358" s="540" t="str">
        <f t="shared" si="30"/>
        <v/>
      </c>
    </row>
    <row r="359" spans="1:16" s="483" customFormat="1" ht="18" hidden="1" customHeight="1" x14ac:dyDescent="0.25">
      <c r="A359" s="536" t="str">
        <f t="shared" si="20"/>
        <v/>
      </c>
      <c r="B359" s="537">
        <f>LARGE($B$15:$B$264,89)</f>
        <v>0</v>
      </c>
      <c r="C359" s="538" t="str">
        <f t="shared" si="21"/>
        <v/>
      </c>
      <c r="D359" s="1117" t="str">
        <f t="shared" si="22"/>
        <v/>
      </c>
      <c r="E359" s="1117"/>
      <c r="F359" s="1117"/>
      <c r="G359" s="538" t="str">
        <f t="shared" si="23"/>
        <v/>
      </c>
      <c r="H359" s="538" t="str">
        <f t="shared" si="24"/>
        <v/>
      </c>
      <c r="I359" s="1118" t="str">
        <f t="shared" si="25"/>
        <v/>
      </c>
      <c r="J359" s="1118"/>
      <c r="K359" s="539" t="str">
        <f t="shared" si="26"/>
        <v/>
      </c>
      <c r="L359" s="536" t="str">
        <f t="shared" si="27"/>
        <v/>
      </c>
      <c r="M359" s="540" t="str">
        <f t="shared" si="28"/>
        <v/>
      </c>
      <c r="N359" s="540" t="str">
        <f t="shared" si="31"/>
        <v/>
      </c>
      <c r="O359" s="538" t="str">
        <f t="shared" si="29"/>
        <v/>
      </c>
      <c r="P359" s="540" t="str">
        <f t="shared" si="30"/>
        <v/>
      </c>
    </row>
    <row r="360" spans="1:16" s="483" customFormat="1" ht="18" hidden="1" customHeight="1" x14ac:dyDescent="0.25">
      <c r="A360" s="536" t="str">
        <f t="shared" si="20"/>
        <v/>
      </c>
      <c r="B360" s="537">
        <f>LARGE($B$15:$B$264,90)</f>
        <v>0</v>
      </c>
      <c r="C360" s="538" t="str">
        <f t="shared" si="21"/>
        <v/>
      </c>
      <c r="D360" s="1117" t="str">
        <f t="shared" si="22"/>
        <v/>
      </c>
      <c r="E360" s="1117"/>
      <c r="F360" s="1117"/>
      <c r="G360" s="538" t="str">
        <f t="shared" si="23"/>
        <v/>
      </c>
      <c r="H360" s="538" t="str">
        <f t="shared" si="24"/>
        <v/>
      </c>
      <c r="I360" s="1118" t="str">
        <f t="shared" si="25"/>
        <v/>
      </c>
      <c r="J360" s="1118"/>
      <c r="K360" s="539" t="str">
        <f t="shared" si="26"/>
        <v/>
      </c>
      <c r="L360" s="536" t="str">
        <f t="shared" si="27"/>
        <v/>
      </c>
      <c r="M360" s="540" t="str">
        <f t="shared" si="28"/>
        <v/>
      </c>
      <c r="N360" s="540" t="str">
        <f t="shared" si="31"/>
        <v/>
      </c>
      <c r="O360" s="538" t="str">
        <f t="shared" si="29"/>
        <v/>
      </c>
      <c r="P360" s="540" t="str">
        <f t="shared" si="30"/>
        <v/>
      </c>
    </row>
    <row r="361" spans="1:16" s="483" customFormat="1" ht="18" hidden="1" customHeight="1" x14ac:dyDescent="0.25">
      <c r="A361" s="536" t="str">
        <f t="shared" si="20"/>
        <v/>
      </c>
      <c r="B361" s="537">
        <f>LARGE($B$15:$B$264,91)</f>
        <v>0</v>
      </c>
      <c r="C361" s="538" t="str">
        <f t="shared" si="21"/>
        <v/>
      </c>
      <c r="D361" s="1117" t="str">
        <f t="shared" si="22"/>
        <v/>
      </c>
      <c r="E361" s="1117"/>
      <c r="F361" s="1117"/>
      <c r="G361" s="538" t="str">
        <f t="shared" si="23"/>
        <v/>
      </c>
      <c r="H361" s="538" t="str">
        <f t="shared" si="24"/>
        <v/>
      </c>
      <c r="I361" s="1118" t="str">
        <f t="shared" si="25"/>
        <v/>
      </c>
      <c r="J361" s="1118"/>
      <c r="K361" s="539" t="str">
        <f t="shared" si="26"/>
        <v/>
      </c>
      <c r="L361" s="536" t="str">
        <f t="shared" si="27"/>
        <v/>
      </c>
      <c r="M361" s="540" t="str">
        <f t="shared" si="28"/>
        <v/>
      </c>
      <c r="N361" s="540" t="str">
        <f t="shared" si="31"/>
        <v/>
      </c>
      <c r="O361" s="538" t="str">
        <f t="shared" si="29"/>
        <v/>
      </c>
      <c r="P361" s="540" t="str">
        <f t="shared" si="30"/>
        <v/>
      </c>
    </row>
    <row r="362" spans="1:16" s="483" customFormat="1" ht="18" hidden="1" customHeight="1" x14ac:dyDescent="0.25">
      <c r="A362" s="536" t="str">
        <f t="shared" si="20"/>
        <v/>
      </c>
      <c r="B362" s="537">
        <f>LARGE($B$15:$B$264,92)</f>
        <v>0</v>
      </c>
      <c r="C362" s="538" t="str">
        <f t="shared" si="21"/>
        <v/>
      </c>
      <c r="D362" s="1117" t="str">
        <f t="shared" si="22"/>
        <v/>
      </c>
      <c r="E362" s="1117"/>
      <c r="F362" s="1117"/>
      <c r="G362" s="538" t="str">
        <f t="shared" si="23"/>
        <v/>
      </c>
      <c r="H362" s="538" t="str">
        <f t="shared" si="24"/>
        <v/>
      </c>
      <c r="I362" s="1118" t="str">
        <f t="shared" si="25"/>
        <v/>
      </c>
      <c r="J362" s="1118"/>
      <c r="K362" s="539" t="str">
        <f t="shared" si="26"/>
        <v/>
      </c>
      <c r="L362" s="536" t="str">
        <f t="shared" si="27"/>
        <v/>
      </c>
      <c r="M362" s="540" t="str">
        <f t="shared" si="28"/>
        <v/>
      </c>
      <c r="N362" s="540" t="str">
        <f t="shared" si="31"/>
        <v/>
      </c>
      <c r="O362" s="538" t="str">
        <f t="shared" si="29"/>
        <v/>
      </c>
      <c r="P362" s="540" t="str">
        <f t="shared" si="30"/>
        <v/>
      </c>
    </row>
    <row r="363" spans="1:16" s="483" customFormat="1" ht="18" hidden="1" customHeight="1" x14ac:dyDescent="0.25">
      <c r="A363" s="536" t="str">
        <f t="shared" si="20"/>
        <v/>
      </c>
      <c r="B363" s="537">
        <f>LARGE($B$15:$B$264,93)</f>
        <v>0</v>
      </c>
      <c r="C363" s="538" t="str">
        <f t="shared" si="21"/>
        <v/>
      </c>
      <c r="D363" s="1117" t="str">
        <f t="shared" si="22"/>
        <v/>
      </c>
      <c r="E363" s="1117"/>
      <c r="F363" s="1117"/>
      <c r="G363" s="538" t="str">
        <f t="shared" si="23"/>
        <v/>
      </c>
      <c r="H363" s="538" t="str">
        <f t="shared" si="24"/>
        <v/>
      </c>
      <c r="I363" s="1118" t="str">
        <f t="shared" si="25"/>
        <v/>
      </c>
      <c r="J363" s="1118"/>
      <c r="K363" s="539" t="str">
        <f t="shared" si="26"/>
        <v/>
      </c>
      <c r="L363" s="536" t="str">
        <f t="shared" si="27"/>
        <v/>
      </c>
      <c r="M363" s="540" t="str">
        <f t="shared" si="28"/>
        <v/>
      </c>
      <c r="N363" s="540" t="str">
        <f t="shared" si="31"/>
        <v/>
      </c>
      <c r="O363" s="538" t="str">
        <f t="shared" si="29"/>
        <v/>
      </c>
      <c r="P363" s="540" t="str">
        <f t="shared" si="30"/>
        <v/>
      </c>
    </row>
    <row r="364" spans="1:16" s="483" customFormat="1" ht="18" hidden="1" customHeight="1" x14ac:dyDescent="0.25">
      <c r="A364" s="536" t="str">
        <f t="shared" si="20"/>
        <v/>
      </c>
      <c r="B364" s="537">
        <f>LARGE($B$15:$B$264,94)</f>
        <v>0</v>
      </c>
      <c r="C364" s="538" t="str">
        <f t="shared" si="21"/>
        <v/>
      </c>
      <c r="D364" s="1117" t="str">
        <f t="shared" si="22"/>
        <v/>
      </c>
      <c r="E364" s="1117"/>
      <c r="F364" s="1117"/>
      <c r="G364" s="538" t="str">
        <f t="shared" si="23"/>
        <v/>
      </c>
      <c r="H364" s="538" t="str">
        <f t="shared" si="24"/>
        <v/>
      </c>
      <c r="I364" s="1118" t="str">
        <f t="shared" si="25"/>
        <v/>
      </c>
      <c r="J364" s="1118"/>
      <c r="K364" s="539" t="str">
        <f t="shared" si="26"/>
        <v/>
      </c>
      <c r="L364" s="536" t="str">
        <f t="shared" si="27"/>
        <v/>
      </c>
      <c r="M364" s="540" t="str">
        <f t="shared" si="28"/>
        <v/>
      </c>
      <c r="N364" s="540" t="str">
        <f t="shared" si="31"/>
        <v/>
      </c>
      <c r="O364" s="538" t="str">
        <f t="shared" si="29"/>
        <v/>
      </c>
      <c r="P364" s="540" t="str">
        <f t="shared" si="30"/>
        <v/>
      </c>
    </row>
    <row r="365" spans="1:16" s="483" customFormat="1" ht="18" hidden="1" customHeight="1" x14ac:dyDescent="0.25">
      <c r="A365" s="536" t="str">
        <f t="shared" si="20"/>
        <v/>
      </c>
      <c r="B365" s="537">
        <f>LARGE($B$15:$B$264,95)</f>
        <v>0</v>
      </c>
      <c r="C365" s="538" t="str">
        <f t="shared" si="21"/>
        <v/>
      </c>
      <c r="D365" s="1117" t="str">
        <f t="shared" si="22"/>
        <v/>
      </c>
      <c r="E365" s="1117"/>
      <c r="F365" s="1117"/>
      <c r="G365" s="538" t="str">
        <f t="shared" si="23"/>
        <v/>
      </c>
      <c r="H365" s="538" t="str">
        <f t="shared" si="24"/>
        <v/>
      </c>
      <c r="I365" s="1118" t="str">
        <f t="shared" si="25"/>
        <v/>
      </c>
      <c r="J365" s="1118"/>
      <c r="K365" s="539" t="str">
        <f t="shared" si="26"/>
        <v/>
      </c>
      <c r="L365" s="536" t="str">
        <f t="shared" si="27"/>
        <v/>
      </c>
      <c r="M365" s="540" t="str">
        <f t="shared" si="28"/>
        <v/>
      </c>
      <c r="N365" s="540" t="str">
        <f t="shared" si="31"/>
        <v/>
      </c>
      <c r="O365" s="538" t="str">
        <f t="shared" si="29"/>
        <v/>
      </c>
      <c r="P365" s="540" t="str">
        <f t="shared" si="30"/>
        <v/>
      </c>
    </row>
    <row r="366" spans="1:16" s="483" customFormat="1" ht="18" hidden="1" customHeight="1" x14ac:dyDescent="0.25">
      <c r="A366" s="536" t="str">
        <f t="shared" si="20"/>
        <v/>
      </c>
      <c r="B366" s="537">
        <f>LARGE($B$15:$B$264,96)</f>
        <v>0</v>
      </c>
      <c r="C366" s="538" t="str">
        <f t="shared" si="21"/>
        <v/>
      </c>
      <c r="D366" s="1117" t="str">
        <f t="shared" si="22"/>
        <v/>
      </c>
      <c r="E366" s="1117"/>
      <c r="F366" s="1117"/>
      <c r="G366" s="538" t="str">
        <f t="shared" si="23"/>
        <v/>
      </c>
      <c r="H366" s="538" t="str">
        <f t="shared" si="24"/>
        <v/>
      </c>
      <c r="I366" s="1118" t="str">
        <f t="shared" si="25"/>
        <v/>
      </c>
      <c r="J366" s="1118"/>
      <c r="K366" s="539" t="str">
        <f t="shared" si="26"/>
        <v/>
      </c>
      <c r="L366" s="536" t="str">
        <f t="shared" si="27"/>
        <v/>
      </c>
      <c r="M366" s="540" t="str">
        <f t="shared" si="28"/>
        <v/>
      </c>
      <c r="N366" s="540" t="str">
        <f t="shared" si="31"/>
        <v/>
      </c>
      <c r="O366" s="538" t="str">
        <f t="shared" si="29"/>
        <v/>
      </c>
      <c r="P366" s="540" t="str">
        <f t="shared" si="30"/>
        <v/>
      </c>
    </row>
    <row r="367" spans="1:16" s="483" customFormat="1" ht="18" hidden="1" customHeight="1" x14ac:dyDescent="0.25">
      <c r="A367" s="536" t="str">
        <f t="shared" si="20"/>
        <v/>
      </c>
      <c r="B367" s="537">
        <f>LARGE($B$15:$B$264,97)</f>
        <v>0</v>
      </c>
      <c r="C367" s="538" t="str">
        <f t="shared" si="21"/>
        <v/>
      </c>
      <c r="D367" s="1117" t="str">
        <f t="shared" si="22"/>
        <v/>
      </c>
      <c r="E367" s="1117"/>
      <c r="F367" s="1117"/>
      <c r="G367" s="538" t="str">
        <f t="shared" si="23"/>
        <v/>
      </c>
      <c r="H367" s="538" t="str">
        <f t="shared" si="24"/>
        <v/>
      </c>
      <c r="I367" s="1118" t="str">
        <f t="shared" si="25"/>
        <v/>
      </c>
      <c r="J367" s="1118"/>
      <c r="K367" s="539" t="str">
        <f t="shared" si="26"/>
        <v/>
      </c>
      <c r="L367" s="536" t="str">
        <f t="shared" si="27"/>
        <v/>
      </c>
      <c r="M367" s="540" t="str">
        <f t="shared" si="28"/>
        <v/>
      </c>
      <c r="N367" s="540" t="str">
        <f t="shared" si="31"/>
        <v/>
      </c>
      <c r="O367" s="538" t="str">
        <f t="shared" si="29"/>
        <v/>
      </c>
      <c r="P367" s="540" t="str">
        <f t="shared" si="30"/>
        <v/>
      </c>
    </row>
    <row r="368" spans="1:16" s="483" customFormat="1" ht="18" hidden="1" customHeight="1" x14ac:dyDescent="0.25">
      <c r="A368" s="536" t="str">
        <f t="shared" si="20"/>
        <v/>
      </c>
      <c r="B368" s="537">
        <f>LARGE($B$15:$B$264,98)</f>
        <v>0</v>
      </c>
      <c r="C368" s="538" t="str">
        <f t="shared" si="21"/>
        <v/>
      </c>
      <c r="D368" s="1117" t="str">
        <f t="shared" si="22"/>
        <v/>
      </c>
      <c r="E368" s="1117"/>
      <c r="F368" s="1117"/>
      <c r="G368" s="538" t="str">
        <f t="shared" si="23"/>
        <v/>
      </c>
      <c r="H368" s="538" t="str">
        <f t="shared" si="24"/>
        <v/>
      </c>
      <c r="I368" s="1118" t="str">
        <f t="shared" si="25"/>
        <v/>
      </c>
      <c r="J368" s="1118"/>
      <c r="K368" s="539" t="str">
        <f t="shared" si="26"/>
        <v/>
      </c>
      <c r="L368" s="536" t="str">
        <f t="shared" si="27"/>
        <v/>
      </c>
      <c r="M368" s="540" t="str">
        <f t="shared" si="28"/>
        <v/>
      </c>
      <c r="N368" s="540" t="str">
        <f t="shared" si="31"/>
        <v/>
      </c>
      <c r="O368" s="538" t="str">
        <f t="shared" si="29"/>
        <v/>
      </c>
      <c r="P368" s="540" t="str">
        <f t="shared" si="30"/>
        <v/>
      </c>
    </row>
    <row r="369" spans="1:16" s="483" customFormat="1" ht="18" hidden="1" customHeight="1" x14ac:dyDescent="0.25">
      <c r="A369" s="536" t="str">
        <f t="shared" si="20"/>
        <v/>
      </c>
      <c r="B369" s="537">
        <f>LARGE($B$15:$B$264,99)</f>
        <v>0</v>
      </c>
      <c r="C369" s="538" t="str">
        <f t="shared" si="21"/>
        <v/>
      </c>
      <c r="D369" s="1117" t="str">
        <f t="shared" si="22"/>
        <v/>
      </c>
      <c r="E369" s="1117"/>
      <c r="F369" s="1117"/>
      <c r="G369" s="538" t="str">
        <f t="shared" si="23"/>
        <v/>
      </c>
      <c r="H369" s="538" t="str">
        <f t="shared" si="24"/>
        <v/>
      </c>
      <c r="I369" s="1118" t="str">
        <f t="shared" si="25"/>
        <v/>
      </c>
      <c r="J369" s="1118"/>
      <c r="K369" s="539" t="str">
        <f t="shared" si="26"/>
        <v/>
      </c>
      <c r="L369" s="536" t="str">
        <f t="shared" si="27"/>
        <v/>
      </c>
      <c r="M369" s="540" t="str">
        <f t="shared" si="28"/>
        <v/>
      </c>
      <c r="N369" s="540" t="str">
        <f t="shared" si="31"/>
        <v/>
      </c>
      <c r="O369" s="538" t="str">
        <f t="shared" si="29"/>
        <v/>
      </c>
      <c r="P369" s="540" t="str">
        <f t="shared" si="30"/>
        <v/>
      </c>
    </row>
    <row r="370" spans="1:16" s="483" customFormat="1" ht="18" hidden="1" customHeight="1" x14ac:dyDescent="0.25">
      <c r="A370" s="536" t="str">
        <f t="shared" si="20"/>
        <v/>
      </c>
      <c r="B370" s="537">
        <f>LARGE($B$15:$B$264,100)</f>
        <v>0</v>
      </c>
      <c r="C370" s="538" t="str">
        <f t="shared" si="21"/>
        <v/>
      </c>
      <c r="D370" s="1117" t="str">
        <f t="shared" si="22"/>
        <v/>
      </c>
      <c r="E370" s="1117"/>
      <c r="F370" s="1117"/>
      <c r="G370" s="538" t="str">
        <f t="shared" si="23"/>
        <v/>
      </c>
      <c r="H370" s="538" t="str">
        <f t="shared" si="24"/>
        <v/>
      </c>
      <c r="I370" s="1118" t="str">
        <f t="shared" si="25"/>
        <v/>
      </c>
      <c r="J370" s="1118"/>
      <c r="K370" s="539" t="str">
        <f t="shared" si="26"/>
        <v/>
      </c>
      <c r="L370" s="536" t="str">
        <f t="shared" si="27"/>
        <v/>
      </c>
      <c r="M370" s="540" t="str">
        <f t="shared" si="28"/>
        <v/>
      </c>
      <c r="N370" s="540" t="str">
        <f t="shared" si="31"/>
        <v/>
      </c>
      <c r="O370" s="538" t="str">
        <f t="shared" si="29"/>
        <v/>
      </c>
      <c r="P370" s="540" t="str">
        <f t="shared" si="30"/>
        <v/>
      </c>
    </row>
    <row r="371" spans="1:16" s="483" customFormat="1" ht="18" hidden="1" customHeight="1" x14ac:dyDescent="0.25">
      <c r="A371" s="536" t="str">
        <f t="shared" si="20"/>
        <v/>
      </c>
      <c r="B371" s="537">
        <f>LARGE($B$15:$B$264,101)</f>
        <v>0</v>
      </c>
      <c r="C371" s="538" t="str">
        <f t="shared" si="21"/>
        <v/>
      </c>
      <c r="D371" s="1117" t="str">
        <f t="shared" si="22"/>
        <v/>
      </c>
      <c r="E371" s="1117"/>
      <c r="F371" s="1117"/>
      <c r="G371" s="538" t="str">
        <f t="shared" si="23"/>
        <v/>
      </c>
      <c r="H371" s="538" t="str">
        <f t="shared" si="24"/>
        <v/>
      </c>
      <c r="I371" s="1118" t="str">
        <f t="shared" si="25"/>
        <v/>
      </c>
      <c r="J371" s="1118"/>
      <c r="K371" s="539" t="str">
        <f t="shared" si="26"/>
        <v/>
      </c>
      <c r="L371" s="536" t="str">
        <f t="shared" si="27"/>
        <v/>
      </c>
      <c r="M371" s="540" t="str">
        <f t="shared" si="28"/>
        <v/>
      </c>
      <c r="N371" s="540" t="str">
        <f t="shared" si="31"/>
        <v/>
      </c>
      <c r="O371" s="538" t="str">
        <f t="shared" si="29"/>
        <v/>
      </c>
      <c r="P371" s="540" t="str">
        <f t="shared" si="30"/>
        <v/>
      </c>
    </row>
    <row r="372" spans="1:16" s="483" customFormat="1" ht="18" hidden="1" customHeight="1" x14ac:dyDescent="0.25">
      <c r="A372" s="536" t="str">
        <f t="shared" si="20"/>
        <v/>
      </c>
      <c r="B372" s="537">
        <f>LARGE($B$15:$B$264,102)</f>
        <v>0</v>
      </c>
      <c r="C372" s="538" t="str">
        <f t="shared" si="21"/>
        <v/>
      </c>
      <c r="D372" s="1117" t="str">
        <f t="shared" si="22"/>
        <v/>
      </c>
      <c r="E372" s="1117"/>
      <c r="F372" s="1117"/>
      <c r="G372" s="538" t="str">
        <f t="shared" si="23"/>
        <v/>
      </c>
      <c r="H372" s="538" t="str">
        <f t="shared" si="24"/>
        <v/>
      </c>
      <c r="I372" s="1118" t="str">
        <f t="shared" si="25"/>
        <v/>
      </c>
      <c r="J372" s="1118"/>
      <c r="K372" s="539" t="str">
        <f t="shared" si="26"/>
        <v/>
      </c>
      <c r="L372" s="536" t="str">
        <f t="shared" si="27"/>
        <v/>
      </c>
      <c r="M372" s="540" t="str">
        <f t="shared" si="28"/>
        <v/>
      </c>
      <c r="N372" s="540" t="str">
        <f t="shared" si="31"/>
        <v/>
      </c>
      <c r="O372" s="538" t="str">
        <f t="shared" si="29"/>
        <v/>
      </c>
      <c r="P372" s="540" t="str">
        <f t="shared" si="30"/>
        <v/>
      </c>
    </row>
    <row r="373" spans="1:16" s="483" customFormat="1" ht="18" hidden="1" customHeight="1" x14ac:dyDescent="0.25">
      <c r="A373" s="536" t="str">
        <f t="shared" si="20"/>
        <v/>
      </c>
      <c r="B373" s="537">
        <f>LARGE($B$15:$B$264,103)</f>
        <v>0</v>
      </c>
      <c r="C373" s="538" t="str">
        <f t="shared" si="21"/>
        <v/>
      </c>
      <c r="D373" s="1117" t="str">
        <f t="shared" si="22"/>
        <v/>
      </c>
      <c r="E373" s="1117"/>
      <c r="F373" s="1117"/>
      <c r="G373" s="538" t="str">
        <f t="shared" si="23"/>
        <v/>
      </c>
      <c r="H373" s="538" t="str">
        <f t="shared" si="24"/>
        <v/>
      </c>
      <c r="I373" s="1118" t="str">
        <f t="shared" si="25"/>
        <v/>
      </c>
      <c r="J373" s="1118"/>
      <c r="K373" s="539" t="str">
        <f t="shared" si="26"/>
        <v/>
      </c>
      <c r="L373" s="536" t="str">
        <f t="shared" si="27"/>
        <v/>
      </c>
      <c r="M373" s="540" t="str">
        <f t="shared" si="28"/>
        <v/>
      </c>
      <c r="N373" s="540" t="str">
        <f t="shared" si="31"/>
        <v/>
      </c>
      <c r="O373" s="538" t="str">
        <f t="shared" si="29"/>
        <v/>
      </c>
      <c r="P373" s="540" t="str">
        <f t="shared" si="30"/>
        <v/>
      </c>
    </row>
    <row r="374" spans="1:16" s="483" customFormat="1" ht="18" hidden="1" customHeight="1" x14ac:dyDescent="0.25">
      <c r="A374" s="536" t="str">
        <f t="shared" si="20"/>
        <v/>
      </c>
      <c r="B374" s="537">
        <f>LARGE($B$15:$B$264,104)</f>
        <v>0</v>
      </c>
      <c r="C374" s="538" t="str">
        <f t="shared" si="21"/>
        <v/>
      </c>
      <c r="D374" s="1117" t="str">
        <f t="shared" si="22"/>
        <v/>
      </c>
      <c r="E374" s="1117"/>
      <c r="F374" s="1117"/>
      <c r="G374" s="538" t="str">
        <f t="shared" si="23"/>
        <v/>
      </c>
      <c r="H374" s="538" t="str">
        <f t="shared" si="24"/>
        <v/>
      </c>
      <c r="I374" s="1118" t="str">
        <f t="shared" si="25"/>
        <v/>
      </c>
      <c r="J374" s="1118"/>
      <c r="K374" s="539" t="str">
        <f t="shared" si="26"/>
        <v/>
      </c>
      <c r="L374" s="536" t="str">
        <f t="shared" si="27"/>
        <v/>
      </c>
      <c r="M374" s="540" t="str">
        <f t="shared" si="28"/>
        <v/>
      </c>
      <c r="N374" s="540" t="str">
        <f t="shared" si="31"/>
        <v/>
      </c>
      <c r="O374" s="538" t="str">
        <f t="shared" si="29"/>
        <v/>
      </c>
      <c r="P374" s="540" t="str">
        <f t="shared" si="30"/>
        <v/>
      </c>
    </row>
    <row r="375" spans="1:16" s="483" customFormat="1" ht="18" hidden="1" customHeight="1" x14ac:dyDescent="0.25">
      <c r="A375" s="536" t="str">
        <f t="shared" si="20"/>
        <v/>
      </c>
      <c r="B375" s="537">
        <f>LARGE($B$15:$B$264,105)</f>
        <v>0</v>
      </c>
      <c r="C375" s="538" t="str">
        <f t="shared" si="21"/>
        <v/>
      </c>
      <c r="D375" s="1117" t="str">
        <f t="shared" si="22"/>
        <v/>
      </c>
      <c r="E375" s="1117"/>
      <c r="F375" s="1117"/>
      <c r="G375" s="538" t="str">
        <f t="shared" si="23"/>
        <v/>
      </c>
      <c r="H375" s="538" t="str">
        <f t="shared" si="24"/>
        <v/>
      </c>
      <c r="I375" s="1118" t="str">
        <f t="shared" si="25"/>
        <v/>
      </c>
      <c r="J375" s="1118"/>
      <c r="K375" s="539" t="str">
        <f t="shared" si="26"/>
        <v/>
      </c>
      <c r="L375" s="536" t="str">
        <f t="shared" si="27"/>
        <v/>
      </c>
      <c r="M375" s="540" t="str">
        <f t="shared" si="28"/>
        <v/>
      </c>
      <c r="N375" s="540" t="str">
        <f t="shared" si="31"/>
        <v/>
      </c>
      <c r="O375" s="538" t="str">
        <f t="shared" si="29"/>
        <v/>
      </c>
      <c r="P375" s="540" t="str">
        <f t="shared" si="30"/>
        <v/>
      </c>
    </row>
    <row r="376" spans="1:16" s="483" customFormat="1" ht="18" hidden="1" customHeight="1" x14ac:dyDescent="0.25">
      <c r="A376" s="536" t="str">
        <f t="shared" si="20"/>
        <v/>
      </c>
      <c r="B376" s="537">
        <f>LARGE($B$15:$B$264,106)</f>
        <v>0</v>
      </c>
      <c r="C376" s="538" t="str">
        <f t="shared" si="21"/>
        <v/>
      </c>
      <c r="D376" s="1117" t="str">
        <f t="shared" si="22"/>
        <v/>
      </c>
      <c r="E376" s="1117"/>
      <c r="F376" s="1117"/>
      <c r="G376" s="538" t="str">
        <f t="shared" si="23"/>
        <v/>
      </c>
      <c r="H376" s="538" t="str">
        <f t="shared" si="24"/>
        <v/>
      </c>
      <c r="I376" s="1118" t="str">
        <f t="shared" si="25"/>
        <v/>
      </c>
      <c r="J376" s="1118"/>
      <c r="K376" s="539" t="str">
        <f t="shared" si="26"/>
        <v/>
      </c>
      <c r="L376" s="536" t="str">
        <f t="shared" si="27"/>
        <v/>
      </c>
      <c r="M376" s="540" t="str">
        <f t="shared" si="28"/>
        <v/>
      </c>
      <c r="N376" s="540" t="str">
        <f t="shared" si="31"/>
        <v/>
      </c>
      <c r="O376" s="538" t="str">
        <f t="shared" si="29"/>
        <v/>
      </c>
      <c r="P376" s="540" t="str">
        <f t="shared" si="30"/>
        <v/>
      </c>
    </row>
    <row r="377" spans="1:16" s="483" customFormat="1" ht="18" hidden="1" customHeight="1" x14ac:dyDescent="0.25">
      <c r="A377" s="536" t="str">
        <f t="shared" si="20"/>
        <v/>
      </c>
      <c r="B377" s="537">
        <f>LARGE($B$15:$B$264,107)</f>
        <v>0</v>
      </c>
      <c r="C377" s="538" t="str">
        <f t="shared" si="21"/>
        <v/>
      </c>
      <c r="D377" s="1117" t="str">
        <f t="shared" si="22"/>
        <v/>
      </c>
      <c r="E377" s="1117"/>
      <c r="F377" s="1117"/>
      <c r="G377" s="538" t="str">
        <f t="shared" si="23"/>
        <v/>
      </c>
      <c r="H377" s="538" t="str">
        <f t="shared" si="24"/>
        <v/>
      </c>
      <c r="I377" s="1118" t="str">
        <f t="shared" si="25"/>
        <v/>
      </c>
      <c r="J377" s="1118"/>
      <c r="K377" s="539" t="str">
        <f t="shared" si="26"/>
        <v/>
      </c>
      <c r="L377" s="536" t="str">
        <f t="shared" si="27"/>
        <v/>
      </c>
      <c r="M377" s="540" t="str">
        <f t="shared" si="28"/>
        <v/>
      </c>
      <c r="N377" s="540" t="str">
        <f t="shared" si="31"/>
        <v/>
      </c>
      <c r="O377" s="538" t="str">
        <f t="shared" si="29"/>
        <v/>
      </c>
      <c r="P377" s="540" t="str">
        <f t="shared" si="30"/>
        <v/>
      </c>
    </row>
    <row r="378" spans="1:16" s="483" customFormat="1" ht="18" hidden="1" customHeight="1" x14ac:dyDescent="0.25">
      <c r="A378" s="536" t="str">
        <f t="shared" si="20"/>
        <v/>
      </c>
      <c r="B378" s="537">
        <f>LARGE($B$15:$B$264,108)</f>
        <v>0</v>
      </c>
      <c r="C378" s="538" t="str">
        <f t="shared" si="21"/>
        <v/>
      </c>
      <c r="D378" s="1117" t="str">
        <f t="shared" si="22"/>
        <v/>
      </c>
      <c r="E378" s="1117"/>
      <c r="F378" s="1117"/>
      <c r="G378" s="538" t="str">
        <f t="shared" si="23"/>
        <v/>
      </c>
      <c r="H378" s="538" t="str">
        <f t="shared" si="24"/>
        <v/>
      </c>
      <c r="I378" s="1118" t="str">
        <f t="shared" si="25"/>
        <v/>
      </c>
      <c r="J378" s="1118"/>
      <c r="K378" s="539" t="str">
        <f t="shared" si="26"/>
        <v/>
      </c>
      <c r="L378" s="536" t="str">
        <f t="shared" si="27"/>
        <v/>
      </c>
      <c r="M378" s="540" t="str">
        <f t="shared" si="28"/>
        <v/>
      </c>
      <c r="N378" s="540" t="str">
        <f t="shared" si="31"/>
        <v/>
      </c>
      <c r="O378" s="538" t="str">
        <f t="shared" si="29"/>
        <v/>
      </c>
      <c r="P378" s="540" t="str">
        <f t="shared" si="30"/>
        <v/>
      </c>
    </row>
    <row r="379" spans="1:16" s="483" customFormat="1" ht="18" hidden="1" customHeight="1" x14ac:dyDescent="0.25">
      <c r="A379" s="536" t="str">
        <f t="shared" si="20"/>
        <v/>
      </c>
      <c r="B379" s="537">
        <f>LARGE($B$15:$B$264,109)</f>
        <v>0</v>
      </c>
      <c r="C379" s="538" t="str">
        <f t="shared" si="21"/>
        <v/>
      </c>
      <c r="D379" s="1117" t="str">
        <f t="shared" si="22"/>
        <v/>
      </c>
      <c r="E379" s="1117"/>
      <c r="F379" s="1117"/>
      <c r="G379" s="538" t="str">
        <f t="shared" si="23"/>
        <v/>
      </c>
      <c r="H379" s="538" t="str">
        <f t="shared" si="24"/>
        <v/>
      </c>
      <c r="I379" s="1118" t="str">
        <f t="shared" si="25"/>
        <v/>
      </c>
      <c r="J379" s="1118"/>
      <c r="K379" s="539" t="str">
        <f t="shared" si="26"/>
        <v/>
      </c>
      <c r="L379" s="536" t="str">
        <f t="shared" si="27"/>
        <v/>
      </c>
      <c r="M379" s="540" t="str">
        <f t="shared" si="28"/>
        <v/>
      </c>
      <c r="N379" s="540" t="str">
        <f t="shared" si="31"/>
        <v/>
      </c>
      <c r="O379" s="538" t="str">
        <f t="shared" si="29"/>
        <v/>
      </c>
      <c r="P379" s="540" t="str">
        <f t="shared" si="30"/>
        <v/>
      </c>
    </row>
    <row r="380" spans="1:16" s="483" customFormat="1" ht="18" hidden="1" customHeight="1" x14ac:dyDescent="0.25">
      <c r="A380" s="536" t="str">
        <f t="shared" si="20"/>
        <v/>
      </c>
      <c r="B380" s="537">
        <f>LARGE($B$15:$B$264,110)</f>
        <v>0</v>
      </c>
      <c r="C380" s="538" t="str">
        <f t="shared" si="21"/>
        <v/>
      </c>
      <c r="D380" s="1117" t="str">
        <f t="shared" si="22"/>
        <v/>
      </c>
      <c r="E380" s="1117"/>
      <c r="F380" s="1117"/>
      <c r="G380" s="538" t="str">
        <f t="shared" si="23"/>
        <v/>
      </c>
      <c r="H380" s="538" t="str">
        <f t="shared" si="24"/>
        <v/>
      </c>
      <c r="I380" s="1118" t="str">
        <f t="shared" si="25"/>
        <v/>
      </c>
      <c r="J380" s="1118"/>
      <c r="K380" s="539" t="str">
        <f t="shared" si="26"/>
        <v/>
      </c>
      <c r="L380" s="536" t="str">
        <f t="shared" si="27"/>
        <v/>
      </c>
      <c r="M380" s="540" t="str">
        <f t="shared" si="28"/>
        <v/>
      </c>
      <c r="N380" s="540" t="str">
        <f t="shared" si="31"/>
        <v/>
      </c>
      <c r="O380" s="538" t="str">
        <f t="shared" si="29"/>
        <v/>
      </c>
      <c r="P380" s="540" t="str">
        <f t="shared" si="30"/>
        <v/>
      </c>
    </row>
    <row r="381" spans="1:16" s="483" customFormat="1" ht="18" hidden="1" customHeight="1" x14ac:dyDescent="0.25">
      <c r="A381" s="536" t="str">
        <f t="shared" si="20"/>
        <v/>
      </c>
      <c r="B381" s="537">
        <f>LARGE($B$15:$B$264,111)</f>
        <v>0</v>
      </c>
      <c r="C381" s="538" t="str">
        <f t="shared" si="21"/>
        <v/>
      </c>
      <c r="D381" s="1117" t="str">
        <f t="shared" si="22"/>
        <v/>
      </c>
      <c r="E381" s="1117"/>
      <c r="F381" s="1117"/>
      <c r="G381" s="538" t="str">
        <f t="shared" si="23"/>
        <v/>
      </c>
      <c r="H381" s="538" t="str">
        <f t="shared" si="24"/>
        <v/>
      </c>
      <c r="I381" s="1118" t="str">
        <f t="shared" si="25"/>
        <v/>
      </c>
      <c r="J381" s="1118"/>
      <c r="K381" s="539" t="str">
        <f t="shared" si="26"/>
        <v/>
      </c>
      <c r="L381" s="536" t="str">
        <f t="shared" si="27"/>
        <v/>
      </c>
      <c r="M381" s="540" t="str">
        <f t="shared" si="28"/>
        <v/>
      </c>
      <c r="N381" s="540" t="str">
        <f t="shared" si="31"/>
        <v/>
      </c>
      <c r="O381" s="538" t="str">
        <f t="shared" si="29"/>
        <v/>
      </c>
      <c r="P381" s="540" t="str">
        <f t="shared" si="30"/>
        <v/>
      </c>
    </row>
    <row r="382" spans="1:16" s="483" customFormat="1" ht="18" hidden="1" customHeight="1" x14ac:dyDescent="0.25">
      <c r="A382" s="536" t="str">
        <f t="shared" si="20"/>
        <v/>
      </c>
      <c r="B382" s="537">
        <f>LARGE($B$15:$B$264,112)</f>
        <v>0</v>
      </c>
      <c r="C382" s="538" t="str">
        <f t="shared" si="21"/>
        <v/>
      </c>
      <c r="D382" s="1117" t="str">
        <f t="shared" si="22"/>
        <v/>
      </c>
      <c r="E382" s="1117"/>
      <c r="F382" s="1117"/>
      <c r="G382" s="538" t="str">
        <f t="shared" si="23"/>
        <v/>
      </c>
      <c r="H382" s="538" t="str">
        <f t="shared" si="24"/>
        <v/>
      </c>
      <c r="I382" s="1118" t="str">
        <f t="shared" si="25"/>
        <v/>
      </c>
      <c r="J382" s="1118"/>
      <c r="K382" s="539" t="str">
        <f t="shared" si="26"/>
        <v/>
      </c>
      <c r="L382" s="536" t="str">
        <f t="shared" si="27"/>
        <v/>
      </c>
      <c r="M382" s="540" t="str">
        <f t="shared" si="28"/>
        <v/>
      </c>
      <c r="N382" s="540" t="str">
        <f t="shared" si="31"/>
        <v/>
      </c>
      <c r="O382" s="538" t="str">
        <f t="shared" si="29"/>
        <v/>
      </c>
      <c r="P382" s="540" t="str">
        <f t="shared" si="30"/>
        <v/>
      </c>
    </row>
    <row r="383" spans="1:16" s="483" customFormat="1" ht="18" hidden="1" customHeight="1" x14ac:dyDescent="0.25">
      <c r="A383" s="536" t="str">
        <f t="shared" si="20"/>
        <v/>
      </c>
      <c r="B383" s="537">
        <f>LARGE($B$15:$B$264,113)</f>
        <v>0</v>
      </c>
      <c r="C383" s="538" t="str">
        <f t="shared" si="21"/>
        <v/>
      </c>
      <c r="D383" s="1117" t="str">
        <f t="shared" si="22"/>
        <v/>
      </c>
      <c r="E383" s="1117"/>
      <c r="F383" s="1117"/>
      <c r="G383" s="538" t="str">
        <f t="shared" si="23"/>
        <v/>
      </c>
      <c r="H383" s="538" t="str">
        <f t="shared" si="24"/>
        <v/>
      </c>
      <c r="I383" s="1118" t="str">
        <f t="shared" si="25"/>
        <v/>
      </c>
      <c r="J383" s="1118"/>
      <c r="K383" s="539" t="str">
        <f t="shared" si="26"/>
        <v/>
      </c>
      <c r="L383" s="536" t="str">
        <f t="shared" si="27"/>
        <v/>
      </c>
      <c r="M383" s="540" t="str">
        <f t="shared" si="28"/>
        <v/>
      </c>
      <c r="N383" s="540" t="str">
        <f t="shared" si="31"/>
        <v/>
      </c>
      <c r="O383" s="538" t="str">
        <f t="shared" si="29"/>
        <v/>
      </c>
      <c r="P383" s="540" t="str">
        <f t="shared" si="30"/>
        <v/>
      </c>
    </row>
    <row r="384" spans="1:16" s="483" customFormat="1" ht="18" hidden="1" customHeight="1" x14ac:dyDescent="0.25">
      <c r="A384" s="536" t="str">
        <f t="shared" si="20"/>
        <v/>
      </c>
      <c r="B384" s="537">
        <f>LARGE($B$15:$B$264,114)</f>
        <v>0</v>
      </c>
      <c r="C384" s="538" t="str">
        <f t="shared" si="21"/>
        <v/>
      </c>
      <c r="D384" s="1117" t="str">
        <f t="shared" si="22"/>
        <v/>
      </c>
      <c r="E384" s="1117"/>
      <c r="F384" s="1117"/>
      <c r="G384" s="538" t="str">
        <f t="shared" si="23"/>
        <v/>
      </c>
      <c r="H384" s="538" t="str">
        <f t="shared" si="24"/>
        <v/>
      </c>
      <c r="I384" s="1118" t="str">
        <f t="shared" si="25"/>
        <v/>
      </c>
      <c r="J384" s="1118"/>
      <c r="K384" s="539" t="str">
        <f t="shared" si="26"/>
        <v/>
      </c>
      <c r="L384" s="536" t="str">
        <f t="shared" si="27"/>
        <v/>
      </c>
      <c r="M384" s="540" t="str">
        <f t="shared" si="28"/>
        <v/>
      </c>
      <c r="N384" s="540" t="str">
        <f t="shared" si="31"/>
        <v/>
      </c>
      <c r="O384" s="538" t="str">
        <f t="shared" si="29"/>
        <v/>
      </c>
      <c r="P384" s="540" t="str">
        <f t="shared" si="30"/>
        <v/>
      </c>
    </row>
    <row r="385" spans="1:16" s="483" customFormat="1" ht="18" hidden="1" customHeight="1" x14ac:dyDescent="0.25">
      <c r="A385" s="536" t="str">
        <f t="shared" si="20"/>
        <v/>
      </c>
      <c r="B385" s="537">
        <f>LARGE($B$15:$B$264,115)</f>
        <v>0</v>
      </c>
      <c r="C385" s="538" t="str">
        <f t="shared" si="21"/>
        <v/>
      </c>
      <c r="D385" s="1117" t="str">
        <f t="shared" si="22"/>
        <v/>
      </c>
      <c r="E385" s="1117"/>
      <c r="F385" s="1117"/>
      <c r="G385" s="538" t="str">
        <f t="shared" si="23"/>
        <v/>
      </c>
      <c r="H385" s="538" t="str">
        <f t="shared" si="24"/>
        <v/>
      </c>
      <c r="I385" s="1118" t="str">
        <f t="shared" si="25"/>
        <v/>
      </c>
      <c r="J385" s="1118"/>
      <c r="K385" s="539" t="str">
        <f t="shared" si="26"/>
        <v/>
      </c>
      <c r="L385" s="536" t="str">
        <f t="shared" si="27"/>
        <v/>
      </c>
      <c r="M385" s="540" t="str">
        <f t="shared" si="28"/>
        <v/>
      </c>
      <c r="N385" s="540" t="str">
        <f t="shared" si="31"/>
        <v/>
      </c>
      <c r="O385" s="538" t="str">
        <f t="shared" si="29"/>
        <v/>
      </c>
      <c r="P385" s="540" t="str">
        <f t="shared" si="30"/>
        <v/>
      </c>
    </row>
    <row r="386" spans="1:16" s="483" customFormat="1" ht="18" hidden="1" customHeight="1" x14ac:dyDescent="0.25">
      <c r="A386" s="536" t="str">
        <f t="shared" si="20"/>
        <v/>
      </c>
      <c r="B386" s="537">
        <f>LARGE($B$15:$B$264,116)</f>
        <v>0</v>
      </c>
      <c r="C386" s="538" t="str">
        <f t="shared" si="21"/>
        <v/>
      </c>
      <c r="D386" s="1117" t="str">
        <f t="shared" si="22"/>
        <v/>
      </c>
      <c r="E386" s="1117"/>
      <c r="F386" s="1117"/>
      <c r="G386" s="538" t="str">
        <f t="shared" si="23"/>
        <v/>
      </c>
      <c r="H386" s="538" t="str">
        <f t="shared" si="24"/>
        <v/>
      </c>
      <c r="I386" s="1118" t="str">
        <f t="shared" si="25"/>
        <v/>
      </c>
      <c r="J386" s="1118"/>
      <c r="K386" s="539" t="str">
        <f t="shared" si="26"/>
        <v/>
      </c>
      <c r="L386" s="536" t="str">
        <f t="shared" si="27"/>
        <v/>
      </c>
      <c r="M386" s="540" t="str">
        <f t="shared" si="28"/>
        <v/>
      </c>
      <c r="N386" s="540" t="str">
        <f t="shared" si="31"/>
        <v/>
      </c>
      <c r="O386" s="538" t="str">
        <f t="shared" si="29"/>
        <v/>
      </c>
      <c r="P386" s="540" t="str">
        <f t="shared" si="30"/>
        <v/>
      </c>
    </row>
    <row r="387" spans="1:16" s="483" customFormat="1" ht="18" hidden="1" customHeight="1" x14ac:dyDescent="0.25">
      <c r="A387" s="536" t="str">
        <f t="shared" si="20"/>
        <v/>
      </c>
      <c r="B387" s="537">
        <f>LARGE($B$15:$B$264,117)</f>
        <v>0</v>
      </c>
      <c r="C387" s="538" t="str">
        <f t="shared" si="21"/>
        <v/>
      </c>
      <c r="D387" s="1117" t="str">
        <f t="shared" si="22"/>
        <v/>
      </c>
      <c r="E387" s="1117"/>
      <c r="F387" s="1117"/>
      <c r="G387" s="538" t="str">
        <f t="shared" si="23"/>
        <v/>
      </c>
      <c r="H387" s="538" t="str">
        <f t="shared" si="24"/>
        <v/>
      </c>
      <c r="I387" s="1118" t="str">
        <f t="shared" si="25"/>
        <v/>
      </c>
      <c r="J387" s="1118"/>
      <c r="K387" s="539" t="str">
        <f t="shared" si="26"/>
        <v/>
      </c>
      <c r="L387" s="536" t="str">
        <f t="shared" si="27"/>
        <v/>
      </c>
      <c r="M387" s="540" t="str">
        <f t="shared" si="28"/>
        <v/>
      </c>
      <c r="N387" s="540" t="str">
        <f t="shared" si="31"/>
        <v/>
      </c>
      <c r="O387" s="538" t="str">
        <f t="shared" si="29"/>
        <v/>
      </c>
      <c r="P387" s="540" t="str">
        <f t="shared" si="30"/>
        <v/>
      </c>
    </row>
    <row r="388" spans="1:16" s="483" customFormat="1" ht="18" hidden="1" customHeight="1" x14ac:dyDescent="0.25">
      <c r="A388" s="536" t="str">
        <f t="shared" si="20"/>
        <v/>
      </c>
      <c r="B388" s="537">
        <f>LARGE($B$15:$B$264,118)</f>
        <v>0</v>
      </c>
      <c r="C388" s="538" t="str">
        <f t="shared" si="21"/>
        <v/>
      </c>
      <c r="D388" s="1117" t="str">
        <f t="shared" si="22"/>
        <v/>
      </c>
      <c r="E388" s="1117"/>
      <c r="F388" s="1117"/>
      <c r="G388" s="538" t="str">
        <f t="shared" si="23"/>
        <v/>
      </c>
      <c r="H388" s="538" t="str">
        <f t="shared" si="24"/>
        <v/>
      </c>
      <c r="I388" s="1118" t="str">
        <f t="shared" si="25"/>
        <v/>
      </c>
      <c r="J388" s="1118"/>
      <c r="K388" s="539" t="str">
        <f t="shared" si="26"/>
        <v/>
      </c>
      <c r="L388" s="536" t="str">
        <f t="shared" si="27"/>
        <v/>
      </c>
      <c r="M388" s="540" t="str">
        <f t="shared" si="28"/>
        <v/>
      </c>
      <c r="N388" s="540" t="str">
        <f t="shared" si="31"/>
        <v/>
      </c>
      <c r="O388" s="538" t="str">
        <f t="shared" si="29"/>
        <v/>
      </c>
      <c r="P388" s="540" t="str">
        <f t="shared" si="30"/>
        <v/>
      </c>
    </row>
    <row r="389" spans="1:16" s="483" customFormat="1" ht="18" hidden="1" customHeight="1" x14ac:dyDescent="0.25">
      <c r="A389" s="536" t="str">
        <f t="shared" si="20"/>
        <v/>
      </c>
      <c r="B389" s="537">
        <f>LARGE($B$15:$B$264,119)</f>
        <v>0</v>
      </c>
      <c r="C389" s="538" t="str">
        <f t="shared" si="21"/>
        <v/>
      </c>
      <c r="D389" s="1117" t="str">
        <f t="shared" si="22"/>
        <v/>
      </c>
      <c r="E389" s="1117"/>
      <c r="F389" s="1117"/>
      <c r="G389" s="538" t="str">
        <f t="shared" si="23"/>
        <v/>
      </c>
      <c r="H389" s="538" t="str">
        <f t="shared" si="24"/>
        <v/>
      </c>
      <c r="I389" s="1118" t="str">
        <f t="shared" si="25"/>
        <v/>
      </c>
      <c r="J389" s="1118"/>
      <c r="K389" s="539" t="str">
        <f t="shared" si="26"/>
        <v/>
      </c>
      <c r="L389" s="536" t="str">
        <f t="shared" si="27"/>
        <v/>
      </c>
      <c r="M389" s="540" t="str">
        <f t="shared" si="28"/>
        <v/>
      </c>
      <c r="N389" s="540" t="str">
        <f t="shared" si="31"/>
        <v/>
      </c>
      <c r="O389" s="538" t="str">
        <f t="shared" si="29"/>
        <v/>
      </c>
      <c r="P389" s="540" t="str">
        <f t="shared" si="30"/>
        <v/>
      </c>
    </row>
    <row r="390" spans="1:16" s="483" customFormat="1" ht="18" hidden="1" customHeight="1" x14ac:dyDescent="0.25">
      <c r="A390" s="536" t="str">
        <f t="shared" si="20"/>
        <v/>
      </c>
      <c r="B390" s="537">
        <f>LARGE($B$15:$B$264,120)</f>
        <v>0</v>
      </c>
      <c r="C390" s="538" t="str">
        <f t="shared" si="21"/>
        <v/>
      </c>
      <c r="D390" s="1117" t="str">
        <f t="shared" si="22"/>
        <v/>
      </c>
      <c r="E390" s="1117"/>
      <c r="F390" s="1117"/>
      <c r="G390" s="538" t="str">
        <f t="shared" si="23"/>
        <v/>
      </c>
      <c r="H390" s="538" t="str">
        <f t="shared" si="24"/>
        <v/>
      </c>
      <c r="I390" s="1118" t="str">
        <f t="shared" si="25"/>
        <v/>
      </c>
      <c r="J390" s="1118"/>
      <c r="K390" s="539" t="str">
        <f t="shared" si="26"/>
        <v/>
      </c>
      <c r="L390" s="536" t="str">
        <f t="shared" si="27"/>
        <v/>
      </c>
      <c r="M390" s="540" t="str">
        <f t="shared" si="28"/>
        <v/>
      </c>
      <c r="N390" s="540" t="str">
        <f t="shared" si="31"/>
        <v/>
      </c>
      <c r="O390" s="538" t="str">
        <f t="shared" si="29"/>
        <v/>
      </c>
      <c r="P390" s="540" t="str">
        <f t="shared" si="30"/>
        <v/>
      </c>
    </row>
    <row r="391" spans="1:16" s="483" customFormat="1" ht="18" hidden="1" customHeight="1" x14ac:dyDescent="0.25">
      <c r="A391" s="536" t="str">
        <f t="shared" si="20"/>
        <v/>
      </c>
      <c r="B391" s="537">
        <f>LARGE($B$15:$B$264,121)</f>
        <v>0</v>
      </c>
      <c r="C391" s="538" t="str">
        <f t="shared" si="21"/>
        <v/>
      </c>
      <c r="D391" s="1117" t="str">
        <f t="shared" si="22"/>
        <v/>
      </c>
      <c r="E391" s="1117"/>
      <c r="F391" s="1117"/>
      <c r="G391" s="538" t="str">
        <f t="shared" si="23"/>
        <v/>
      </c>
      <c r="H391" s="538" t="str">
        <f t="shared" si="24"/>
        <v/>
      </c>
      <c r="I391" s="1118" t="str">
        <f t="shared" si="25"/>
        <v/>
      </c>
      <c r="J391" s="1118"/>
      <c r="K391" s="539" t="str">
        <f t="shared" si="26"/>
        <v/>
      </c>
      <c r="L391" s="536" t="str">
        <f t="shared" si="27"/>
        <v/>
      </c>
      <c r="M391" s="540" t="str">
        <f t="shared" si="28"/>
        <v/>
      </c>
      <c r="N391" s="540" t="str">
        <f t="shared" si="31"/>
        <v/>
      </c>
      <c r="O391" s="538" t="str">
        <f t="shared" si="29"/>
        <v/>
      </c>
      <c r="P391" s="540" t="str">
        <f t="shared" si="30"/>
        <v/>
      </c>
    </row>
    <row r="392" spans="1:16" s="483" customFormat="1" ht="18" hidden="1" customHeight="1" x14ac:dyDescent="0.25">
      <c r="A392" s="536" t="str">
        <f t="shared" si="20"/>
        <v/>
      </c>
      <c r="B392" s="537">
        <f>LARGE($B$15:$B$264,122)</f>
        <v>0</v>
      </c>
      <c r="C392" s="538" t="str">
        <f t="shared" si="21"/>
        <v/>
      </c>
      <c r="D392" s="1117" t="str">
        <f t="shared" si="22"/>
        <v/>
      </c>
      <c r="E392" s="1117"/>
      <c r="F392" s="1117"/>
      <c r="G392" s="538" t="str">
        <f t="shared" si="23"/>
        <v/>
      </c>
      <c r="H392" s="538" t="str">
        <f t="shared" si="24"/>
        <v/>
      </c>
      <c r="I392" s="1118" t="str">
        <f t="shared" si="25"/>
        <v/>
      </c>
      <c r="J392" s="1118"/>
      <c r="K392" s="539" t="str">
        <f t="shared" si="26"/>
        <v/>
      </c>
      <c r="L392" s="536" t="str">
        <f t="shared" si="27"/>
        <v/>
      </c>
      <c r="M392" s="540" t="str">
        <f t="shared" si="28"/>
        <v/>
      </c>
      <c r="N392" s="540" t="str">
        <f t="shared" si="31"/>
        <v/>
      </c>
      <c r="O392" s="538" t="str">
        <f t="shared" si="29"/>
        <v/>
      </c>
      <c r="P392" s="540" t="str">
        <f t="shared" si="30"/>
        <v/>
      </c>
    </row>
    <row r="393" spans="1:16" s="483" customFormat="1" ht="18" hidden="1" customHeight="1" x14ac:dyDescent="0.25">
      <c r="A393" s="536" t="str">
        <f t="shared" si="20"/>
        <v/>
      </c>
      <c r="B393" s="537">
        <f>LARGE($B$15:$B$264,123)</f>
        <v>0</v>
      </c>
      <c r="C393" s="538" t="str">
        <f t="shared" si="21"/>
        <v/>
      </c>
      <c r="D393" s="1117" t="str">
        <f t="shared" si="22"/>
        <v/>
      </c>
      <c r="E393" s="1117"/>
      <c r="F393" s="1117"/>
      <c r="G393" s="538" t="str">
        <f t="shared" si="23"/>
        <v/>
      </c>
      <c r="H393" s="538" t="str">
        <f t="shared" si="24"/>
        <v/>
      </c>
      <c r="I393" s="1118" t="str">
        <f t="shared" si="25"/>
        <v/>
      </c>
      <c r="J393" s="1118"/>
      <c r="K393" s="539" t="str">
        <f t="shared" si="26"/>
        <v/>
      </c>
      <c r="L393" s="536" t="str">
        <f t="shared" si="27"/>
        <v/>
      </c>
      <c r="M393" s="540" t="str">
        <f t="shared" si="28"/>
        <v/>
      </c>
      <c r="N393" s="540" t="str">
        <f t="shared" si="31"/>
        <v/>
      </c>
      <c r="O393" s="538" t="str">
        <f t="shared" si="29"/>
        <v/>
      </c>
      <c r="P393" s="540" t="str">
        <f t="shared" si="30"/>
        <v/>
      </c>
    </row>
    <row r="394" spans="1:16" s="483" customFormat="1" ht="18" hidden="1" customHeight="1" x14ac:dyDescent="0.25">
      <c r="A394" s="536" t="str">
        <f t="shared" si="20"/>
        <v/>
      </c>
      <c r="B394" s="537">
        <f>LARGE($B$15:$B$264,124)</f>
        <v>0</v>
      </c>
      <c r="C394" s="538" t="str">
        <f t="shared" si="21"/>
        <v/>
      </c>
      <c r="D394" s="1117" t="str">
        <f t="shared" si="22"/>
        <v/>
      </c>
      <c r="E394" s="1117"/>
      <c r="F394" s="1117"/>
      <c r="G394" s="538" t="str">
        <f t="shared" si="23"/>
        <v/>
      </c>
      <c r="H394" s="538" t="str">
        <f t="shared" si="24"/>
        <v/>
      </c>
      <c r="I394" s="1118" t="str">
        <f t="shared" si="25"/>
        <v/>
      </c>
      <c r="J394" s="1118"/>
      <c r="K394" s="539" t="str">
        <f t="shared" si="26"/>
        <v/>
      </c>
      <c r="L394" s="536" t="str">
        <f t="shared" si="27"/>
        <v/>
      </c>
      <c r="M394" s="540" t="str">
        <f t="shared" si="28"/>
        <v/>
      </c>
      <c r="N394" s="540" t="str">
        <f t="shared" si="31"/>
        <v/>
      </c>
      <c r="O394" s="538" t="str">
        <f t="shared" si="29"/>
        <v/>
      </c>
      <c r="P394" s="540" t="str">
        <f t="shared" si="30"/>
        <v/>
      </c>
    </row>
    <row r="395" spans="1:16" s="483" customFormat="1" ht="18" hidden="1" customHeight="1" x14ac:dyDescent="0.25">
      <c r="A395" s="536" t="str">
        <f t="shared" si="20"/>
        <v/>
      </c>
      <c r="B395" s="537">
        <f>LARGE($B$15:$B$264,125)</f>
        <v>0</v>
      </c>
      <c r="C395" s="538" t="str">
        <f t="shared" si="21"/>
        <v/>
      </c>
      <c r="D395" s="1117" t="str">
        <f t="shared" si="22"/>
        <v/>
      </c>
      <c r="E395" s="1117"/>
      <c r="F395" s="1117"/>
      <c r="G395" s="538" t="str">
        <f t="shared" si="23"/>
        <v/>
      </c>
      <c r="H395" s="538" t="str">
        <f t="shared" si="24"/>
        <v/>
      </c>
      <c r="I395" s="1118" t="str">
        <f t="shared" si="25"/>
        <v/>
      </c>
      <c r="J395" s="1118"/>
      <c r="K395" s="539" t="str">
        <f t="shared" si="26"/>
        <v/>
      </c>
      <c r="L395" s="536" t="str">
        <f t="shared" si="27"/>
        <v/>
      </c>
      <c r="M395" s="540" t="str">
        <f t="shared" si="28"/>
        <v/>
      </c>
      <c r="N395" s="540" t="str">
        <f t="shared" si="31"/>
        <v/>
      </c>
      <c r="O395" s="538" t="str">
        <f t="shared" si="29"/>
        <v/>
      </c>
      <c r="P395" s="540" t="str">
        <f t="shared" si="30"/>
        <v/>
      </c>
    </row>
    <row r="396" spans="1:16" s="483" customFormat="1" ht="18" hidden="1" customHeight="1" x14ac:dyDescent="0.25">
      <c r="A396" s="536" t="str">
        <f t="shared" si="20"/>
        <v/>
      </c>
      <c r="B396" s="537">
        <f>LARGE($B$15:$B$264,126)</f>
        <v>0</v>
      </c>
      <c r="C396" s="538" t="str">
        <f t="shared" si="21"/>
        <v/>
      </c>
      <c r="D396" s="1117" t="str">
        <f t="shared" si="22"/>
        <v/>
      </c>
      <c r="E396" s="1117"/>
      <c r="F396" s="1117"/>
      <c r="G396" s="538" t="str">
        <f t="shared" si="23"/>
        <v/>
      </c>
      <c r="H396" s="538" t="str">
        <f t="shared" si="24"/>
        <v/>
      </c>
      <c r="I396" s="1118" t="str">
        <f t="shared" si="25"/>
        <v/>
      </c>
      <c r="J396" s="1118"/>
      <c r="K396" s="539" t="str">
        <f t="shared" si="26"/>
        <v/>
      </c>
      <c r="L396" s="536" t="str">
        <f t="shared" si="27"/>
        <v/>
      </c>
      <c r="M396" s="540" t="str">
        <f t="shared" si="28"/>
        <v/>
      </c>
      <c r="N396" s="540" t="str">
        <f t="shared" si="31"/>
        <v/>
      </c>
      <c r="O396" s="538" t="str">
        <f t="shared" si="29"/>
        <v/>
      </c>
      <c r="P396" s="540" t="str">
        <f t="shared" si="30"/>
        <v/>
      </c>
    </row>
    <row r="397" spans="1:16" s="483" customFormat="1" ht="18" hidden="1" customHeight="1" x14ac:dyDescent="0.25">
      <c r="A397" s="536" t="str">
        <f t="shared" si="20"/>
        <v/>
      </c>
      <c r="B397" s="537">
        <f>LARGE($B$15:$B$264,127)</f>
        <v>0</v>
      </c>
      <c r="C397" s="538" t="str">
        <f t="shared" si="21"/>
        <v/>
      </c>
      <c r="D397" s="1117" t="str">
        <f t="shared" si="22"/>
        <v/>
      </c>
      <c r="E397" s="1117"/>
      <c r="F397" s="1117"/>
      <c r="G397" s="538" t="str">
        <f t="shared" si="23"/>
        <v/>
      </c>
      <c r="H397" s="538" t="str">
        <f t="shared" si="24"/>
        <v/>
      </c>
      <c r="I397" s="1118" t="str">
        <f t="shared" si="25"/>
        <v/>
      </c>
      <c r="J397" s="1118"/>
      <c r="K397" s="539" t="str">
        <f t="shared" si="26"/>
        <v/>
      </c>
      <c r="L397" s="536" t="str">
        <f t="shared" si="27"/>
        <v/>
      </c>
      <c r="M397" s="540" t="str">
        <f t="shared" si="28"/>
        <v/>
      </c>
      <c r="N397" s="540" t="str">
        <f t="shared" si="31"/>
        <v/>
      </c>
      <c r="O397" s="538" t="str">
        <f t="shared" si="29"/>
        <v/>
      </c>
      <c r="P397" s="540" t="str">
        <f t="shared" si="30"/>
        <v/>
      </c>
    </row>
    <row r="398" spans="1:16" s="483" customFormat="1" ht="18" hidden="1" customHeight="1" x14ac:dyDescent="0.25">
      <c r="A398" s="536" t="str">
        <f t="shared" si="20"/>
        <v/>
      </c>
      <c r="B398" s="537">
        <f>LARGE($B$15:$B$264,128)</f>
        <v>0</v>
      </c>
      <c r="C398" s="538" t="str">
        <f t="shared" si="21"/>
        <v/>
      </c>
      <c r="D398" s="1117" t="str">
        <f t="shared" si="22"/>
        <v/>
      </c>
      <c r="E398" s="1117"/>
      <c r="F398" s="1117"/>
      <c r="G398" s="538" t="str">
        <f t="shared" si="23"/>
        <v/>
      </c>
      <c r="H398" s="538" t="str">
        <f t="shared" si="24"/>
        <v/>
      </c>
      <c r="I398" s="1118" t="str">
        <f t="shared" si="25"/>
        <v/>
      </c>
      <c r="J398" s="1118"/>
      <c r="K398" s="539" t="str">
        <f t="shared" si="26"/>
        <v/>
      </c>
      <c r="L398" s="536" t="str">
        <f t="shared" si="27"/>
        <v/>
      </c>
      <c r="M398" s="540" t="str">
        <f t="shared" si="28"/>
        <v/>
      </c>
      <c r="N398" s="540" t="str">
        <f t="shared" si="31"/>
        <v/>
      </c>
      <c r="O398" s="538" t="str">
        <f t="shared" si="29"/>
        <v/>
      </c>
      <c r="P398" s="540" t="str">
        <f t="shared" si="30"/>
        <v/>
      </c>
    </row>
    <row r="399" spans="1:16" s="483" customFormat="1" ht="18" hidden="1" customHeight="1" x14ac:dyDescent="0.25">
      <c r="A399" s="536" t="str">
        <f t="shared" ref="A399:A462" si="32">P399</f>
        <v/>
      </c>
      <c r="B399" s="537">
        <f>LARGE($B$15:$B$264,129)</f>
        <v>0</v>
      </c>
      <c r="C399" s="538" t="str">
        <f t="shared" ref="C399:C462" si="33">IFERROR(IF(B399=0,"",VLOOKUP(B399,$B$15:$J$264,2,FALSE())),"")</f>
        <v/>
      </c>
      <c r="D399" s="1117" t="str">
        <f t="shared" ref="D399:D462" si="34">IFERROR(IF(B399=0,"",VLOOKUP(B399,$B$15:$J$264,3,FALSE())),"")</f>
        <v/>
      </c>
      <c r="E399" s="1117"/>
      <c r="F399" s="1117"/>
      <c r="G399" s="538" t="str">
        <f t="shared" ref="G399:G462" si="35">IFERROR(IF(B399=0,"",VLOOKUP(B399,$B$15:$J$264,6,FALSE())),"")</f>
        <v/>
      </c>
      <c r="H399" s="538" t="str">
        <f t="shared" ref="H399:H462" si="36">IFERROR(IF(B399=0,"",VLOOKUP(B399,$B$15:$J$264,7,FALSE())),"")</f>
        <v/>
      </c>
      <c r="I399" s="1118" t="str">
        <f t="shared" ref="I399:I462" si="37">IF(B399=0,"",VLOOKUP(B399,$B$15:$J$264,8,FALSE()))</f>
        <v/>
      </c>
      <c r="J399" s="1118"/>
      <c r="K399" s="539" t="str">
        <f t="shared" ref="K399:K462" si="38">IF(B399=0,"",H399*I399)</f>
        <v/>
      </c>
      <c r="L399" s="536" t="str">
        <f t="shared" ref="L399:L462" si="39">O399</f>
        <v/>
      </c>
      <c r="M399" s="540" t="str">
        <f t="shared" ref="M399:M462" si="40">IF(B399=0,"",B399)</f>
        <v/>
      </c>
      <c r="N399" s="540" t="str">
        <f t="shared" si="31"/>
        <v/>
      </c>
      <c r="O399" s="538" t="str">
        <f t="shared" ref="O399:O462" si="41">IF(B399=0,"",(IF(N399&lt;80%,"Si","No")))</f>
        <v/>
      </c>
      <c r="P399" s="540" t="str">
        <f t="shared" ref="P399:P462" si="42">IF(B399=0,"",(IF(M399=$M$521,"Si",(IF(M399&gt;$M$521,"Si","No")))))</f>
        <v/>
      </c>
    </row>
    <row r="400" spans="1:16" s="483" customFormat="1" ht="18" hidden="1" customHeight="1" x14ac:dyDescent="0.25">
      <c r="A400" s="536" t="str">
        <f t="shared" si="32"/>
        <v/>
      </c>
      <c r="B400" s="537">
        <f>LARGE($B$15:$B$264,130)</f>
        <v>0</v>
      </c>
      <c r="C400" s="538" t="str">
        <f t="shared" si="33"/>
        <v/>
      </c>
      <c r="D400" s="1117" t="str">
        <f t="shared" si="34"/>
        <v/>
      </c>
      <c r="E400" s="1117"/>
      <c r="F400" s="1117"/>
      <c r="G400" s="538" t="str">
        <f t="shared" si="35"/>
        <v/>
      </c>
      <c r="H400" s="538" t="str">
        <f t="shared" si="36"/>
        <v/>
      </c>
      <c r="I400" s="1118" t="str">
        <f t="shared" si="37"/>
        <v/>
      </c>
      <c r="J400" s="1118"/>
      <c r="K400" s="539" t="str">
        <f t="shared" si="38"/>
        <v/>
      </c>
      <c r="L400" s="536" t="str">
        <f t="shared" si="39"/>
        <v/>
      </c>
      <c r="M400" s="540" t="str">
        <f t="shared" si="40"/>
        <v/>
      </c>
      <c r="N400" s="540" t="str">
        <f t="shared" ref="N400:N463" si="43">IF(B400=0,"",M400+N399)</f>
        <v/>
      </c>
      <c r="O400" s="538" t="str">
        <f t="shared" si="41"/>
        <v/>
      </c>
      <c r="P400" s="540" t="str">
        <f t="shared" si="42"/>
        <v/>
      </c>
    </row>
    <row r="401" spans="1:16" s="483" customFormat="1" ht="18" hidden="1" customHeight="1" x14ac:dyDescent="0.25">
      <c r="A401" s="536" t="str">
        <f t="shared" si="32"/>
        <v/>
      </c>
      <c r="B401" s="537">
        <f>LARGE($B$15:$B$264,131)</f>
        <v>0</v>
      </c>
      <c r="C401" s="538" t="str">
        <f t="shared" si="33"/>
        <v/>
      </c>
      <c r="D401" s="1117" t="str">
        <f t="shared" si="34"/>
        <v/>
      </c>
      <c r="E401" s="1117"/>
      <c r="F401" s="1117"/>
      <c r="G401" s="538" t="str">
        <f t="shared" si="35"/>
        <v/>
      </c>
      <c r="H401" s="538" t="str">
        <f t="shared" si="36"/>
        <v/>
      </c>
      <c r="I401" s="1118" t="str">
        <f t="shared" si="37"/>
        <v/>
      </c>
      <c r="J401" s="1118"/>
      <c r="K401" s="539" t="str">
        <f t="shared" si="38"/>
        <v/>
      </c>
      <c r="L401" s="536" t="str">
        <f t="shared" si="39"/>
        <v/>
      </c>
      <c r="M401" s="540" t="str">
        <f t="shared" si="40"/>
        <v/>
      </c>
      <c r="N401" s="540" t="str">
        <f t="shared" si="43"/>
        <v/>
      </c>
      <c r="O401" s="538" t="str">
        <f t="shared" si="41"/>
        <v/>
      </c>
      <c r="P401" s="540" t="str">
        <f t="shared" si="42"/>
        <v/>
      </c>
    </row>
    <row r="402" spans="1:16" s="483" customFormat="1" ht="18" hidden="1" customHeight="1" x14ac:dyDescent="0.25">
      <c r="A402" s="536" t="str">
        <f t="shared" si="32"/>
        <v/>
      </c>
      <c r="B402" s="537">
        <f>LARGE($B$15:$B$264,132)</f>
        <v>0</v>
      </c>
      <c r="C402" s="538" t="str">
        <f t="shared" si="33"/>
        <v/>
      </c>
      <c r="D402" s="1117" t="str">
        <f t="shared" si="34"/>
        <v/>
      </c>
      <c r="E402" s="1117"/>
      <c r="F402" s="1117"/>
      <c r="G402" s="538" t="str">
        <f t="shared" si="35"/>
        <v/>
      </c>
      <c r="H402" s="538" t="str">
        <f t="shared" si="36"/>
        <v/>
      </c>
      <c r="I402" s="1118" t="str">
        <f t="shared" si="37"/>
        <v/>
      </c>
      <c r="J402" s="1118"/>
      <c r="K402" s="539" t="str">
        <f t="shared" si="38"/>
        <v/>
      </c>
      <c r="L402" s="536" t="str">
        <f t="shared" si="39"/>
        <v/>
      </c>
      <c r="M402" s="540" t="str">
        <f t="shared" si="40"/>
        <v/>
      </c>
      <c r="N402" s="540" t="str">
        <f t="shared" si="43"/>
        <v/>
      </c>
      <c r="O402" s="538" t="str">
        <f t="shared" si="41"/>
        <v/>
      </c>
      <c r="P402" s="540" t="str">
        <f t="shared" si="42"/>
        <v/>
      </c>
    </row>
    <row r="403" spans="1:16" s="483" customFormat="1" ht="18" hidden="1" customHeight="1" x14ac:dyDescent="0.25">
      <c r="A403" s="536" t="str">
        <f t="shared" si="32"/>
        <v/>
      </c>
      <c r="B403" s="537">
        <f>LARGE($B$15:$B$264,133)</f>
        <v>0</v>
      </c>
      <c r="C403" s="538" t="str">
        <f t="shared" si="33"/>
        <v/>
      </c>
      <c r="D403" s="1117" t="str">
        <f t="shared" si="34"/>
        <v/>
      </c>
      <c r="E403" s="1117"/>
      <c r="F403" s="1117"/>
      <c r="G403" s="538" t="str">
        <f t="shared" si="35"/>
        <v/>
      </c>
      <c r="H403" s="538" t="str">
        <f t="shared" si="36"/>
        <v/>
      </c>
      <c r="I403" s="1118" t="str">
        <f t="shared" si="37"/>
        <v/>
      </c>
      <c r="J403" s="1118"/>
      <c r="K403" s="539" t="str">
        <f t="shared" si="38"/>
        <v/>
      </c>
      <c r="L403" s="536" t="str">
        <f t="shared" si="39"/>
        <v/>
      </c>
      <c r="M403" s="540" t="str">
        <f t="shared" si="40"/>
        <v/>
      </c>
      <c r="N403" s="540" t="str">
        <f t="shared" si="43"/>
        <v/>
      </c>
      <c r="O403" s="538" t="str">
        <f t="shared" si="41"/>
        <v/>
      </c>
      <c r="P403" s="540" t="str">
        <f t="shared" si="42"/>
        <v/>
      </c>
    </row>
    <row r="404" spans="1:16" s="483" customFormat="1" ht="18" hidden="1" customHeight="1" x14ac:dyDescent="0.25">
      <c r="A404" s="536" t="str">
        <f t="shared" si="32"/>
        <v/>
      </c>
      <c r="B404" s="537">
        <f>LARGE($B$15:$B$264,134)</f>
        <v>0</v>
      </c>
      <c r="C404" s="538" t="str">
        <f t="shared" si="33"/>
        <v/>
      </c>
      <c r="D404" s="1117" t="str">
        <f t="shared" si="34"/>
        <v/>
      </c>
      <c r="E404" s="1117"/>
      <c r="F404" s="1117"/>
      <c r="G404" s="538" t="str">
        <f t="shared" si="35"/>
        <v/>
      </c>
      <c r="H404" s="538" t="str">
        <f t="shared" si="36"/>
        <v/>
      </c>
      <c r="I404" s="1118" t="str">
        <f t="shared" si="37"/>
        <v/>
      </c>
      <c r="J404" s="1118"/>
      <c r="K404" s="539" t="str">
        <f t="shared" si="38"/>
        <v/>
      </c>
      <c r="L404" s="536" t="str">
        <f t="shared" si="39"/>
        <v/>
      </c>
      <c r="M404" s="540" t="str">
        <f t="shared" si="40"/>
        <v/>
      </c>
      <c r="N404" s="540" t="str">
        <f t="shared" si="43"/>
        <v/>
      </c>
      <c r="O404" s="538" t="str">
        <f t="shared" si="41"/>
        <v/>
      </c>
      <c r="P404" s="540" t="str">
        <f t="shared" si="42"/>
        <v/>
      </c>
    </row>
    <row r="405" spans="1:16" s="483" customFormat="1" ht="18" hidden="1" customHeight="1" x14ac:dyDescent="0.25">
      <c r="A405" s="536" t="str">
        <f t="shared" si="32"/>
        <v/>
      </c>
      <c r="B405" s="537">
        <f>LARGE($B$15:$B$264,135)</f>
        <v>0</v>
      </c>
      <c r="C405" s="538" t="str">
        <f t="shared" si="33"/>
        <v/>
      </c>
      <c r="D405" s="1117" t="str">
        <f t="shared" si="34"/>
        <v/>
      </c>
      <c r="E405" s="1117"/>
      <c r="F405" s="1117"/>
      <c r="G405" s="538" t="str">
        <f t="shared" si="35"/>
        <v/>
      </c>
      <c r="H405" s="538" t="str">
        <f t="shared" si="36"/>
        <v/>
      </c>
      <c r="I405" s="1118" t="str">
        <f t="shared" si="37"/>
        <v/>
      </c>
      <c r="J405" s="1118"/>
      <c r="K405" s="539" t="str">
        <f t="shared" si="38"/>
        <v/>
      </c>
      <c r="L405" s="536" t="str">
        <f t="shared" si="39"/>
        <v/>
      </c>
      <c r="M405" s="540" t="str">
        <f t="shared" si="40"/>
        <v/>
      </c>
      <c r="N405" s="540" t="str">
        <f t="shared" si="43"/>
        <v/>
      </c>
      <c r="O405" s="538" t="str">
        <f t="shared" si="41"/>
        <v/>
      </c>
      <c r="P405" s="540" t="str">
        <f t="shared" si="42"/>
        <v/>
      </c>
    </row>
    <row r="406" spans="1:16" s="483" customFormat="1" ht="18" hidden="1" customHeight="1" x14ac:dyDescent="0.25">
      <c r="A406" s="536" t="str">
        <f t="shared" si="32"/>
        <v/>
      </c>
      <c r="B406" s="537">
        <f>LARGE($B$15:$B$264,136)</f>
        <v>0</v>
      </c>
      <c r="C406" s="538" t="str">
        <f t="shared" si="33"/>
        <v/>
      </c>
      <c r="D406" s="1117" t="str">
        <f t="shared" si="34"/>
        <v/>
      </c>
      <c r="E406" s="1117"/>
      <c r="F406" s="1117"/>
      <c r="G406" s="538" t="str">
        <f t="shared" si="35"/>
        <v/>
      </c>
      <c r="H406" s="538" t="str">
        <f t="shared" si="36"/>
        <v/>
      </c>
      <c r="I406" s="1118" t="str">
        <f t="shared" si="37"/>
        <v/>
      </c>
      <c r="J406" s="1118"/>
      <c r="K406" s="539" t="str">
        <f t="shared" si="38"/>
        <v/>
      </c>
      <c r="L406" s="536" t="str">
        <f t="shared" si="39"/>
        <v/>
      </c>
      <c r="M406" s="540" t="str">
        <f t="shared" si="40"/>
        <v/>
      </c>
      <c r="N406" s="540" t="str">
        <f t="shared" si="43"/>
        <v/>
      </c>
      <c r="O406" s="538" t="str">
        <f t="shared" si="41"/>
        <v/>
      </c>
      <c r="P406" s="540" t="str">
        <f t="shared" si="42"/>
        <v/>
      </c>
    </row>
    <row r="407" spans="1:16" s="483" customFormat="1" ht="18" hidden="1" customHeight="1" x14ac:dyDescent="0.25">
      <c r="A407" s="536" t="str">
        <f t="shared" si="32"/>
        <v/>
      </c>
      <c r="B407" s="537">
        <f>LARGE($B$15:$B$264,137)</f>
        <v>0</v>
      </c>
      <c r="C407" s="538" t="str">
        <f t="shared" si="33"/>
        <v/>
      </c>
      <c r="D407" s="1117" t="str">
        <f t="shared" si="34"/>
        <v/>
      </c>
      <c r="E407" s="1117"/>
      <c r="F407" s="1117"/>
      <c r="G407" s="538" t="str">
        <f t="shared" si="35"/>
        <v/>
      </c>
      <c r="H407" s="538" t="str">
        <f t="shared" si="36"/>
        <v/>
      </c>
      <c r="I407" s="1118" t="str">
        <f t="shared" si="37"/>
        <v/>
      </c>
      <c r="J407" s="1118"/>
      <c r="K407" s="539" t="str">
        <f t="shared" si="38"/>
        <v/>
      </c>
      <c r="L407" s="536" t="str">
        <f t="shared" si="39"/>
        <v/>
      </c>
      <c r="M407" s="540" t="str">
        <f t="shared" si="40"/>
        <v/>
      </c>
      <c r="N407" s="540" t="str">
        <f t="shared" si="43"/>
        <v/>
      </c>
      <c r="O407" s="538" t="str">
        <f t="shared" si="41"/>
        <v/>
      </c>
      <c r="P407" s="540" t="str">
        <f t="shared" si="42"/>
        <v/>
      </c>
    </row>
    <row r="408" spans="1:16" s="483" customFormat="1" ht="18" hidden="1" customHeight="1" x14ac:dyDescent="0.25">
      <c r="A408" s="536" t="str">
        <f t="shared" si="32"/>
        <v/>
      </c>
      <c r="B408" s="537">
        <f>LARGE($B$15:$B$264,138)</f>
        <v>0</v>
      </c>
      <c r="C408" s="538" t="str">
        <f t="shared" si="33"/>
        <v/>
      </c>
      <c r="D408" s="1117" t="str">
        <f t="shared" si="34"/>
        <v/>
      </c>
      <c r="E408" s="1117"/>
      <c r="F408" s="1117"/>
      <c r="G408" s="538" t="str">
        <f t="shared" si="35"/>
        <v/>
      </c>
      <c r="H408" s="538" t="str">
        <f t="shared" si="36"/>
        <v/>
      </c>
      <c r="I408" s="1118" t="str">
        <f t="shared" si="37"/>
        <v/>
      </c>
      <c r="J408" s="1118"/>
      <c r="K408" s="539" t="str">
        <f t="shared" si="38"/>
        <v/>
      </c>
      <c r="L408" s="536" t="str">
        <f t="shared" si="39"/>
        <v/>
      </c>
      <c r="M408" s="540" t="str">
        <f t="shared" si="40"/>
        <v/>
      </c>
      <c r="N408" s="540" t="str">
        <f t="shared" si="43"/>
        <v/>
      </c>
      <c r="O408" s="538" t="str">
        <f t="shared" si="41"/>
        <v/>
      </c>
      <c r="P408" s="540" t="str">
        <f t="shared" si="42"/>
        <v/>
      </c>
    </row>
    <row r="409" spans="1:16" s="483" customFormat="1" ht="18" hidden="1" customHeight="1" x14ac:dyDescent="0.25">
      <c r="A409" s="536" t="str">
        <f t="shared" si="32"/>
        <v/>
      </c>
      <c r="B409" s="537">
        <f>LARGE($B$15:$B$264,139)</f>
        <v>0</v>
      </c>
      <c r="C409" s="538" t="str">
        <f t="shared" si="33"/>
        <v/>
      </c>
      <c r="D409" s="1117" t="str">
        <f t="shared" si="34"/>
        <v/>
      </c>
      <c r="E409" s="1117"/>
      <c r="F409" s="1117"/>
      <c r="G409" s="538" t="str">
        <f t="shared" si="35"/>
        <v/>
      </c>
      <c r="H409" s="538" t="str">
        <f t="shared" si="36"/>
        <v/>
      </c>
      <c r="I409" s="1118" t="str">
        <f t="shared" si="37"/>
        <v/>
      </c>
      <c r="J409" s="1118"/>
      <c r="K409" s="539" t="str">
        <f t="shared" si="38"/>
        <v/>
      </c>
      <c r="L409" s="536" t="str">
        <f t="shared" si="39"/>
        <v/>
      </c>
      <c r="M409" s="540" t="str">
        <f t="shared" si="40"/>
        <v/>
      </c>
      <c r="N409" s="540" t="str">
        <f t="shared" si="43"/>
        <v/>
      </c>
      <c r="O409" s="538" t="str">
        <f t="shared" si="41"/>
        <v/>
      </c>
      <c r="P409" s="540" t="str">
        <f t="shared" si="42"/>
        <v/>
      </c>
    </row>
    <row r="410" spans="1:16" s="483" customFormat="1" ht="18" hidden="1" customHeight="1" x14ac:dyDescent="0.25">
      <c r="A410" s="536" t="str">
        <f t="shared" si="32"/>
        <v/>
      </c>
      <c r="B410" s="537">
        <f>LARGE($B$15:$B$264,140)</f>
        <v>0</v>
      </c>
      <c r="C410" s="538" t="str">
        <f t="shared" si="33"/>
        <v/>
      </c>
      <c r="D410" s="1117" t="str">
        <f t="shared" si="34"/>
        <v/>
      </c>
      <c r="E410" s="1117"/>
      <c r="F410" s="1117"/>
      <c r="G410" s="538" t="str">
        <f t="shared" si="35"/>
        <v/>
      </c>
      <c r="H410" s="538" t="str">
        <f t="shared" si="36"/>
        <v/>
      </c>
      <c r="I410" s="1118" t="str">
        <f t="shared" si="37"/>
        <v/>
      </c>
      <c r="J410" s="1118"/>
      <c r="K410" s="539" t="str">
        <f t="shared" si="38"/>
        <v/>
      </c>
      <c r="L410" s="536" t="str">
        <f t="shared" si="39"/>
        <v/>
      </c>
      <c r="M410" s="540" t="str">
        <f t="shared" si="40"/>
        <v/>
      </c>
      <c r="N410" s="540" t="str">
        <f t="shared" si="43"/>
        <v/>
      </c>
      <c r="O410" s="538" t="str">
        <f t="shared" si="41"/>
        <v/>
      </c>
      <c r="P410" s="540" t="str">
        <f t="shared" si="42"/>
        <v/>
      </c>
    </row>
    <row r="411" spans="1:16" s="483" customFormat="1" ht="18" hidden="1" customHeight="1" x14ac:dyDescent="0.25">
      <c r="A411" s="536" t="str">
        <f t="shared" si="32"/>
        <v/>
      </c>
      <c r="B411" s="537">
        <f>LARGE($B$15:$B$264,141)</f>
        <v>0</v>
      </c>
      <c r="C411" s="538" t="str">
        <f t="shared" si="33"/>
        <v/>
      </c>
      <c r="D411" s="1117" t="str">
        <f t="shared" si="34"/>
        <v/>
      </c>
      <c r="E411" s="1117"/>
      <c r="F411" s="1117"/>
      <c r="G411" s="538" t="str">
        <f t="shared" si="35"/>
        <v/>
      </c>
      <c r="H411" s="538" t="str">
        <f t="shared" si="36"/>
        <v/>
      </c>
      <c r="I411" s="1118" t="str">
        <f t="shared" si="37"/>
        <v/>
      </c>
      <c r="J411" s="1118"/>
      <c r="K411" s="539" t="str">
        <f t="shared" si="38"/>
        <v/>
      </c>
      <c r="L411" s="536" t="str">
        <f t="shared" si="39"/>
        <v/>
      </c>
      <c r="M411" s="540" t="str">
        <f t="shared" si="40"/>
        <v/>
      </c>
      <c r="N411" s="540" t="str">
        <f t="shared" si="43"/>
        <v/>
      </c>
      <c r="O411" s="538" t="str">
        <f t="shared" si="41"/>
        <v/>
      </c>
      <c r="P411" s="540" t="str">
        <f t="shared" si="42"/>
        <v/>
      </c>
    </row>
    <row r="412" spans="1:16" s="483" customFormat="1" ht="18" hidden="1" customHeight="1" x14ac:dyDescent="0.25">
      <c r="A412" s="536" t="str">
        <f t="shared" si="32"/>
        <v/>
      </c>
      <c r="B412" s="537">
        <f>LARGE($B$15:$B$264,142)</f>
        <v>0</v>
      </c>
      <c r="C412" s="538" t="str">
        <f t="shared" si="33"/>
        <v/>
      </c>
      <c r="D412" s="1117" t="str">
        <f t="shared" si="34"/>
        <v/>
      </c>
      <c r="E412" s="1117"/>
      <c r="F412" s="1117"/>
      <c r="G412" s="538" t="str">
        <f t="shared" si="35"/>
        <v/>
      </c>
      <c r="H412" s="538" t="str">
        <f t="shared" si="36"/>
        <v/>
      </c>
      <c r="I412" s="1118" t="str">
        <f t="shared" si="37"/>
        <v/>
      </c>
      <c r="J412" s="1118"/>
      <c r="K412" s="539" t="str">
        <f t="shared" si="38"/>
        <v/>
      </c>
      <c r="L412" s="536" t="str">
        <f t="shared" si="39"/>
        <v/>
      </c>
      <c r="M412" s="540" t="str">
        <f t="shared" si="40"/>
        <v/>
      </c>
      <c r="N412" s="540" t="str">
        <f t="shared" si="43"/>
        <v/>
      </c>
      <c r="O412" s="538" t="str">
        <f t="shared" si="41"/>
        <v/>
      </c>
      <c r="P412" s="540" t="str">
        <f t="shared" si="42"/>
        <v/>
      </c>
    </row>
    <row r="413" spans="1:16" s="483" customFormat="1" ht="18" hidden="1" customHeight="1" x14ac:dyDescent="0.25">
      <c r="A413" s="536" t="str">
        <f t="shared" si="32"/>
        <v/>
      </c>
      <c r="B413" s="537">
        <f>LARGE($B$15:$B$264,143)</f>
        <v>0</v>
      </c>
      <c r="C413" s="538" t="str">
        <f t="shared" si="33"/>
        <v/>
      </c>
      <c r="D413" s="1117" t="str">
        <f t="shared" si="34"/>
        <v/>
      </c>
      <c r="E413" s="1117"/>
      <c r="F413" s="1117"/>
      <c r="G413" s="538" t="str">
        <f t="shared" si="35"/>
        <v/>
      </c>
      <c r="H413" s="538" t="str">
        <f t="shared" si="36"/>
        <v/>
      </c>
      <c r="I413" s="1118" t="str">
        <f t="shared" si="37"/>
        <v/>
      </c>
      <c r="J413" s="1118"/>
      <c r="K413" s="539" t="str">
        <f t="shared" si="38"/>
        <v/>
      </c>
      <c r="L413" s="536" t="str">
        <f t="shared" si="39"/>
        <v/>
      </c>
      <c r="M413" s="540" t="str">
        <f t="shared" si="40"/>
        <v/>
      </c>
      <c r="N413" s="540" t="str">
        <f t="shared" si="43"/>
        <v/>
      </c>
      <c r="O413" s="538" t="str">
        <f t="shared" si="41"/>
        <v/>
      </c>
      <c r="P413" s="540" t="str">
        <f t="shared" si="42"/>
        <v/>
      </c>
    </row>
    <row r="414" spans="1:16" s="483" customFormat="1" ht="18" hidden="1" customHeight="1" x14ac:dyDescent="0.25">
      <c r="A414" s="536" t="str">
        <f t="shared" si="32"/>
        <v/>
      </c>
      <c r="B414" s="537">
        <f>LARGE($B$15:$B$264,144)</f>
        <v>0</v>
      </c>
      <c r="C414" s="538" t="str">
        <f t="shared" si="33"/>
        <v/>
      </c>
      <c r="D414" s="1117" t="str">
        <f t="shared" si="34"/>
        <v/>
      </c>
      <c r="E414" s="1117"/>
      <c r="F414" s="1117"/>
      <c r="G414" s="538" t="str">
        <f t="shared" si="35"/>
        <v/>
      </c>
      <c r="H414" s="538" t="str">
        <f t="shared" si="36"/>
        <v/>
      </c>
      <c r="I414" s="1118" t="str">
        <f t="shared" si="37"/>
        <v/>
      </c>
      <c r="J414" s="1118"/>
      <c r="K414" s="539" t="str">
        <f t="shared" si="38"/>
        <v/>
      </c>
      <c r="L414" s="536" t="str">
        <f t="shared" si="39"/>
        <v/>
      </c>
      <c r="M414" s="540" t="str">
        <f t="shared" si="40"/>
        <v/>
      </c>
      <c r="N414" s="540" t="str">
        <f t="shared" si="43"/>
        <v/>
      </c>
      <c r="O414" s="538" t="str">
        <f t="shared" si="41"/>
        <v/>
      </c>
      <c r="P414" s="540" t="str">
        <f t="shared" si="42"/>
        <v/>
      </c>
    </row>
    <row r="415" spans="1:16" s="483" customFormat="1" ht="18" hidden="1" customHeight="1" x14ac:dyDescent="0.25">
      <c r="A415" s="536" t="str">
        <f t="shared" si="32"/>
        <v/>
      </c>
      <c r="B415" s="537">
        <f>LARGE($B$15:$B$264,145)</f>
        <v>0</v>
      </c>
      <c r="C415" s="538" t="str">
        <f t="shared" si="33"/>
        <v/>
      </c>
      <c r="D415" s="1117" t="str">
        <f t="shared" si="34"/>
        <v/>
      </c>
      <c r="E415" s="1117"/>
      <c r="F415" s="1117"/>
      <c r="G415" s="538" t="str">
        <f t="shared" si="35"/>
        <v/>
      </c>
      <c r="H415" s="538" t="str">
        <f t="shared" si="36"/>
        <v/>
      </c>
      <c r="I415" s="1118" t="str">
        <f t="shared" si="37"/>
        <v/>
      </c>
      <c r="J415" s="1118"/>
      <c r="K415" s="539" t="str">
        <f t="shared" si="38"/>
        <v/>
      </c>
      <c r="L415" s="536" t="str">
        <f t="shared" si="39"/>
        <v/>
      </c>
      <c r="M415" s="540" t="str">
        <f t="shared" si="40"/>
        <v/>
      </c>
      <c r="N415" s="540" t="str">
        <f t="shared" si="43"/>
        <v/>
      </c>
      <c r="O415" s="538" t="str">
        <f t="shared" si="41"/>
        <v/>
      </c>
      <c r="P415" s="540" t="str">
        <f t="shared" si="42"/>
        <v/>
      </c>
    </row>
    <row r="416" spans="1:16" s="483" customFormat="1" ht="18" hidden="1" customHeight="1" x14ac:dyDescent="0.25">
      <c r="A416" s="536" t="str">
        <f t="shared" si="32"/>
        <v/>
      </c>
      <c r="B416" s="537">
        <f>LARGE($B$15:$B$264,146)</f>
        <v>0</v>
      </c>
      <c r="C416" s="538" t="str">
        <f t="shared" si="33"/>
        <v/>
      </c>
      <c r="D416" s="1117" t="str">
        <f t="shared" si="34"/>
        <v/>
      </c>
      <c r="E416" s="1117"/>
      <c r="F416" s="1117"/>
      <c r="G416" s="538" t="str">
        <f t="shared" si="35"/>
        <v/>
      </c>
      <c r="H416" s="538" t="str">
        <f t="shared" si="36"/>
        <v/>
      </c>
      <c r="I416" s="1118" t="str">
        <f t="shared" si="37"/>
        <v/>
      </c>
      <c r="J416" s="1118"/>
      <c r="K416" s="539" t="str">
        <f t="shared" si="38"/>
        <v/>
      </c>
      <c r="L416" s="536" t="str">
        <f t="shared" si="39"/>
        <v/>
      </c>
      <c r="M416" s="540" t="str">
        <f t="shared" si="40"/>
        <v/>
      </c>
      <c r="N416" s="540" t="str">
        <f t="shared" si="43"/>
        <v/>
      </c>
      <c r="O416" s="538" t="str">
        <f t="shared" si="41"/>
        <v/>
      </c>
      <c r="P416" s="540" t="str">
        <f t="shared" si="42"/>
        <v/>
      </c>
    </row>
    <row r="417" spans="1:16" s="483" customFormat="1" ht="18" hidden="1" customHeight="1" x14ac:dyDescent="0.25">
      <c r="A417" s="536" t="str">
        <f t="shared" si="32"/>
        <v/>
      </c>
      <c r="B417" s="537">
        <f>LARGE($B$15:$B$264,147)</f>
        <v>0</v>
      </c>
      <c r="C417" s="538" t="str">
        <f t="shared" si="33"/>
        <v/>
      </c>
      <c r="D417" s="1117" t="str">
        <f t="shared" si="34"/>
        <v/>
      </c>
      <c r="E417" s="1117"/>
      <c r="F417" s="1117"/>
      <c r="G417" s="538" t="str">
        <f t="shared" si="35"/>
        <v/>
      </c>
      <c r="H417" s="538" t="str">
        <f t="shared" si="36"/>
        <v/>
      </c>
      <c r="I417" s="1118" t="str">
        <f t="shared" si="37"/>
        <v/>
      </c>
      <c r="J417" s="1118"/>
      <c r="K417" s="539" t="str">
        <f t="shared" si="38"/>
        <v/>
      </c>
      <c r="L417" s="536" t="str">
        <f t="shared" si="39"/>
        <v/>
      </c>
      <c r="M417" s="540" t="str">
        <f t="shared" si="40"/>
        <v/>
      </c>
      <c r="N417" s="540" t="str">
        <f t="shared" si="43"/>
        <v/>
      </c>
      <c r="O417" s="538" t="str">
        <f t="shared" si="41"/>
        <v/>
      </c>
      <c r="P417" s="540" t="str">
        <f t="shared" si="42"/>
        <v/>
      </c>
    </row>
    <row r="418" spans="1:16" s="483" customFormat="1" ht="18" hidden="1" customHeight="1" x14ac:dyDescent="0.25">
      <c r="A418" s="536" t="str">
        <f t="shared" si="32"/>
        <v/>
      </c>
      <c r="B418" s="537">
        <f>LARGE($B$15:$B$264,148)</f>
        <v>0</v>
      </c>
      <c r="C418" s="538" t="str">
        <f t="shared" si="33"/>
        <v/>
      </c>
      <c r="D418" s="1117" t="str">
        <f t="shared" si="34"/>
        <v/>
      </c>
      <c r="E418" s="1117"/>
      <c r="F418" s="1117"/>
      <c r="G418" s="538" t="str">
        <f t="shared" si="35"/>
        <v/>
      </c>
      <c r="H418" s="538" t="str">
        <f t="shared" si="36"/>
        <v/>
      </c>
      <c r="I418" s="1118" t="str">
        <f t="shared" si="37"/>
        <v/>
      </c>
      <c r="J418" s="1118"/>
      <c r="K418" s="539" t="str">
        <f t="shared" si="38"/>
        <v/>
      </c>
      <c r="L418" s="536" t="str">
        <f t="shared" si="39"/>
        <v/>
      </c>
      <c r="M418" s="540" t="str">
        <f t="shared" si="40"/>
        <v/>
      </c>
      <c r="N418" s="540" t="str">
        <f t="shared" si="43"/>
        <v/>
      </c>
      <c r="O418" s="538" t="str">
        <f t="shared" si="41"/>
        <v/>
      </c>
      <c r="P418" s="540" t="str">
        <f t="shared" si="42"/>
        <v/>
      </c>
    </row>
    <row r="419" spans="1:16" s="483" customFormat="1" ht="18" hidden="1" customHeight="1" x14ac:dyDescent="0.25">
      <c r="A419" s="536" t="str">
        <f t="shared" si="32"/>
        <v/>
      </c>
      <c r="B419" s="537">
        <f>LARGE($B$15:$B$264,149)</f>
        <v>0</v>
      </c>
      <c r="C419" s="538" t="str">
        <f t="shared" si="33"/>
        <v/>
      </c>
      <c r="D419" s="1117" t="str">
        <f t="shared" si="34"/>
        <v/>
      </c>
      <c r="E419" s="1117"/>
      <c r="F419" s="1117"/>
      <c r="G419" s="538" t="str">
        <f t="shared" si="35"/>
        <v/>
      </c>
      <c r="H419" s="538" t="str">
        <f t="shared" si="36"/>
        <v/>
      </c>
      <c r="I419" s="1118" t="str">
        <f t="shared" si="37"/>
        <v/>
      </c>
      <c r="J419" s="1118"/>
      <c r="K419" s="539" t="str">
        <f t="shared" si="38"/>
        <v/>
      </c>
      <c r="L419" s="536" t="str">
        <f t="shared" si="39"/>
        <v/>
      </c>
      <c r="M419" s="540" t="str">
        <f t="shared" si="40"/>
        <v/>
      </c>
      <c r="N419" s="540" t="str">
        <f t="shared" si="43"/>
        <v/>
      </c>
      <c r="O419" s="538" t="str">
        <f t="shared" si="41"/>
        <v/>
      </c>
      <c r="P419" s="540" t="str">
        <f t="shared" si="42"/>
        <v/>
      </c>
    </row>
    <row r="420" spans="1:16" s="483" customFormat="1" ht="18" hidden="1" customHeight="1" x14ac:dyDescent="0.25">
      <c r="A420" s="536" t="str">
        <f t="shared" si="32"/>
        <v/>
      </c>
      <c r="B420" s="537">
        <f>LARGE($B$15:$B$264,150)</f>
        <v>0</v>
      </c>
      <c r="C420" s="538" t="str">
        <f t="shared" si="33"/>
        <v/>
      </c>
      <c r="D420" s="1117" t="str">
        <f t="shared" si="34"/>
        <v/>
      </c>
      <c r="E420" s="1117"/>
      <c r="F420" s="1117"/>
      <c r="G420" s="538" t="str">
        <f t="shared" si="35"/>
        <v/>
      </c>
      <c r="H420" s="538" t="str">
        <f t="shared" si="36"/>
        <v/>
      </c>
      <c r="I420" s="1118" t="str">
        <f t="shared" si="37"/>
        <v/>
      </c>
      <c r="J420" s="1118"/>
      <c r="K420" s="539" t="str">
        <f t="shared" si="38"/>
        <v/>
      </c>
      <c r="L420" s="536" t="str">
        <f t="shared" si="39"/>
        <v/>
      </c>
      <c r="M420" s="540" t="str">
        <f t="shared" si="40"/>
        <v/>
      </c>
      <c r="N420" s="540" t="str">
        <f t="shared" si="43"/>
        <v/>
      </c>
      <c r="O420" s="538" t="str">
        <f t="shared" si="41"/>
        <v/>
      </c>
      <c r="P420" s="540" t="str">
        <f t="shared" si="42"/>
        <v/>
      </c>
    </row>
    <row r="421" spans="1:16" s="483" customFormat="1" ht="18" hidden="1" customHeight="1" x14ac:dyDescent="0.25">
      <c r="A421" s="536" t="str">
        <f t="shared" si="32"/>
        <v/>
      </c>
      <c r="B421" s="537">
        <f>LARGE($B$15:$B$264,151)</f>
        <v>0</v>
      </c>
      <c r="C421" s="538" t="str">
        <f t="shared" si="33"/>
        <v/>
      </c>
      <c r="D421" s="1117" t="str">
        <f t="shared" si="34"/>
        <v/>
      </c>
      <c r="E421" s="1117"/>
      <c r="F421" s="1117"/>
      <c r="G421" s="538" t="str">
        <f t="shared" si="35"/>
        <v/>
      </c>
      <c r="H421" s="538" t="str">
        <f t="shared" si="36"/>
        <v/>
      </c>
      <c r="I421" s="1118" t="str">
        <f t="shared" si="37"/>
        <v/>
      </c>
      <c r="J421" s="1118"/>
      <c r="K421" s="539" t="str">
        <f t="shared" si="38"/>
        <v/>
      </c>
      <c r="L421" s="536" t="str">
        <f t="shared" si="39"/>
        <v/>
      </c>
      <c r="M421" s="540" t="str">
        <f t="shared" si="40"/>
        <v/>
      </c>
      <c r="N421" s="540" t="str">
        <f t="shared" si="43"/>
        <v/>
      </c>
      <c r="O421" s="538" t="str">
        <f t="shared" si="41"/>
        <v/>
      </c>
      <c r="P421" s="540" t="str">
        <f t="shared" si="42"/>
        <v/>
      </c>
    </row>
    <row r="422" spans="1:16" s="483" customFormat="1" ht="18" hidden="1" customHeight="1" x14ac:dyDescent="0.25">
      <c r="A422" s="536" t="str">
        <f t="shared" si="32"/>
        <v/>
      </c>
      <c r="B422" s="537">
        <f>LARGE($B$15:$B$264,152)</f>
        <v>0</v>
      </c>
      <c r="C422" s="538" t="str">
        <f t="shared" si="33"/>
        <v/>
      </c>
      <c r="D422" s="1117" t="str">
        <f t="shared" si="34"/>
        <v/>
      </c>
      <c r="E422" s="1117"/>
      <c r="F422" s="1117"/>
      <c r="G422" s="538" t="str">
        <f t="shared" si="35"/>
        <v/>
      </c>
      <c r="H422" s="538" t="str">
        <f t="shared" si="36"/>
        <v/>
      </c>
      <c r="I422" s="1118" t="str">
        <f t="shared" si="37"/>
        <v/>
      </c>
      <c r="J422" s="1118"/>
      <c r="K422" s="539" t="str">
        <f t="shared" si="38"/>
        <v/>
      </c>
      <c r="L422" s="536" t="str">
        <f t="shared" si="39"/>
        <v/>
      </c>
      <c r="M422" s="540" t="str">
        <f t="shared" si="40"/>
        <v/>
      </c>
      <c r="N422" s="540" t="str">
        <f t="shared" si="43"/>
        <v/>
      </c>
      <c r="O422" s="538" t="str">
        <f t="shared" si="41"/>
        <v/>
      </c>
      <c r="P422" s="540" t="str">
        <f t="shared" si="42"/>
        <v/>
      </c>
    </row>
    <row r="423" spans="1:16" s="483" customFormat="1" ht="18" hidden="1" customHeight="1" x14ac:dyDescent="0.25">
      <c r="A423" s="536" t="str">
        <f t="shared" si="32"/>
        <v/>
      </c>
      <c r="B423" s="537">
        <f>LARGE($B$15:$B$264,153)</f>
        <v>0</v>
      </c>
      <c r="C423" s="538" t="str">
        <f t="shared" si="33"/>
        <v/>
      </c>
      <c r="D423" s="1117" t="str">
        <f t="shared" si="34"/>
        <v/>
      </c>
      <c r="E423" s="1117"/>
      <c r="F423" s="1117"/>
      <c r="G423" s="538" t="str">
        <f t="shared" si="35"/>
        <v/>
      </c>
      <c r="H423" s="538" t="str">
        <f t="shared" si="36"/>
        <v/>
      </c>
      <c r="I423" s="1118" t="str">
        <f t="shared" si="37"/>
        <v/>
      </c>
      <c r="J423" s="1118"/>
      <c r="K423" s="539" t="str">
        <f t="shared" si="38"/>
        <v/>
      </c>
      <c r="L423" s="536" t="str">
        <f t="shared" si="39"/>
        <v/>
      </c>
      <c r="M423" s="540" t="str">
        <f t="shared" si="40"/>
        <v/>
      </c>
      <c r="N423" s="540" t="str">
        <f t="shared" si="43"/>
        <v/>
      </c>
      <c r="O423" s="538" t="str">
        <f t="shared" si="41"/>
        <v/>
      </c>
      <c r="P423" s="540" t="str">
        <f t="shared" si="42"/>
        <v/>
      </c>
    </row>
    <row r="424" spans="1:16" s="483" customFormat="1" ht="18" hidden="1" customHeight="1" x14ac:dyDescent="0.25">
      <c r="A424" s="536" t="str">
        <f t="shared" si="32"/>
        <v/>
      </c>
      <c r="B424" s="537">
        <f>LARGE($B$15:$B$264,154)</f>
        <v>0</v>
      </c>
      <c r="C424" s="538" t="str">
        <f t="shared" si="33"/>
        <v/>
      </c>
      <c r="D424" s="1117" t="str">
        <f t="shared" si="34"/>
        <v/>
      </c>
      <c r="E424" s="1117"/>
      <c r="F424" s="1117"/>
      <c r="G424" s="538" t="str">
        <f t="shared" si="35"/>
        <v/>
      </c>
      <c r="H424" s="538" t="str">
        <f t="shared" si="36"/>
        <v/>
      </c>
      <c r="I424" s="1118" t="str">
        <f t="shared" si="37"/>
        <v/>
      </c>
      <c r="J424" s="1118"/>
      <c r="K424" s="539" t="str">
        <f t="shared" si="38"/>
        <v/>
      </c>
      <c r="L424" s="536" t="str">
        <f t="shared" si="39"/>
        <v/>
      </c>
      <c r="M424" s="540" t="str">
        <f t="shared" si="40"/>
        <v/>
      </c>
      <c r="N424" s="540" t="str">
        <f t="shared" si="43"/>
        <v/>
      </c>
      <c r="O424" s="538" t="str">
        <f t="shared" si="41"/>
        <v/>
      </c>
      <c r="P424" s="540" t="str">
        <f t="shared" si="42"/>
        <v/>
      </c>
    </row>
    <row r="425" spans="1:16" s="483" customFormat="1" ht="18" hidden="1" customHeight="1" x14ac:dyDescent="0.25">
      <c r="A425" s="536" t="str">
        <f t="shared" si="32"/>
        <v/>
      </c>
      <c r="B425" s="537">
        <f>LARGE($B$15:$B$264,155)</f>
        <v>0</v>
      </c>
      <c r="C425" s="538" t="str">
        <f t="shared" si="33"/>
        <v/>
      </c>
      <c r="D425" s="1117" t="str">
        <f t="shared" si="34"/>
        <v/>
      </c>
      <c r="E425" s="1117"/>
      <c r="F425" s="1117"/>
      <c r="G425" s="538" t="str">
        <f t="shared" si="35"/>
        <v/>
      </c>
      <c r="H425" s="538" t="str">
        <f t="shared" si="36"/>
        <v/>
      </c>
      <c r="I425" s="1118" t="str">
        <f t="shared" si="37"/>
        <v/>
      </c>
      <c r="J425" s="1118"/>
      <c r="K425" s="539" t="str">
        <f t="shared" si="38"/>
        <v/>
      </c>
      <c r="L425" s="536" t="str">
        <f t="shared" si="39"/>
        <v/>
      </c>
      <c r="M425" s="540" t="str">
        <f t="shared" si="40"/>
        <v/>
      </c>
      <c r="N425" s="540" t="str">
        <f t="shared" si="43"/>
        <v/>
      </c>
      <c r="O425" s="538" t="str">
        <f t="shared" si="41"/>
        <v/>
      </c>
      <c r="P425" s="540" t="str">
        <f t="shared" si="42"/>
        <v/>
      </c>
    </row>
    <row r="426" spans="1:16" s="483" customFormat="1" ht="18" hidden="1" customHeight="1" x14ac:dyDescent="0.25">
      <c r="A426" s="536" t="str">
        <f t="shared" si="32"/>
        <v/>
      </c>
      <c r="B426" s="537">
        <f>LARGE($B$15:$B$264,156)</f>
        <v>0</v>
      </c>
      <c r="C426" s="538" t="str">
        <f t="shared" si="33"/>
        <v/>
      </c>
      <c r="D426" s="1117" t="str">
        <f t="shared" si="34"/>
        <v/>
      </c>
      <c r="E426" s="1117"/>
      <c r="F426" s="1117"/>
      <c r="G426" s="538" t="str">
        <f t="shared" si="35"/>
        <v/>
      </c>
      <c r="H426" s="538" t="str">
        <f t="shared" si="36"/>
        <v/>
      </c>
      <c r="I426" s="1118" t="str">
        <f t="shared" si="37"/>
        <v/>
      </c>
      <c r="J426" s="1118"/>
      <c r="K426" s="539" t="str">
        <f t="shared" si="38"/>
        <v/>
      </c>
      <c r="L426" s="536" t="str">
        <f t="shared" si="39"/>
        <v/>
      </c>
      <c r="M426" s="540" t="str">
        <f t="shared" si="40"/>
        <v/>
      </c>
      <c r="N426" s="540" t="str">
        <f t="shared" si="43"/>
        <v/>
      </c>
      <c r="O426" s="538" t="str">
        <f t="shared" si="41"/>
        <v/>
      </c>
      <c r="P426" s="540" t="str">
        <f t="shared" si="42"/>
        <v/>
      </c>
    </row>
    <row r="427" spans="1:16" s="483" customFormat="1" ht="18" hidden="1" customHeight="1" x14ac:dyDescent="0.25">
      <c r="A427" s="536" t="str">
        <f t="shared" si="32"/>
        <v/>
      </c>
      <c r="B427" s="537">
        <f>LARGE($B$15:$B$264,157)</f>
        <v>0</v>
      </c>
      <c r="C427" s="538" t="str">
        <f t="shared" si="33"/>
        <v/>
      </c>
      <c r="D427" s="1117" t="str">
        <f t="shared" si="34"/>
        <v/>
      </c>
      <c r="E427" s="1117"/>
      <c r="F427" s="1117"/>
      <c r="G427" s="538" t="str">
        <f t="shared" si="35"/>
        <v/>
      </c>
      <c r="H427" s="538" t="str">
        <f t="shared" si="36"/>
        <v/>
      </c>
      <c r="I427" s="1118" t="str">
        <f t="shared" si="37"/>
        <v/>
      </c>
      <c r="J427" s="1118"/>
      <c r="K427" s="539" t="str">
        <f t="shared" si="38"/>
        <v/>
      </c>
      <c r="L427" s="536" t="str">
        <f t="shared" si="39"/>
        <v/>
      </c>
      <c r="M427" s="540" t="str">
        <f t="shared" si="40"/>
        <v/>
      </c>
      <c r="N427" s="540" t="str">
        <f t="shared" si="43"/>
        <v/>
      </c>
      <c r="O427" s="538" t="str">
        <f t="shared" si="41"/>
        <v/>
      </c>
      <c r="P427" s="540" t="str">
        <f t="shared" si="42"/>
        <v/>
      </c>
    </row>
    <row r="428" spans="1:16" s="483" customFormat="1" ht="18" hidden="1" customHeight="1" x14ac:dyDescent="0.25">
      <c r="A428" s="536" t="str">
        <f t="shared" si="32"/>
        <v/>
      </c>
      <c r="B428" s="537">
        <f>LARGE($B$15:$B$264,158)</f>
        <v>0</v>
      </c>
      <c r="C428" s="538" t="str">
        <f t="shared" si="33"/>
        <v/>
      </c>
      <c r="D428" s="1117" t="str">
        <f t="shared" si="34"/>
        <v/>
      </c>
      <c r="E428" s="1117"/>
      <c r="F428" s="1117"/>
      <c r="G428" s="538" t="str">
        <f t="shared" si="35"/>
        <v/>
      </c>
      <c r="H428" s="538" t="str">
        <f t="shared" si="36"/>
        <v/>
      </c>
      <c r="I428" s="1118" t="str">
        <f t="shared" si="37"/>
        <v/>
      </c>
      <c r="J428" s="1118"/>
      <c r="K428" s="539" t="str">
        <f t="shared" si="38"/>
        <v/>
      </c>
      <c r="L428" s="536" t="str">
        <f t="shared" si="39"/>
        <v/>
      </c>
      <c r="M428" s="540" t="str">
        <f t="shared" si="40"/>
        <v/>
      </c>
      <c r="N428" s="540" t="str">
        <f t="shared" si="43"/>
        <v/>
      </c>
      <c r="O428" s="538" t="str">
        <f t="shared" si="41"/>
        <v/>
      </c>
      <c r="P428" s="540" t="str">
        <f t="shared" si="42"/>
        <v/>
      </c>
    </row>
    <row r="429" spans="1:16" s="483" customFormat="1" ht="18" hidden="1" customHeight="1" x14ac:dyDescent="0.25">
      <c r="A429" s="536" t="str">
        <f t="shared" si="32"/>
        <v/>
      </c>
      <c r="B429" s="537">
        <f>LARGE($B$15:$B$264,159)</f>
        <v>0</v>
      </c>
      <c r="C429" s="538" t="str">
        <f t="shared" si="33"/>
        <v/>
      </c>
      <c r="D429" s="1117" t="str">
        <f t="shared" si="34"/>
        <v/>
      </c>
      <c r="E429" s="1117"/>
      <c r="F429" s="1117"/>
      <c r="G429" s="538" t="str">
        <f t="shared" si="35"/>
        <v/>
      </c>
      <c r="H429" s="538" t="str">
        <f t="shared" si="36"/>
        <v/>
      </c>
      <c r="I429" s="1118" t="str">
        <f t="shared" si="37"/>
        <v/>
      </c>
      <c r="J429" s="1118"/>
      <c r="K429" s="539" t="str">
        <f t="shared" si="38"/>
        <v/>
      </c>
      <c r="L429" s="536" t="str">
        <f t="shared" si="39"/>
        <v/>
      </c>
      <c r="M429" s="540" t="str">
        <f t="shared" si="40"/>
        <v/>
      </c>
      <c r="N429" s="540" t="str">
        <f t="shared" si="43"/>
        <v/>
      </c>
      <c r="O429" s="538" t="str">
        <f t="shared" si="41"/>
        <v/>
      </c>
      <c r="P429" s="540" t="str">
        <f t="shared" si="42"/>
        <v/>
      </c>
    </row>
    <row r="430" spans="1:16" s="483" customFormat="1" ht="18" hidden="1" customHeight="1" x14ac:dyDescent="0.25">
      <c r="A430" s="536" t="str">
        <f t="shared" si="32"/>
        <v/>
      </c>
      <c r="B430" s="537">
        <f>LARGE($B$15:$B$264,160)</f>
        <v>0</v>
      </c>
      <c r="C430" s="538" t="str">
        <f t="shared" si="33"/>
        <v/>
      </c>
      <c r="D430" s="1117" t="str">
        <f t="shared" si="34"/>
        <v/>
      </c>
      <c r="E430" s="1117"/>
      <c r="F430" s="1117"/>
      <c r="G430" s="538" t="str">
        <f t="shared" si="35"/>
        <v/>
      </c>
      <c r="H430" s="538" t="str">
        <f t="shared" si="36"/>
        <v/>
      </c>
      <c r="I430" s="1118" t="str">
        <f t="shared" si="37"/>
        <v/>
      </c>
      <c r="J430" s="1118"/>
      <c r="K430" s="539" t="str">
        <f t="shared" si="38"/>
        <v/>
      </c>
      <c r="L430" s="536" t="str">
        <f t="shared" si="39"/>
        <v/>
      </c>
      <c r="M430" s="540" t="str">
        <f t="shared" si="40"/>
        <v/>
      </c>
      <c r="N430" s="540" t="str">
        <f t="shared" si="43"/>
        <v/>
      </c>
      <c r="O430" s="538" t="str">
        <f t="shared" si="41"/>
        <v/>
      </c>
      <c r="P430" s="540" t="str">
        <f t="shared" si="42"/>
        <v/>
      </c>
    </row>
    <row r="431" spans="1:16" s="483" customFormat="1" ht="18" hidden="1" customHeight="1" x14ac:dyDescent="0.25">
      <c r="A431" s="536" t="str">
        <f t="shared" si="32"/>
        <v/>
      </c>
      <c r="B431" s="537">
        <f>LARGE($B$15:$B$264,161)</f>
        <v>0</v>
      </c>
      <c r="C431" s="538" t="str">
        <f t="shared" si="33"/>
        <v/>
      </c>
      <c r="D431" s="1117" t="str">
        <f t="shared" si="34"/>
        <v/>
      </c>
      <c r="E431" s="1117"/>
      <c r="F431" s="1117"/>
      <c r="G431" s="538" t="str">
        <f t="shared" si="35"/>
        <v/>
      </c>
      <c r="H431" s="538" t="str">
        <f t="shared" si="36"/>
        <v/>
      </c>
      <c r="I431" s="1118" t="str">
        <f t="shared" si="37"/>
        <v/>
      </c>
      <c r="J431" s="1118"/>
      <c r="K431" s="539" t="str">
        <f t="shared" si="38"/>
        <v/>
      </c>
      <c r="L431" s="536" t="str">
        <f t="shared" si="39"/>
        <v/>
      </c>
      <c r="M431" s="540" t="str">
        <f t="shared" si="40"/>
        <v/>
      </c>
      <c r="N431" s="540" t="str">
        <f t="shared" si="43"/>
        <v/>
      </c>
      <c r="O431" s="538" t="str">
        <f t="shared" si="41"/>
        <v/>
      </c>
      <c r="P431" s="540" t="str">
        <f t="shared" si="42"/>
        <v/>
      </c>
    </row>
    <row r="432" spans="1:16" s="483" customFormat="1" ht="18" hidden="1" customHeight="1" x14ac:dyDescent="0.25">
      <c r="A432" s="536" t="str">
        <f t="shared" si="32"/>
        <v/>
      </c>
      <c r="B432" s="537">
        <f>LARGE($B$15:$B$264,162)</f>
        <v>0</v>
      </c>
      <c r="C432" s="538" t="str">
        <f t="shared" si="33"/>
        <v/>
      </c>
      <c r="D432" s="1117" t="str">
        <f t="shared" si="34"/>
        <v/>
      </c>
      <c r="E432" s="1117"/>
      <c r="F432" s="1117"/>
      <c r="G432" s="538" t="str">
        <f t="shared" si="35"/>
        <v/>
      </c>
      <c r="H432" s="538" t="str">
        <f t="shared" si="36"/>
        <v/>
      </c>
      <c r="I432" s="1118" t="str">
        <f t="shared" si="37"/>
        <v/>
      </c>
      <c r="J432" s="1118"/>
      <c r="K432" s="539" t="str">
        <f t="shared" si="38"/>
        <v/>
      </c>
      <c r="L432" s="536" t="str">
        <f t="shared" si="39"/>
        <v/>
      </c>
      <c r="M432" s="540" t="str">
        <f t="shared" si="40"/>
        <v/>
      </c>
      <c r="N432" s="540" t="str">
        <f t="shared" si="43"/>
        <v/>
      </c>
      <c r="O432" s="538" t="str">
        <f t="shared" si="41"/>
        <v/>
      </c>
      <c r="P432" s="540" t="str">
        <f t="shared" si="42"/>
        <v/>
      </c>
    </row>
    <row r="433" spans="1:16" s="483" customFormat="1" ht="18" hidden="1" customHeight="1" x14ac:dyDescent="0.25">
      <c r="A433" s="536" t="str">
        <f t="shared" si="32"/>
        <v/>
      </c>
      <c r="B433" s="537">
        <f>LARGE($B$15:$B$264,163)</f>
        <v>0</v>
      </c>
      <c r="C433" s="538" t="str">
        <f t="shared" si="33"/>
        <v/>
      </c>
      <c r="D433" s="1117" t="str">
        <f t="shared" si="34"/>
        <v/>
      </c>
      <c r="E433" s="1117"/>
      <c r="F433" s="1117"/>
      <c r="G433" s="538" t="str">
        <f t="shared" si="35"/>
        <v/>
      </c>
      <c r="H433" s="538" t="str">
        <f t="shared" si="36"/>
        <v/>
      </c>
      <c r="I433" s="1118" t="str">
        <f t="shared" si="37"/>
        <v/>
      </c>
      <c r="J433" s="1118"/>
      <c r="K433" s="539" t="str">
        <f t="shared" si="38"/>
        <v/>
      </c>
      <c r="L433" s="536" t="str">
        <f t="shared" si="39"/>
        <v/>
      </c>
      <c r="M433" s="540" t="str">
        <f t="shared" si="40"/>
        <v/>
      </c>
      <c r="N433" s="540" t="str">
        <f t="shared" si="43"/>
        <v/>
      </c>
      <c r="O433" s="538" t="str">
        <f t="shared" si="41"/>
        <v/>
      </c>
      <c r="P433" s="540" t="str">
        <f t="shared" si="42"/>
        <v/>
      </c>
    </row>
    <row r="434" spans="1:16" s="483" customFormat="1" ht="18" hidden="1" customHeight="1" x14ac:dyDescent="0.25">
      <c r="A434" s="536" t="str">
        <f t="shared" si="32"/>
        <v/>
      </c>
      <c r="B434" s="537">
        <f>LARGE($B$15:$B$264,164)</f>
        <v>0</v>
      </c>
      <c r="C434" s="538" t="str">
        <f t="shared" si="33"/>
        <v/>
      </c>
      <c r="D434" s="1117" t="str">
        <f t="shared" si="34"/>
        <v/>
      </c>
      <c r="E434" s="1117"/>
      <c r="F434" s="1117"/>
      <c r="G434" s="538" t="str">
        <f t="shared" si="35"/>
        <v/>
      </c>
      <c r="H434" s="538" t="str">
        <f t="shared" si="36"/>
        <v/>
      </c>
      <c r="I434" s="1118" t="str">
        <f t="shared" si="37"/>
        <v/>
      </c>
      <c r="J434" s="1118"/>
      <c r="K434" s="539" t="str">
        <f t="shared" si="38"/>
        <v/>
      </c>
      <c r="L434" s="536" t="str">
        <f t="shared" si="39"/>
        <v/>
      </c>
      <c r="M434" s="540" t="str">
        <f t="shared" si="40"/>
        <v/>
      </c>
      <c r="N434" s="540" t="str">
        <f t="shared" si="43"/>
        <v/>
      </c>
      <c r="O434" s="538" t="str">
        <f t="shared" si="41"/>
        <v/>
      </c>
      <c r="P434" s="540" t="str">
        <f t="shared" si="42"/>
        <v/>
      </c>
    </row>
    <row r="435" spans="1:16" s="483" customFormat="1" ht="18" hidden="1" customHeight="1" x14ac:dyDescent="0.25">
      <c r="A435" s="536" t="str">
        <f t="shared" si="32"/>
        <v/>
      </c>
      <c r="B435" s="537">
        <f>LARGE($B$15:$B$264,165)</f>
        <v>0</v>
      </c>
      <c r="C435" s="538" t="str">
        <f t="shared" si="33"/>
        <v/>
      </c>
      <c r="D435" s="1117" t="str">
        <f t="shared" si="34"/>
        <v/>
      </c>
      <c r="E435" s="1117"/>
      <c r="F435" s="1117"/>
      <c r="G435" s="538" t="str">
        <f t="shared" si="35"/>
        <v/>
      </c>
      <c r="H435" s="538" t="str">
        <f t="shared" si="36"/>
        <v/>
      </c>
      <c r="I435" s="1118" t="str">
        <f t="shared" si="37"/>
        <v/>
      </c>
      <c r="J435" s="1118"/>
      <c r="K435" s="539" t="str">
        <f t="shared" si="38"/>
        <v/>
      </c>
      <c r="L435" s="536" t="str">
        <f t="shared" si="39"/>
        <v/>
      </c>
      <c r="M435" s="540" t="str">
        <f t="shared" si="40"/>
        <v/>
      </c>
      <c r="N435" s="540" t="str">
        <f t="shared" si="43"/>
        <v/>
      </c>
      <c r="O435" s="538" t="str">
        <f t="shared" si="41"/>
        <v/>
      </c>
      <c r="P435" s="540" t="str">
        <f t="shared" si="42"/>
        <v/>
      </c>
    </row>
    <row r="436" spans="1:16" s="483" customFormat="1" ht="18" hidden="1" customHeight="1" x14ac:dyDescent="0.25">
      <c r="A436" s="536" t="str">
        <f t="shared" si="32"/>
        <v/>
      </c>
      <c r="B436" s="537">
        <f>LARGE($B$15:$B$264,166)</f>
        <v>0</v>
      </c>
      <c r="C436" s="538" t="str">
        <f t="shared" si="33"/>
        <v/>
      </c>
      <c r="D436" s="1117" t="str">
        <f t="shared" si="34"/>
        <v/>
      </c>
      <c r="E436" s="1117"/>
      <c r="F436" s="1117"/>
      <c r="G436" s="538" t="str">
        <f t="shared" si="35"/>
        <v/>
      </c>
      <c r="H436" s="538" t="str">
        <f t="shared" si="36"/>
        <v/>
      </c>
      <c r="I436" s="1118" t="str">
        <f t="shared" si="37"/>
        <v/>
      </c>
      <c r="J436" s="1118"/>
      <c r="K436" s="539" t="str">
        <f t="shared" si="38"/>
        <v/>
      </c>
      <c r="L436" s="536" t="str">
        <f t="shared" si="39"/>
        <v/>
      </c>
      <c r="M436" s="540" t="str">
        <f t="shared" si="40"/>
        <v/>
      </c>
      <c r="N436" s="540" t="str">
        <f t="shared" si="43"/>
        <v/>
      </c>
      <c r="O436" s="538" t="str">
        <f t="shared" si="41"/>
        <v/>
      </c>
      <c r="P436" s="540" t="str">
        <f t="shared" si="42"/>
        <v/>
      </c>
    </row>
    <row r="437" spans="1:16" s="483" customFormat="1" ht="18" hidden="1" customHeight="1" x14ac:dyDescent="0.25">
      <c r="A437" s="536" t="str">
        <f t="shared" si="32"/>
        <v/>
      </c>
      <c r="B437" s="537">
        <f>LARGE($B$15:$B$264,167)</f>
        <v>0</v>
      </c>
      <c r="C437" s="538" t="str">
        <f t="shared" si="33"/>
        <v/>
      </c>
      <c r="D437" s="1117" t="str">
        <f t="shared" si="34"/>
        <v/>
      </c>
      <c r="E437" s="1117"/>
      <c r="F437" s="1117"/>
      <c r="G437" s="538" t="str">
        <f t="shared" si="35"/>
        <v/>
      </c>
      <c r="H437" s="538" t="str">
        <f t="shared" si="36"/>
        <v/>
      </c>
      <c r="I437" s="1118" t="str">
        <f t="shared" si="37"/>
        <v/>
      </c>
      <c r="J437" s="1118"/>
      <c r="K437" s="539" t="str">
        <f t="shared" si="38"/>
        <v/>
      </c>
      <c r="L437" s="536" t="str">
        <f t="shared" si="39"/>
        <v/>
      </c>
      <c r="M437" s="540" t="str">
        <f t="shared" si="40"/>
        <v/>
      </c>
      <c r="N437" s="540" t="str">
        <f t="shared" si="43"/>
        <v/>
      </c>
      <c r="O437" s="538" t="str">
        <f t="shared" si="41"/>
        <v/>
      </c>
      <c r="P437" s="540" t="str">
        <f t="shared" si="42"/>
        <v/>
      </c>
    </row>
    <row r="438" spans="1:16" s="483" customFormat="1" ht="18" hidden="1" customHeight="1" x14ac:dyDescent="0.25">
      <c r="A438" s="536" t="str">
        <f t="shared" si="32"/>
        <v/>
      </c>
      <c r="B438" s="537">
        <f>LARGE($B$15:$B$264,168)</f>
        <v>0</v>
      </c>
      <c r="C438" s="538" t="str">
        <f t="shared" si="33"/>
        <v/>
      </c>
      <c r="D438" s="1117" t="str">
        <f t="shared" si="34"/>
        <v/>
      </c>
      <c r="E438" s="1117"/>
      <c r="F438" s="1117"/>
      <c r="G438" s="538" t="str">
        <f t="shared" si="35"/>
        <v/>
      </c>
      <c r="H438" s="538" t="str">
        <f t="shared" si="36"/>
        <v/>
      </c>
      <c r="I438" s="1118" t="str">
        <f t="shared" si="37"/>
        <v/>
      </c>
      <c r="J438" s="1118"/>
      <c r="K438" s="539" t="str">
        <f t="shared" si="38"/>
        <v/>
      </c>
      <c r="L438" s="536" t="str">
        <f t="shared" si="39"/>
        <v/>
      </c>
      <c r="M438" s="540" t="str">
        <f t="shared" si="40"/>
        <v/>
      </c>
      <c r="N438" s="540" t="str">
        <f t="shared" si="43"/>
        <v/>
      </c>
      <c r="O438" s="538" t="str">
        <f t="shared" si="41"/>
        <v/>
      </c>
      <c r="P438" s="540" t="str">
        <f t="shared" si="42"/>
        <v/>
      </c>
    </row>
    <row r="439" spans="1:16" s="483" customFormat="1" ht="18" hidden="1" customHeight="1" x14ac:dyDescent="0.25">
      <c r="A439" s="536" t="str">
        <f t="shared" si="32"/>
        <v/>
      </c>
      <c r="B439" s="537">
        <f>LARGE($B$15:$B$264,169)</f>
        <v>0</v>
      </c>
      <c r="C439" s="538" t="str">
        <f t="shared" si="33"/>
        <v/>
      </c>
      <c r="D439" s="1117" t="str">
        <f t="shared" si="34"/>
        <v/>
      </c>
      <c r="E439" s="1117"/>
      <c r="F439" s="1117"/>
      <c r="G439" s="538" t="str">
        <f t="shared" si="35"/>
        <v/>
      </c>
      <c r="H439" s="538" t="str">
        <f t="shared" si="36"/>
        <v/>
      </c>
      <c r="I439" s="1118" t="str">
        <f t="shared" si="37"/>
        <v/>
      </c>
      <c r="J439" s="1118"/>
      <c r="K439" s="539" t="str">
        <f t="shared" si="38"/>
        <v/>
      </c>
      <c r="L439" s="536" t="str">
        <f t="shared" si="39"/>
        <v/>
      </c>
      <c r="M439" s="540" t="str">
        <f t="shared" si="40"/>
        <v/>
      </c>
      <c r="N439" s="540" t="str">
        <f t="shared" si="43"/>
        <v/>
      </c>
      <c r="O439" s="538" t="str">
        <f t="shared" si="41"/>
        <v/>
      </c>
      <c r="P439" s="540" t="str">
        <f t="shared" si="42"/>
        <v/>
      </c>
    </row>
    <row r="440" spans="1:16" s="483" customFormat="1" ht="18" hidden="1" customHeight="1" x14ac:dyDescent="0.25">
      <c r="A440" s="536" t="str">
        <f t="shared" si="32"/>
        <v/>
      </c>
      <c r="B440" s="537">
        <f>LARGE($B$15:$B$264,170)</f>
        <v>0</v>
      </c>
      <c r="C440" s="538" t="str">
        <f t="shared" si="33"/>
        <v/>
      </c>
      <c r="D440" s="1117" t="str">
        <f t="shared" si="34"/>
        <v/>
      </c>
      <c r="E440" s="1117"/>
      <c r="F440" s="1117"/>
      <c r="G440" s="538" t="str">
        <f t="shared" si="35"/>
        <v/>
      </c>
      <c r="H440" s="538" t="str">
        <f t="shared" si="36"/>
        <v/>
      </c>
      <c r="I440" s="1118" t="str">
        <f t="shared" si="37"/>
        <v/>
      </c>
      <c r="J440" s="1118"/>
      <c r="K440" s="539" t="str">
        <f t="shared" si="38"/>
        <v/>
      </c>
      <c r="L440" s="536" t="str">
        <f t="shared" si="39"/>
        <v/>
      </c>
      <c r="M440" s="540" t="str">
        <f t="shared" si="40"/>
        <v/>
      </c>
      <c r="N440" s="540" t="str">
        <f t="shared" si="43"/>
        <v/>
      </c>
      <c r="O440" s="538" t="str">
        <f t="shared" si="41"/>
        <v/>
      </c>
      <c r="P440" s="540" t="str">
        <f t="shared" si="42"/>
        <v/>
      </c>
    </row>
    <row r="441" spans="1:16" s="483" customFormat="1" ht="18" hidden="1" customHeight="1" x14ac:dyDescent="0.25">
      <c r="A441" s="536" t="str">
        <f t="shared" si="32"/>
        <v/>
      </c>
      <c r="B441" s="537">
        <f>LARGE($B$15:$B$264,171)</f>
        <v>0</v>
      </c>
      <c r="C441" s="538" t="str">
        <f t="shared" si="33"/>
        <v/>
      </c>
      <c r="D441" s="1117" t="str">
        <f t="shared" si="34"/>
        <v/>
      </c>
      <c r="E441" s="1117"/>
      <c r="F441" s="1117"/>
      <c r="G441" s="538" t="str">
        <f t="shared" si="35"/>
        <v/>
      </c>
      <c r="H441" s="538" t="str">
        <f t="shared" si="36"/>
        <v/>
      </c>
      <c r="I441" s="1118" t="str">
        <f t="shared" si="37"/>
        <v/>
      </c>
      <c r="J441" s="1118"/>
      <c r="K441" s="539" t="str">
        <f t="shared" si="38"/>
        <v/>
      </c>
      <c r="L441" s="536" t="str">
        <f t="shared" si="39"/>
        <v/>
      </c>
      <c r="M441" s="540" t="str">
        <f t="shared" si="40"/>
        <v/>
      </c>
      <c r="N441" s="540" t="str">
        <f t="shared" si="43"/>
        <v/>
      </c>
      <c r="O441" s="538" t="str">
        <f t="shared" si="41"/>
        <v/>
      </c>
      <c r="P441" s="540" t="str">
        <f t="shared" si="42"/>
        <v/>
      </c>
    </row>
    <row r="442" spans="1:16" s="483" customFormat="1" ht="18" hidden="1" customHeight="1" x14ac:dyDescent="0.25">
      <c r="A442" s="536" t="str">
        <f t="shared" si="32"/>
        <v/>
      </c>
      <c r="B442" s="537">
        <f>LARGE($B$15:$B$264,172)</f>
        <v>0</v>
      </c>
      <c r="C442" s="538" t="str">
        <f t="shared" si="33"/>
        <v/>
      </c>
      <c r="D442" s="1117" t="str">
        <f t="shared" si="34"/>
        <v/>
      </c>
      <c r="E442" s="1117"/>
      <c r="F442" s="1117"/>
      <c r="G442" s="538" t="str">
        <f t="shared" si="35"/>
        <v/>
      </c>
      <c r="H442" s="538" t="str">
        <f t="shared" si="36"/>
        <v/>
      </c>
      <c r="I442" s="1118" t="str">
        <f t="shared" si="37"/>
        <v/>
      </c>
      <c r="J442" s="1118"/>
      <c r="K442" s="539" t="str">
        <f t="shared" si="38"/>
        <v/>
      </c>
      <c r="L442" s="536" t="str">
        <f t="shared" si="39"/>
        <v/>
      </c>
      <c r="M442" s="540" t="str">
        <f t="shared" si="40"/>
        <v/>
      </c>
      <c r="N442" s="540" t="str">
        <f t="shared" si="43"/>
        <v/>
      </c>
      <c r="O442" s="538" t="str">
        <f t="shared" si="41"/>
        <v/>
      </c>
      <c r="P442" s="540" t="str">
        <f t="shared" si="42"/>
        <v/>
      </c>
    </row>
    <row r="443" spans="1:16" s="483" customFormat="1" ht="18" hidden="1" customHeight="1" x14ac:dyDescent="0.25">
      <c r="A443" s="536" t="str">
        <f t="shared" si="32"/>
        <v/>
      </c>
      <c r="B443" s="537">
        <f>LARGE($B$15:$B$264,173)</f>
        <v>0</v>
      </c>
      <c r="C443" s="538" t="str">
        <f t="shared" si="33"/>
        <v/>
      </c>
      <c r="D443" s="1117" t="str">
        <f t="shared" si="34"/>
        <v/>
      </c>
      <c r="E443" s="1117"/>
      <c r="F443" s="1117"/>
      <c r="G443" s="538" t="str">
        <f t="shared" si="35"/>
        <v/>
      </c>
      <c r="H443" s="538" t="str">
        <f t="shared" si="36"/>
        <v/>
      </c>
      <c r="I443" s="1118" t="str">
        <f t="shared" si="37"/>
        <v/>
      </c>
      <c r="J443" s="1118"/>
      <c r="K443" s="539" t="str">
        <f t="shared" si="38"/>
        <v/>
      </c>
      <c r="L443" s="536" t="str">
        <f t="shared" si="39"/>
        <v/>
      </c>
      <c r="M443" s="540" t="str">
        <f t="shared" si="40"/>
        <v/>
      </c>
      <c r="N443" s="540" t="str">
        <f t="shared" si="43"/>
        <v/>
      </c>
      <c r="O443" s="538" t="str">
        <f t="shared" si="41"/>
        <v/>
      </c>
      <c r="P443" s="540" t="str">
        <f t="shared" si="42"/>
        <v/>
      </c>
    </row>
    <row r="444" spans="1:16" s="483" customFormat="1" ht="18" hidden="1" customHeight="1" x14ac:dyDescent="0.25">
      <c r="A444" s="536" t="str">
        <f t="shared" si="32"/>
        <v/>
      </c>
      <c r="B444" s="537">
        <f>LARGE($B$15:$B$264,174)</f>
        <v>0</v>
      </c>
      <c r="C444" s="538" t="str">
        <f t="shared" si="33"/>
        <v/>
      </c>
      <c r="D444" s="1117" t="str">
        <f t="shared" si="34"/>
        <v/>
      </c>
      <c r="E444" s="1117"/>
      <c r="F444" s="1117"/>
      <c r="G444" s="538" t="str">
        <f t="shared" si="35"/>
        <v/>
      </c>
      <c r="H444" s="538" t="str">
        <f t="shared" si="36"/>
        <v/>
      </c>
      <c r="I444" s="1118" t="str">
        <f t="shared" si="37"/>
        <v/>
      </c>
      <c r="J444" s="1118"/>
      <c r="K444" s="539" t="str">
        <f t="shared" si="38"/>
        <v/>
      </c>
      <c r="L444" s="536" t="str">
        <f t="shared" si="39"/>
        <v/>
      </c>
      <c r="M444" s="540" t="str">
        <f t="shared" si="40"/>
        <v/>
      </c>
      <c r="N444" s="540" t="str">
        <f t="shared" si="43"/>
        <v/>
      </c>
      <c r="O444" s="538" t="str">
        <f t="shared" si="41"/>
        <v/>
      </c>
      <c r="P444" s="540" t="str">
        <f t="shared" si="42"/>
        <v/>
      </c>
    </row>
    <row r="445" spans="1:16" s="483" customFormat="1" ht="18" hidden="1" customHeight="1" x14ac:dyDescent="0.25">
      <c r="A445" s="536" t="str">
        <f t="shared" si="32"/>
        <v/>
      </c>
      <c r="B445" s="537">
        <f>LARGE($B$15:$B$264,175)</f>
        <v>0</v>
      </c>
      <c r="C445" s="538" t="str">
        <f t="shared" si="33"/>
        <v/>
      </c>
      <c r="D445" s="1117" t="str">
        <f t="shared" si="34"/>
        <v/>
      </c>
      <c r="E445" s="1117"/>
      <c r="F445" s="1117"/>
      <c r="G445" s="538" t="str">
        <f t="shared" si="35"/>
        <v/>
      </c>
      <c r="H445" s="538" t="str">
        <f t="shared" si="36"/>
        <v/>
      </c>
      <c r="I445" s="1118" t="str">
        <f t="shared" si="37"/>
        <v/>
      </c>
      <c r="J445" s="1118"/>
      <c r="K445" s="539" t="str">
        <f t="shared" si="38"/>
        <v/>
      </c>
      <c r="L445" s="536" t="str">
        <f t="shared" si="39"/>
        <v/>
      </c>
      <c r="M445" s="540" t="str">
        <f t="shared" si="40"/>
        <v/>
      </c>
      <c r="N445" s="540" t="str">
        <f t="shared" si="43"/>
        <v/>
      </c>
      <c r="O445" s="538" t="str">
        <f t="shared" si="41"/>
        <v/>
      </c>
      <c r="P445" s="540" t="str">
        <f t="shared" si="42"/>
        <v/>
      </c>
    </row>
    <row r="446" spans="1:16" s="483" customFormat="1" ht="18" hidden="1" customHeight="1" x14ac:dyDescent="0.25">
      <c r="A446" s="536" t="str">
        <f t="shared" si="32"/>
        <v/>
      </c>
      <c r="B446" s="537">
        <f>LARGE($B$15:$B$264,176)</f>
        <v>0</v>
      </c>
      <c r="C446" s="538" t="str">
        <f t="shared" si="33"/>
        <v/>
      </c>
      <c r="D446" s="1117" t="str">
        <f t="shared" si="34"/>
        <v/>
      </c>
      <c r="E446" s="1117"/>
      <c r="F446" s="1117"/>
      <c r="G446" s="538" t="str">
        <f t="shared" si="35"/>
        <v/>
      </c>
      <c r="H446" s="538" t="str">
        <f t="shared" si="36"/>
        <v/>
      </c>
      <c r="I446" s="1118" t="str">
        <f t="shared" si="37"/>
        <v/>
      </c>
      <c r="J446" s="1118"/>
      <c r="K446" s="539" t="str">
        <f t="shared" si="38"/>
        <v/>
      </c>
      <c r="L446" s="536" t="str">
        <f t="shared" si="39"/>
        <v/>
      </c>
      <c r="M446" s="540" t="str">
        <f t="shared" si="40"/>
        <v/>
      </c>
      <c r="N446" s="540" t="str">
        <f t="shared" si="43"/>
        <v/>
      </c>
      <c r="O446" s="538" t="str">
        <f t="shared" si="41"/>
        <v/>
      </c>
      <c r="P446" s="540" t="str">
        <f t="shared" si="42"/>
        <v/>
      </c>
    </row>
    <row r="447" spans="1:16" s="483" customFormat="1" ht="18" hidden="1" customHeight="1" x14ac:dyDescent="0.25">
      <c r="A447" s="536" t="str">
        <f t="shared" si="32"/>
        <v/>
      </c>
      <c r="B447" s="537">
        <f>LARGE($B$15:$B$264,177)</f>
        <v>0</v>
      </c>
      <c r="C447" s="538" t="str">
        <f t="shared" si="33"/>
        <v/>
      </c>
      <c r="D447" s="1117" t="str">
        <f t="shared" si="34"/>
        <v/>
      </c>
      <c r="E447" s="1117"/>
      <c r="F447" s="1117"/>
      <c r="G447" s="538" t="str">
        <f t="shared" si="35"/>
        <v/>
      </c>
      <c r="H447" s="538" t="str">
        <f t="shared" si="36"/>
        <v/>
      </c>
      <c r="I447" s="1118" t="str">
        <f t="shared" si="37"/>
        <v/>
      </c>
      <c r="J447" s="1118"/>
      <c r="K447" s="539" t="str">
        <f t="shared" si="38"/>
        <v/>
      </c>
      <c r="L447" s="536" t="str">
        <f t="shared" si="39"/>
        <v/>
      </c>
      <c r="M447" s="540" t="str">
        <f t="shared" si="40"/>
        <v/>
      </c>
      <c r="N447" s="540" t="str">
        <f t="shared" si="43"/>
        <v/>
      </c>
      <c r="O447" s="538" t="str">
        <f t="shared" si="41"/>
        <v/>
      </c>
      <c r="P447" s="540" t="str">
        <f t="shared" si="42"/>
        <v/>
      </c>
    </row>
    <row r="448" spans="1:16" s="483" customFormat="1" ht="18" hidden="1" customHeight="1" x14ac:dyDescent="0.25">
      <c r="A448" s="536" t="str">
        <f t="shared" si="32"/>
        <v/>
      </c>
      <c r="B448" s="537">
        <f>LARGE($B$15:$B$264,178)</f>
        <v>0</v>
      </c>
      <c r="C448" s="538" t="str">
        <f t="shared" si="33"/>
        <v/>
      </c>
      <c r="D448" s="1117" t="str">
        <f t="shared" si="34"/>
        <v/>
      </c>
      <c r="E448" s="1117"/>
      <c r="F448" s="1117"/>
      <c r="G448" s="538" t="str">
        <f t="shared" si="35"/>
        <v/>
      </c>
      <c r="H448" s="538" t="str">
        <f t="shared" si="36"/>
        <v/>
      </c>
      <c r="I448" s="1118" t="str">
        <f t="shared" si="37"/>
        <v/>
      </c>
      <c r="J448" s="1118"/>
      <c r="K448" s="539" t="str">
        <f t="shared" si="38"/>
        <v/>
      </c>
      <c r="L448" s="536" t="str">
        <f t="shared" si="39"/>
        <v/>
      </c>
      <c r="M448" s="540" t="str">
        <f t="shared" si="40"/>
        <v/>
      </c>
      <c r="N448" s="540" t="str">
        <f t="shared" si="43"/>
        <v/>
      </c>
      <c r="O448" s="538" t="str">
        <f t="shared" si="41"/>
        <v/>
      </c>
      <c r="P448" s="540" t="str">
        <f t="shared" si="42"/>
        <v/>
      </c>
    </row>
    <row r="449" spans="1:16" s="483" customFormat="1" ht="18" hidden="1" customHeight="1" x14ac:dyDescent="0.25">
      <c r="A449" s="536" t="str">
        <f t="shared" si="32"/>
        <v/>
      </c>
      <c r="B449" s="537">
        <f>LARGE($B$15:$B$264,179)</f>
        <v>0</v>
      </c>
      <c r="C449" s="538" t="str">
        <f t="shared" si="33"/>
        <v/>
      </c>
      <c r="D449" s="1117" t="str">
        <f t="shared" si="34"/>
        <v/>
      </c>
      <c r="E449" s="1117"/>
      <c r="F449" s="1117"/>
      <c r="G449" s="538" t="str">
        <f t="shared" si="35"/>
        <v/>
      </c>
      <c r="H449" s="538" t="str">
        <f t="shared" si="36"/>
        <v/>
      </c>
      <c r="I449" s="1118" t="str">
        <f t="shared" si="37"/>
        <v/>
      </c>
      <c r="J449" s="1118"/>
      <c r="K449" s="539" t="str">
        <f t="shared" si="38"/>
        <v/>
      </c>
      <c r="L449" s="536" t="str">
        <f t="shared" si="39"/>
        <v/>
      </c>
      <c r="M449" s="540" t="str">
        <f t="shared" si="40"/>
        <v/>
      </c>
      <c r="N449" s="540" t="str">
        <f t="shared" si="43"/>
        <v/>
      </c>
      <c r="O449" s="538" t="str">
        <f t="shared" si="41"/>
        <v/>
      </c>
      <c r="P449" s="540" t="str">
        <f t="shared" si="42"/>
        <v/>
      </c>
    </row>
    <row r="450" spans="1:16" s="483" customFormat="1" ht="18" hidden="1" customHeight="1" x14ac:dyDescent="0.25">
      <c r="A450" s="536" t="str">
        <f t="shared" si="32"/>
        <v/>
      </c>
      <c r="B450" s="537">
        <f>LARGE($B$15:$B$264,180)</f>
        <v>0</v>
      </c>
      <c r="C450" s="538" t="str">
        <f t="shared" si="33"/>
        <v/>
      </c>
      <c r="D450" s="1117" t="str">
        <f t="shared" si="34"/>
        <v/>
      </c>
      <c r="E450" s="1117"/>
      <c r="F450" s="1117"/>
      <c r="G450" s="538" t="str">
        <f t="shared" si="35"/>
        <v/>
      </c>
      <c r="H450" s="538" t="str">
        <f t="shared" si="36"/>
        <v/>
      </c>
      <c r="I450" s="1118" t="str">
        <f t="shared" si="37"/>
        <v/>
      </c>
      <c r="J450" s="1118"/>
      <c r="K450" s="539" t="str">
        <f t="shared" si="38"/>
        <v/>
      </c>
      <c r="L450" s="536" t="str">
        <f t="shared" si="39"/>
        <v/>
      </c>
      <c r="M450" s="540" t="str">
        <f t="shared" si="40"/>
        <v/>
      </c>
      <c r="N450" s="540" t="str">
        <f t="shared" si="43"/>
        <v/>
      </c>
      <c r="O450" s="538" t="str">
        <f t="shared" si="41"/>
        <v/>
      </c>
      <c r="P450" s="540" t="str">
        <f t="shared" si="42"/>
        <v/>
      </c>
    </row>
    <row r="451" spans="1:16" s="483" customFormat="1" ht="18" hidden="1" customHeight="1" x14ac:dyDescent="0.25">
      <c r="A451" s="536" t="str">
        <f t="shared" si="32"/>
        <v/>
      </c>
      <c r="B451" s="537">
        <f>LARGE($B$15:$B$264,181)</f>
        <v>0</v>
      </c>
      <c r="C451" s="538" t="str">
        <f t="shared" si="33"/>
        <v/>
      </c>
      <c r="D451" s="1117" t="str">
        <f t="shared" si="34"/>
        <v/>
      </c>
      <c r="E451" s="1117"/>
      <c r="F451" s="1117"/>
      <c r="G451" s="538" t="str">
        <f t="shared" si="35"/>
        <v/>
      </c>
      <c r="H451" s="538" t="str">
        <f t="shared" si="36"/>
        <v/>
      </c>
      <c r="I451" s="1118" t="str">
        <f t="shared" si="37"/>
        <v/>
      </c>
      <c r="J451" s="1118"/>
      <c r="K451" s="539" t="str">
        <f t="shared" si="38"/>
        <v/>
      </c>
      <c r="L451" s="536" t="str">
        <f t="shared" si="39"/>
        <v/>
      </c>
      <c r="M451" s="540" t="str">
        <f t="shared" si="40"/>
        <v/>
      </c>
      <c r="N451" s="540" t="str">
        <f t="shared" si="43"/>
        <v/>
      </c>
      <c r="O451" s="538" t="str">
        <f t="shared" si="41"/>
        <v/>
      </c>
      <c r="P451" s="540" t="str">
        <f t="shared" si="42"/>
        <v/>
      </c>
    </row>
    <row r="452" spans="1:16" s="483" customFormat="1" ht="18" hidden="1" customHeight="1" x14ac:dyDescent="0.25">
      <c r="A452" s="536" t="str">
        <f t="shared" si="32"/>
        <v/>
      </c>
      <c r="B452" s="537">
        <f>LARGE($B$15:$B$264,182)</f>
        <v>0</v>
      </c>
      <c r="C452" s="538" t="str">
        <f t="shared" si="33"/>
        <v/>
      </c>
      <c r="D452" s="1117" t="str">
        <f t="shared" si="34"/>
        <v/>
      </c>
      <c r="E452" s="1117"/>
      <c r="F452" s="1117"/>
      <c r="G452" s="538" t="str">
        <f t="shared" si="35"/>
        <v/>
      </c>
      <c r="H452" s="538" t="str">
        <f t="shared" si="36"/>
        <v/>
      </c>
      <c r="I452" s="1118" t="str">
        <f t="shared" si="37"/>
        <v/>
      </c>
      <c r="J452" s="1118"/>
      <c r="K452" s="539" t="str">
        <f t="shared" si="38"/>
        <v/>
      </c>
      <c r="L452" s="536" t="str">
        <f t="shared" si="39"/>
        <v/>
      </c>
      <c r="M452" s="540" t="str">
        <f t="shared" si="40"/>
        <v/>
      </c>
      <c r="N452" s="540" t="str">
        <f t="shared" si="43"/>
        <v/>
      </c>
      <c r="O452" s="538" t="str">
        <f t="shared" si="41"/>
        <v/>
      </c>
      <c r="P452" s="540" t="str">
        <f t="shared" si="42"/>
        <v/>
      </c>
    </row>
    <row r="453" spans="1:16" s="483" customFormat="1" ht="18" hidden="1" customHeight="1" x14ac:dyDescent="0.25">
      <c r="A453" s="536" t="str">
        <f t="shared" si="32"/>
        <v/>
      </c>
      <c r="B453" s="537">
        <f>LARGE($B$15:$B$264,183)</f>
        <v>0</v>
      </c>
      <c r="C453" s="538" t="str">
        <f t="shared" si="33"/>
        <v/>
      </c>
      <c r="D453" s="1117" t="str">
        <f t="shared" si="34"/>
        <v/>
      </c>
      <c r="E453" s="1117"/>
      <c r="F453" s="1117"/>
      <c r="G453" s="538" t="str">
        <f t="shared" si="35"/>
        <v/>
      </c>
      <c r="H453" s="538" t="str">
        <f t="shared" si="36"/>
        <v/>
      </c>
      <c r="I453" s="1118" t="str">
        <f t="shared" si="37"/>
        <v/>
      </c>
      <c r="J453" s="1118"/>
      <c r="K453" s="539" t="str">
        <f t="shared" si="38"/>
        <v/>
      </c>
      <c r="L453" s="536" t="str">
        <f t="shared" si="39"/>
        <v/>
      </c>
      <c r="M453" s="540" t="str">
        <f t="shared" si="40"/>
        <v/>
      </c>
      <c r="N453" s="540" t="str">
        <f t="shared" si="43"/>
        <v/>
      </c>
      <c r="O453" s="538" t="str">
        <f t="shared" si="41"/>
        <v/>
      </c>
      <c r="P453" s="540" t="str">
        <f t="shared" si="42"/>
        <v/>
      </c>
    </row>
    <row r="454" spans="1:16" s="483" customFormat="1" ht="18" hidden="1" customHeight="1" x14ac:dyDescent="0.25">
      <c r="A454" s="536" t="str">
        <f t="shared" si="32"/>
        <v/>
      </c>
      <c r="B454" s="537">
        <f>LARGE($B$15:$B$264,184)</f>
        <v>0</v>
      </c>
      <c r="C454" s="538" t="str">
        <f t="shared" si="33"/>
        <v/>
      </c>
      <c r="D454" s="1117" t="str">
        <f t="shared" si="34"/>
        <v/>
      </c>
      <c r="E454" s="1117"/>
      <c r="F454" s="1117"/>
      <c r="G454" s="538" t="str">
        <f t="shared" si="35"/>
        <v/>
      </c>
      <c r="H454" s="538" t="str">
        <f t="shared" si="36"/>
        <v/>
      </c>
      <c r="I454" s="1118" t="str">
        <f t="shared" si="37"/>
        <v/>
      </c>
      <c r="J454" s="1118"/>
      <c r="K454" s="539" t="str">
        <f t="shared" si="38"/>
        <v/>
      </c>
      <c r="L454" s="536" t="str">
        <f t="shared" si="39"/>
        <v/>
      </c>
      <c r="M454" s="540" t="str">
        <f t="shared" si="40"/>
        <v/>
      </c>
      <c r="N454" s="540" t="str">
        <f t="shared" si="43"/>
        <v/>
      </c>
      <c r="O454" s="538" t="str">
        <f t="shared" si="41"/>
        <v/>
      </c>
      <c r="P454" s="540" t="str">
        <f t="shared" si="42"/>
        <v/>
      </c>
    </row>
    <row r="455" spans="1:16" s="483" customFormat="1" ht="18" hidden="1" customHeight="1" x14ac:dyDescent="0.25">
      <c r="A455" s="536" t="str">
        <f t="shared" si="32"/>
        <v/>
      </c>
      <c r="B455" s="537">
        <f>LARGE($B$15:$B$264,185)</f>
        <v>0</v>
      </c>
      <c r="C455" s="538" t="str">
        <f t="shared" si="33"/>
        <v/>
      </c>
      <c r="D455" s="1117" t="str">
        <f t="shared" si="34"/>
        <v/>
      </c>
      <c r="E455" s="1117"/>
      <c r="F455" s="1117"/>
      <c r="G455" s="538" t="str">
        <f t="shared" si="35"/>
        <v/>
      </c>
      <c r="H455" s="538" t="str">
        <f t="shared" si="36"/>
        <v/>
      </c>
      <c r="I455" s="1118" t="str">
        <f t="shared" si="37"/>
        <v/>
      </c>
      <c r="J455" s="1118"/>
      <c r="K455" s="539" t="str">
        <f t="shared" si="38"/>
        <v/>
      </c>
      <c r="L455" s="536" t="str">
        <f t="shared" si="39"/>
        <v/>
      </c>
      <c r="M455" s="540" t="str">
        <f t="shared" si="40"/>
        <v/>
      </c>
      <c r="N455" s="540" t="str">
        <f t="shared" si="43"/>
        <v/>
      </c>
      <c r="O455" s="538" t="str">
        <f t="shared" si="41"/>
        <v/>
      </c>
      <c r="P455" s="540" t="str">
        <f t="shared" si="42"/>
        <v/>
      </c>
    </row>
    <row r="456" spans="1:16" s="483" customFormat="1" ht="18" hidden="1" customHeight="1" x14ac:dyDescent="0.25">
      <c r="A456" s="536" t="str">
        <f t="shared" si="32"/>
        <v/>
      </c>
      <c r="B456" s="537">
        <f>LARGE($B$15:$B$264,186)</f>
        <v>0</v>
      </c>
      <c r="C456" s="538" t="str">
        <f t="shared" si="33"/>
        <v/>
      </c>
      <c r="D456" s="1117" t="str">
        <f t="shared" si="34"/>
        <v/>
      </c>
      <c r="E456" s="1117"/>
      <c r="F456" s="1117"/>
      <c r="G456" s="538" t="str">
        <f t="shared" si="35"/>
        <v/>
      </c>
      <c r="H456" s="538" t="str">
        <f t="shared" si="36"/>
        <v/>
      </c>
      <c r="I456" s="1118" t="str">
        <f t="shared" si="37"/>
        <v/>
      </c>
      <c r="J456" s="1118"/>
      <c r="K456" s="539" t="str">
        <f t="shared" si="38"/>
        <v/>
      </c>
      <c r="L456" s="536" t="str">
        <f t="shared" si="39"/>
        <v/>
      </c>
      <c r="M456" s="540" t="str">
        <f t="shared" si="40"/>
        <v/>
      </c>
      <c r="N456" s="540" t="str">
        <f t="shared" si="43"/>
        <v/>
      </c>
      <c r="O456" s="538" t="str">
        <f t="shared" si="41"/>
        <v/>
      </c>
      <c r="P456" s="540" t="str">
        <f t="shared" si="42"/>
        <v/>
      </c>
    </row>
    <row r="457" spans="1:16" s="483" customFormat="1" ht="18" hidden="1" customHeight="1" x14ac:dyDescent="0.25">
      <c r="A457" s="536" t="str">
        <f t="shared" si="32"/>
        <v/>
      </c>
      <c r="B457" s="537">
        <f>LARGE($B$15:$B$264,187)</f>
        <v>0</v>
      </c>
      <c r="C457" s="538" t="str">
        <f t="shared" si="33"/>
        <v/>
      </c>
      <c r="D457" s="1117" t="str">
        <f t="shared" si="34"/>
        <v/>
      </c>
      <c r="E457" s="1117"/>
      <c r="F457" s="1117"/>
      <c r="G457" s="538" t="str">
        <f t="shared" si="35"/>
        <v/>
      </c>
      <c r="H457" s="538" t="str">
        <f t="shared" si="36"/>
        <v/>
      </c>
      <c r="I457" s="1118" t="str">
        <f t="shared" si="37"/>
        <v/>
      </c>
      <c r="J457" s="1118"/>
      <c r="K457" s="539" t="str">
        <f t="shared" si="38"/>
        <v/>
      </c>
      <c r="L457" s="536" t="str">
        <f t="shared" si="39"/>
        <v/>
      </c>
      <c r="M457" s="540" t="str">
        <f t="shared" si="40"/>
        <v/>
      </c>
      <c r="N457" s="540" t="str">
        <f t="shared" si="43"/>
        <v/>
      </c>
      <c r="O457" s="538" t="str">
        <f t="shared" si="41"/>
        <v/>
      </c>
      <c r="P457" s="540" t="str">
        <f t="shared" si="42"/>
        <v/>
      </c>
    </row>
    <row r="458" spans="1:16" s="483" customFormat="1" ht="18" hidden="1" customHeight="1" x14ac:dyDescent="0.25">
      <c r="A458" s="536" t="str">
        <f t="shared" si="32"/>
        <v/>
      </c>
      <c r="B458" s="537">
        <f>LARGE($B$15:$B$264,188)</f>
        <v>0</v>
      </c>
      <c r="C458" s="538" t="str">
        <f t="shared" si="33"/>
        <v/>
      </c>
      <c r="D458" s="1117" t="str">
        <f t="shared" si="34"/>
        <v/>
      </c>
      <c r="E458" s="1117"/>
      <c r="F458" s="1117"/>
      <c r="G458" s="538" t="str">
        <f t="shared" si="35"/>
        <v/>
      </c>
      <c r="H458" s="538" t="str">
        <f t="shared" si="36"/>
        <v/>
      </c>
      <c r="I458" s="1118" t="str">
        <f t="shared" si="37"/>
        <v/>
      </c>
      <c r="J458" s="1118"/>
      <c r="K458" s="539" t="str">
        <f t="shared" si="38"/>
        <v/>
      </c>
      <c r="L458" s="536" t="str">
        <f t="shared" si="39"/>
        <v/>
      </c>
      <c r="M458" s="540" t="str">
        <f t="shared" si="40"/>
        <v/>
      </c>
      <c r="N458" s="540" t="str">
        <f t="shared" si="43"/>
        <v/>
      </c>
      <c r="O458" s="538" t="str">
        <f t="shared" si="41"/>
        <v/>
      </c>
      <c r="P458" s="540" t="str">
        <f t="shared" si="42"/>
        <v/>
      </c>
    </row>
    <row r="459" spans="1:16" s="483" customFormat="1" ht="18" hidden="1" customHeight="1" x14ac:dyDescent="0.25">
      <c r="A459" s="536" t="str">
        <f t="shared" si="32"/>
        <v/>
      </c>
      <c r="B459" s="537">
        <f>LARGE($B$15:$B$264,189)</f>
        <v>0</v>
      </c>
      <c r="C459" s="538" t="str">
        <f t="shared" si="33"/>
        <v/>
      </c>
      <c r="D459" s="1117" t="str">
        <f t="shared" si="34"/>
        <v/>
      </c>
      <c r="E459" s="1117"/>
      <c r="F459" s="1117"/>
      <c r="G459" s="538" t="str">
        <f t="shared" si="35"/>
        <v/>
      </c>
      <c r="H459" s="538" t="str">
        <f t="shared" si="36"/>
        <v/>
      </c>
      <c r="I459" s="1118" t="str">
        <f t="shared" si="37"/>
        <v/>
      </c>
      <c r="J459" s="1118"/>
      <c r="K459" s="539" t="str">
        <f t="shared" si="38"/>
        <v/>
      </c>
      <c r="L459" s="536" t="str">
        <f t="shared" si="39"/>
        <v/>
      </c>
      <c r="M459" s="540" t="str">
        <f t="shared" si="40"/>
        <v/>
      </c>
      <c r="N459" s="540" t="str">
        <f t="shared" si="43"/>
        <v/>
      </c>
      <c r="O459" s="538" t="str">
        <f t="shared" si="41"/>
        <v/>
      </c>
      <c r="P459" s="540" t="str">
        <f t="shared" si="42"/>
        <v/>
      </c>
    </row>
    <row r="460" spans="1:16" s="483" customFormat="1" ht="18" hidden="1" customHeight="1" x14ac:dyDescent="0.25">
      <c r="A460" s="536" t="str">
        <f t="shared" si="32"/>
        <v/>
      </c>
      <c r="B460" s="537">
        <f>LARGE($B$15:$B$264,190)</f>
        <v>0</v>
      </c>
      <c r="C460" s="538" t="str">
        <f t="shared" si="33"/>
        <v/>
      </c>
      <c r="D460" s="1117" t="str">
        <f t="shared" si="34"/>
        <v/>
      </c>
      <c r="E460" s="1117"/>
      <c r="F460" s="1117"/>
      <c r="G460" s="538" t="str">
        <f t="shared" si="35"/>
        <v/>
      </c>
      <c r="H460" s="538" t="str">
        <f t="shared" si="36"/>
        <v/>
      </c>
      <c r="I460" s="1118" t="str">
        <f t="shared" si="37"/>
        <v/>
      </c>
      <c r="J460" s="1118"/>
      <c r="K460" s="539" t="str">
        <f t="shared" si="38"/>
        <v/>
      </c>
      <c r="L460" s="536" t="str">
        <f t="shared" si="39"/>
        <v/>
      </c>
      <c r="M460" s="540" t="str">
        <f t="shared" si="40"/>
        <v/>
      </c>
      <c r="N460" s="540" t="str">
        <f t="shared" si="43"/>
        <v/>
      </c>
      <c r="O460" s="538" t="str">
        <f t="shared" si="41"/>
        <v/>
      </c>
      <c r="P460" s="540" t="str">
        <f t="shared" si="42"/>
        <v/>
      </c>
    </row>
    <row r="461" spans="1:16" s="483" customFormat="1" ht="18" hidden="1" customHeight="1" x14ac:dyDescent="0.25">
      <c r="A461" s="536" t="str">
        <f t="shared" si="32"/>
        <v/>
      </c>
      <c r="B461" s="537">
        <f>LARGE($B$15:$B$264,191)</f>
        <v>0</v>
      </c>
      <c r="C461" s="538" t="str">
        <f t="shared" si="33"/>
        <v/>
      </c>
      <c r="D461" s="1117" t="str">
        <f t="shared" si="34"/>
        <v/>
      </c>
      <c r="E461" s="1117"/>
      <c r="F461" s="1117"/>
      <c r="G461" s="538" t="str">
        <f t="shared" si="35"/>
        <v/>
      </c>
      <c r="H461" s="538" t="str">
        <f t="shared" si="36"/>
        <v/>
      </c>
      <c r="I461" s="1118" t="str">
        <f t="shared" si="37"/>
        <v/>
      </c>
      <c r="J461" s="1118"/>
      <c r="K461" s="539" t="str">
        <f t="shared" si="38"/>
        <v/>
      </c>
      <c r="L461" s="536" t="str">
        <f t="shared" si="39"/>
        <v/>
      </c>
      <c r="M461" s="540" t="str">
        <f t="shared" si="40"/>
        <v/>
      </c>
      <c r="N461" s="540" t="str">
        <f t="shared" si="43"/>
        <v/>
      </c>
      <c r="O461" s="538" t="str">
        <f t="shared" si="41"/>
        <v/>
      </c>
      <c r="P461" s="540" t="str">
        <f t="shared" si="42"/>
        <v/>
      </c>
    </row>
    <row r="462" spans="1:16" s="483" customFormat="1" ht="18" hidden="1" customHeight="1" x14ac:dyDescent="0.25">
      <c r="A462" s="536" t="str">
        <f t="shared" si="32"/>
        <v/>
      </c>
      <c r="B462" s="537">
        <f>LARGE($B$15:$B$264,192)</f>
        <v>0</v>
      </c>
      <c r="C462" s="538" t="str">
        <f t="shared" si="33"/>
        <v/>
      </c>
      <c r="D462" s="1117" t="str">
        <f t="shared" si="34"/>
        <v/>
      </c>
      <c r="E462" s="1117"/>
      <c r="F462" s="1117"/>
      <c r="G462" s="538" t="str">
        <f t="shared" si="35"/>
        <v/>
      </c>
      <c r="H462" s="538" t="str">
        <f t="shared" si="36"/>
        <v/>
      </c>
      <c r="I462" s="1118" t="str">
        <f t="shared" si="37"/>
        <v/>
      </c>
      <c r="J462" s="1118"/>
      <c r="K462" s="539" t="str">
        <f t="shared" si="38"/>
        <v/>
      </c>
      <c r="L462" s="536" t="str">
        <f t="shared" si="39"/>
        <v/>
      </c>
      <c r="M462" s="540" t="str">
        <f t="shared" si="40"/>
        <v/>
      </c>
      <c r="N462" s="540" t="str">
        <f t="shared" si="43"/>
        <v/>
      </c>
      <c r="O462" s="538" t="str">
        <f t="shared" si="41"/>
        <v/>
      </c>
      <c r="P462" s="540" t="str">
        <f t="shared" si="42"/>
        <v/>
      </c>
    </row>
    <row r="463" spans="1:16" s="483" customFormat="1" ht="18" hidden="1" customHeight="1" x14ac:dyDescent="0.25">
      <c r="A463" s="536" t="str">
        <f t="shared" ref="A463:A520" si="44">P463</f>
        <v/>
      </c>
      <c r="B463" s="537">
        <f>LARGE($B$15:$B$264,193)</f>
        <v>0</v>
      </c>
      <c r="C463" s="538" t="str">
        <f t="shared" ref="C463:C526" si="45">IFERROR(IF(B463=0,"",VLOOKUP(B463,$B$15:$J$264,2,FALSE())),"")</f>
        <v/>
      </c>
      <c r="D463" s="1117" t="str">
        <f t="shared" ref="D463:D471" si="46">IFERROR(IF(B463=0,"",VLOOKUP(B463,$B$15:$J$264,3,FALSE())),"")</f>
        <v/>
      </c>
      <c r="E463" s="1117"/>
      <c r="F463" s="1117"/>
      <c r="G463" s="538" t="str">
        <f t="shared" ref="G463:G471" si="47">IFERROR(IF(B463=0,"",VLOOKUP(B463,$B$15:$J$264,6,FALSE())),"")</f>
        <v/>
      </c>
      <c r="H463" s="538" t="str">
        <f t="shared" ref="H463:H471" si="48">IFERROR(IF(B463=0,"",VLOOKUP(B463,$B$15:$J$264,7,FALSE())),"")</f>
        <v/>
      </c>
      <c r="I463" s="1118" t="str">
        <f t="shared" ref="I463:I520" si="49">IF(B463=0,"",VLOOKUP(B463,$B$15:$J$264,8,FALSE()))</f>
        <v/>
      </c>
      <c r="J463" s="1118"/>
      <c r="K463" s="539" t="str">
        <f t="shared" ref="K463:K520" si="50">IF(B463=0,"",H463*I463)</f>
        <v/>
      </c>
      <c r="L463" s="536" t="str">
        <f t="shared" ref="L463:L520" si="51">O463</f>
        <v/>
      </c>
      <c r="M463" s="540" t="str">
        <f t="shared" ref="M463:M520" si="52">IF(B463=0,"",B463)</f>
        <v/>
      </c>
      <c r="N463" s="540" t="str">
        <f t="shared" si="43"/>
        <v/>
      </c>
      <c r="O463" s="538" t="str">
        <f t="shared" ref="O463:O526" si="53">IF(B463=0,"",(IF(N463&lt;80%,"Si","No")))</f>
        <v/>
      </c>
      <c r="P463" s="540" t="str">
        <f t="shared" ref="P463:P520" si="54">IF(B463=0,"",(IF(M463=$M$521,"Si",(IF(M463&gt;$M$521,"Si","No")))))</f>
        <v/>
      </c>
    </row>
    <row r="464" spans="1:16" s="483" customFormat="1" ht="18" hidden="1" customHeight="1" x14ac:dyDescent="0.25">
      <c r="A464" s="536" t="str">
        <f t="shared" si="44"/>
        <v/>
      </c>
      <c r="B464" s="537">
        <f>LARGE($B$15:$B$264,194)</f>
        <v>0</v>
      </c>
      <c r="C464" s="538" t="str">
        <f t="shared" si="45"/>
        <v/>
      </c>
      <c r="D464" s="1117" t="str">
        <f t="shared" si="46"/>
        <v/>
      </c>
      <c r="E464" s="1117"/>
      <c r="F464" s="1117"/>
      <c r="G464" s="538" t="str">
        <f t="shared" si="47"/>
        <v/>
      </c>
      <c r="H464" s="538" t="str">
        <f t="shared" si="48"/>
        <v/>
      </c>
      <c r="I464" s="1118" t="str">
        <f t="shared" si="49"/>
        <v/>
      </c>
      <c r="J464" s="1118"/>
      <c r="K464" s="539" t="str">
        <f t="shared" si="50"/>
        <v/>
      </c>
      <c r="L464" s="536" t="str">
        <f t="shared" si="51"/>
        <v/>
      </c>
      <c r="M464" s="540" t="str">
        <f t="shared" si="52"/>
        <v/>
      </c>
      <c r="N464" s="540" t="str">
        <f t="shared" ref="N464:N527" si="55">IF(B464=0,"",M464+N463)</f>
        <v/>
      </c>
      <c r="O464" s="538" t="str">
        <f t="shared" si="53"/>
        <v/>
      </c>
      <c r="P464" s="540" t="str">
        <f t="shared" si="54"/>
        <v/>
      </c>
    </row>
    <row r="465" spans="1:16" s="483" customFormat="1" ht="18" hidden="1" customHeight="1" x14ac:dyDescent="0.25">
      <c r="A465" s="536" t="str">
        <f t="shared" si="44"/>
        <v/>
      </c>
      <c r="B465" s="537">
        <f>LARGE($B$15:$B$264,195)</f>
        <v>0</v>
      </c>
      <c r="C465" s="538" t="str">
        <f t="shared" si="45"/>
        <v/>
      </c>
      <c r="D465" s="1117" t="str">
        <f t="shared" si="46"/>
        <v/>
      </c>
      <c r="E465" s="1117"/>
      <c r="F465" s="1117"/>
      <c r="G465" s="538" t="str">
        <f t="shared" si="47"/>
        <v/>
      </c>
      <c r="H465" s="538" t="str">
        <f t="shared" si="48"/>
        <v/>
      </c>
      <c r="I465" s="1118" t="str">
        <f t="shared" si="49"/>
        <v/>
      </c>
      <c r="J465" s="1118"/>
      <c r="K465" s="539" t="str">
        <f t="shared" si="50"/>
        <v/>
      </c>
      <c r="L465" s="536" t="str">
        <f t="shared" si="51"/>
        <v/>
      </c>
      <c r="M465" s="540" t="str">
        <f t="shared" si="52"/>
        <v/>
      </c>
      <c r="N465" s="540" t="str">
        <f t="shared" si="55"/>
        <v/>
      </c>
      <c r="O465" s="538" t="str">
        <f t="shared" si="53"/>
        <v/>
      </c>
      <c r="P465" s="540" t="str">
        <f t="shared" si="54"/>
        <v/>
      </c>
    </row>
    <row r="466" spans="1:16" s="483" customFormat="1" ht="18" hidden="1" customHeight="1" x14ac:dyDescent="0.25">
      <c r="A466" s="536" t="str">
        <f t="shared" si="44"/>
        <v/>
      </c>
      <c r="B466" s="537">
        <f>LARGE($B$15:$B$264,196)</f>
        <v>0</v>
      </c>
      <c r="C466" s="538" t="str">
        <f t="shared" si="45"/>
        <v/>
      </c>
      <c r="D466" s="1117" t="str">
        <f t="shared" si="46"/>
        <v/>
      </c>
      <c r="E466" s="1117"/>
      <c r="F466" s="1117"/>
      <c r="G466" s="538" t="str">
        <f t="shared" si="47"/>
        <v/>
      </c>
      <c r="H466" s="538" t="str">
        <f t="shared" si="48"/>
        <v/>
      </c>
      <c r="I466" s="1118" t="str">
        <f t="shared" si="49"/>
        <v/>
      </c>
      <c r="J466" s="1118"/>
      <c r="K466" s="539" t="str">
        <f t="shared" si="50"/>
        <v/>
      </c>
      <c r="L466" s="536" t="str">
        <f t="shared" si="51"/>
        <v/>
      </c>
      <c r="M466" s="540" t="str">
        <f t="shared" si="52"/>
        <v/>
      </c>
      <c r="N466" s="540" t="str">
        <f t="shared" si="55"/>
        <v/>
      </c>
      <c r="O466" s="538" t="str">
        <f t="shared" si="53"/>
        <v/>
      </c>
      <c r="P466" s="540" t="str">
        <f t="shared" si="54"/>
        <v/>
      </c>
    </row>
    <row r="467" spans="1:16" s="483" customFormat="1" ht="18" hidden="1" customHeight="1" x14ac:dyDescent="0.25">
      <c r="A467" s="536" t="str">
        <f t="shared" si="44"/>
        <v/>
      </c>
      <c r="B467" s="537">
        <f>LARGE($B$15:$B$264,197)</f>
        <v>0</v>
      </c>
      <c r="C467" s="538" t="str">
        <f t="shared" si="45"/>
        <v/>
      </c>
      <c r="D467" s="1117" t="str">
        <f t="shared" si="46"/>
        <v/>
      </c>
      <c r="E467" s="1117"/>
      <c r="F467" s="1117"/>
      <c r="G467" s="538" t="str">
        <f t="shared" si="47"/>
        <v/>
      </c>
      <c r="H467" s="538" t="str">
        <f t="shared" si="48"/>
        <v/>
      </c>
      <c r="I467" s="1118" t="str">
        <f t="shared" si="49"/>
        <v/>
      </c>
      <c r="J467" s="1118"/>
      <c r="K467" s="539" t="str">
        <f t="shared" si="50"/>
        <v/>
      </c>
      <c r="L467" s="536" t="str">
        <f t="shared" si="51"/>
        <v/>
      </c>
      <c r="M467" s="540" t="str">
        <f t="shared" si="52"/>
        <v/>
      </c>
      <c r="N467" s="540" t="str">
        <f t="shared" si="55"/>
        <v/>
      </c>
      <c r="O467" s="538" t="str">
        <f t="shared" si="53"/>
        <v/>
      </c>
      <c r="P467" s="540" t="str">
        <f t="shared" si="54"/>
        <v/>
      </c>
    </row>
    <row r="468" spans="1:16" s="483" customFormat="1" ht="18" hidden="1" customHeight="1" x14ac:dyDescent="0.25">
      <c r="A468" s="536" t="str">
        <f t="shared" si="44"/>
        <v/>
      </c>
      <c r="B468" s="537">
        <f>LARGE($B$15:$B$264,198)</f>
        <v>0</v>
      </c>
      <c r="C468" s="538" t="str">
        <f t="shared" si="45"/>
        <v/>
      </c>
      <c r="D468" s="1117" t="str">
        <f t="shared" si="46"/>
        <v/>
      </c>
      <c r="E468" s="1117"/>
      <c r="F468" s="1117"/>
      <c r="G468" s="538" t="str">
        <f t="shared" si="47"/>
        <v/>
      </c>
      <c r="H468" s="538" t="str">
        <f t="shared" si="48"/>
        <v/>
      </c>
      <c r="I468" s="1118" t="str">
        <f t="shared" si="49"/>
        <v/>
      </c>
      <c r="J468" s="1118"/>
      <c r="K468" s="539" t="str">
        <f t="shared" si="50"/>
        <v/>
      </c>
      <c r="L468" s="536" t="str">
        <f t="shared" si="51"/>
        <v/>
      </c>
      <c r="M468" s="540" t="str">
        <f t="shared" si="52"/>
        <v/>
      </c>
      <c r="N468" s="540" t="str">
        <f t="shared" si="55"/>
        <v/>
      </c>
      <c r="O468" s="538" t="str">
        <f t="shared" si="53"/>
        <v/>
      </c>
      <c r="P468" s="540" t="str">
        <f t="shared" si="54"/>
        <v/>
      </c>
    </row>
    <row r="469" spans="1:16" s="483" customFormat="1" ht="18" hidden="1" customHeight="1" x14ac:dyDescent="0.25">
      <c r="A469" s="536" t="str">
        <f t="shared" si="44"/>
        <v/>
      </c>
      <c r="B469" s="537">
        <f>LARGE($B$15:$B$264,199)</f>
        <v>0</v>
      </c>
      <c r="C469" s="538" t="str">
        <f t="shared" si="45"/>
        <v/>
      </c>
      <c r="D469" s="1117" t="str">
        <f t="shared" si="46"/>
        <v/>
      </c>
      <c r="E469" s="1117"/>
      <c r="F469" s="1117"/>
      <c r="G469" s="538" t="str">
        <f t="shared" si="47"/>
        <v/>
      </c>
      <c r="H469" s="538" t="str">
        <f t="shared" si="48"/>
        <v/>
      </c>
      <c r="I469" s="1118" t="str">
        <f t="shared" si="49"/>
        <v/>
      </c>
      <c r="J469" s="1118"/>
      <c r="K469" s="539" t="str">
        <f t="shared" si="50"/>
        <v/>
      </c>
      <c r="L469" s="536" t="str">
        <f t="shared" si="51"/>
        <v/>
      </c>
      <c r="M469" s="540" t="str">
        <f t="shared" si="52"/>
        <v/>
      </c>
      <c r="N469" s="540" t="str">
        <f t="shared" si="55"/>
        <v/>
      </c>
      <c r="O469" s="538" t="str">
        <f t="shared" si="53"/>
        <v/>
      </c>
      <c r="P469" s="540" t="str">
        <f t="shared" si="54"/>
        <v/>
      </c>
    </row>
    <row r="470" spans="1:16" s="483" customFormat="1" ht="18" hidden="1" customHeight="1" x14ac:dyDescent="0.25">
      <c r="A470" s="536" t="str">
        <f t="shared" si="44"/>
        <v/>
      </c>
      <c r="B470" s="537">
        <f>LARGE($B$15:$B$264,200)</f>
        <v>0</v>
      </c>
      <c r="C470" s="538" t="str">
        <f t="shared" si="45"/>
        <v/>
      </c>
      <c r="D470" s="1117" t="str">
        <f t="shared" si="46"/>
        <v/>
      </c>
      <c r="E470" s="1117"/>
      <c r="F470" s="1117"/>
      <c r="G470" s="538" t="str">
        <f t="shared" si="47"/>
        <v/>
      </c>
      <c r="H470" s="538" t="str">
        <f t="shared" si="48"/>
        <v/>
      </c>
      <c r="I470" s="1118" t="str">
        <f t="shared" si="49"/>
        <v/>
      </c>
      <c r="J470" s="1118"/>
      <c r="K470" s="539" t="str">
        <f t="shared" si="50"/>
        <v/>
      </c>
      <c r="L470" s="536" t="str">
        <f t="shared" si="51"/>
        <v/>
      </c>
      <c r="M470" s="540" t="str">
        <f t="shared" si="52"/>
        <v/>
      </c>
      <c r="N470" s="540" t="str">
        <f t="shared" si="55"/>
        <v/>
      </c>
      <c r="O470" s="538" t="str">
        <f t="shared" si="53"/>
        <v/>
      </c>
      <c r="P470" s="540" t="str">
        <f t="shared" si="54"/>
        <v/>
      </c>
    </row>
    <row r="471" spans="1:16" s="483" customFormat="1" ht="18" hidden="1" customHeight="1" x14ac:dyDescent="0.25">
      <c r="A471" s="536" t="str">
        <f t="shared" si="44"/>
        <v/>
      </c>
      <c r="B471" s="537">
        <f>LARGE($B$15:$B$264,201)</f>
        <v>0</v>
      </c>
      <c r="C471" s="538" t="str">
        <f t="shared" si="45"/>
        <v/>
      </c>
      <c r="D471" s="1117" t="str">
        <f t="shared" si="46"/>
        <v/>
      </c>
      <c r="E471" s="1117"/>
      <c r="F471" s="1117"/>
      <c r="G471" s="538" t="str">
        <f t="shared" si="47"/>
        <v/>
      </c>
      <c r="H471" s="538" t="str">
        <f t="shared" si="48"/>
        <v/>
      </c>
      <c r="I471" s="1118" t="str">
        <f t="shared" si="49"/>
        <v/>
      </c>
      <c r="J471" s="1118"/>
      <c r="K471" s="539" t="str">
        <f t="shared" si="50"/>
        <v/>
      </c>
      <c r="L471" s="536" t="str">
        <f t="shared" si="51"/>
        <v/>
      </c>
      <c r="M471" s="540" t="str">
        <f t="shared" si="52"/>
        <v/>
      </c>
      <c r="N471" s="540" t="str">
        <f t="shared" si="55"/>
        <v/>
      </c>
      <c r="O471" s="538" t="str">
        <f t="shared" si="53"/>
        <v/>
      </c>
      <c r="P471" s="540" t="str">
        <f t="shared" si="54"/>
        <v/>
      </c>
    </row>
    <row r="472" spans="1:16" s="483" customFormat="1" ht="18" hidden="1" customHeight="1" x14ac:dyDescent="0.25">
      <c r="A472" s="536" t="str">
        <f t="shared" si="44"/>
        <v/>
      </c>
      <c r="B472" s="537">
        <f>LARGE($B$15:$B$264,202)</f>
        <v>0</v>
      </c>
      <c r="C472" s="538" t="str">
        <f t="shared" si="45"/>
        <v/>
      </c>
      <c r="D472" s="1117" t="str">
        <f t="shared" ref="D472:D503" si="56">IF(B472=0,"",VLOOKUP(B472,$B$15:$J$264,3,FALSE()))</f>
        <v/>
      </c>
      <c r="E472" s="1117"/>
      <c r="F472" s="1117"/>
      <c r="G472" s="538" t="str">
        <f t="shared" ref="G472:G503" si="57">IF(B472=0,"",VLOOKUP(B472,$B$15:$J$264,6,FALSE()))</f>
        <v/>
      </c>
      <c r="H472" s="538" t="str">
        <f t="shared" ref="H472:H503" si="58">IF(B472=0,"",VLOOKUP(B472,$B$15:$J$264,7,FALSE()))</f>
        <v/>
      </c>
      <c r="I472" s="1118" t="str">
        <f t="shared" si="49"/>
        <v/>
      </c>
      <c r="J472" s="1118"/>
      <c r="K472" s="539" t="str">
        <f t="shared" si="50"/>
        <v/>
      </c>
      <c r="L472" s="536" t="str">
        <f t="shared" si="51"/>
        <v/>
      </c>
      <c r="M472" s="540" t="str">
        <f t="shared" si="52"/>
        <v/>
      </c>
      <c r="N472" s="540" t="str">
        <f t="shared" si="55"/>
        <v/>
      </c>
      <c r="O472" s="538" t="str">
        <f t="shared" si="53"/>
        <v/>
      </c>
      <c r="P472" s="540" t="str">
        <f t="shared" si="54"/>
        <v/>
      </c>
    </row>
    <row r="473" spans="1:16" s="483" customFormat="1" ht="18" hidden="1" customHeight="1" x14ac:dyDescent="0.25">
      <c r="A473" s="536" t="str">
        <f t="shared" si="44"/>
        <v/>
      </c>
      <c r="B473" s="537">
        <f>LARGE($B$15:$B$264,203)</f>
        <v>0</v>
      </c>
      <c r="C473" s="538" t="str">
        <f t="shared" si="45"/>
        <v/>
      </c>
      <c r="D473" s="1117" t="str">
        <f t="shared" si="56"/>
        <v/>
      </c>
      <c r="E473" s="1117"/>
      <c r="F473" s="1117"/>
      <c r="G473" s="538" t="str">
        <f t="shared" si="57"/>
        <v/>
      </c>
      <c r="H473" s="538" t="str">
        <f t="shared" si="58"/>
        <v/>
      </c>
      <c r="I473" s="1118" t="str">
        <f t="shared" si="49"/>
        <v/>
      </c>
      <c r="J473" s="1118"/>
      <c r="K473" s="539" t="str">
        <f t="shared" si="50"/>
        <v/>
      </c>
      <c r="L473" s="536" t="str">
        <f t="shared" si="51"/>
        <v/>
      </c>
      <c r="M473" s="540" t="str">
        <f t="shared" si="52"/>
        <v/>
      </c>
      <c r="N473" s="540" t="str">
        <f t="shared" si="55"/>
        <v/>
      </c>
      <c r="O473" s="538" t="str">
        <f t="shared" si="53"/>
        <v/>
      </c>
      <c r="P473" s="540" t="str">
        <f t="shared" si="54"/>
        <v/>
      </c>
    </row>
    <row r="474" spans="1:16" s="483" customFormat="1" ht="18" hidden="1" customHeight="1" x14ac:dyDescent="0.25">
      <c r="A474" s="536" t="str">
        <f t="shared" si="44"/>
        <v/>
      </c>
      <c r="B474" s="537">
        <f>LARGE($B$15:$B$264,204)</f>
        <v>0</v>
      </c>
      <c r="C474" s="538" t="str">
        <f t="shared" si="45"/>
        <v/>
      </c>
      <c r="D474" s="1117" t="str">
        <f t="shared" si="56"/>
        <v/>
      </c>
      <c r="E474" s="1117"/>
      <c r="F474" s="1117"/>
      <c r="G474" s="538" t="str">
        <f t="shared" si="57"/>
        <v/>
      </c>
      <c r="H474" s="538" t="str">
        <f t="shared" si="58"/>
        <v/>
      </c>
      <c r="I474" s="1118" t="str">
        <f t="shared" si="49"/>
        <v/>
      </c>
      <c r="J474" s="1118"/>
      <c r="K474" s="539" t="str">
        <f t="shared" si="50"/>
        <v/>
      </c>
      <c r="L474" s="536" t="str">
        <f t="shared" si="51"/>
        <v/>
      </c>
      <c r="M474" s="540" t="str">
        <f t="shared" si="52"/>
        <v/>
      </c>
      <c r="N474" s="540" t="str">
        <f t="shared" si="55"/>
        <v/>
      </c>
      <c r="O474" s="538" t="str">
        <f t="shared" si="53"/>
        <v/>
      </c>
      <c r="P474" s="540" t="str">
        <f t="shared" si="54"/>
        <v/>
      </c>
    </row>
    <row r="475" spans="1:16" s="483" customFormat="1" ht="18" hidden="1" customHeight="1" x14ac:dyDescent="0.25">
      <c r="A475" s="536" t="str">
        <f t="shared" si="44"/>
        <v/>
      </c>
      <c r="B475" s="537">
        <f>LARGE($B$15:$B$264,205)</f>
        <v>0</v>
      </c>
      <c r="C475" s="538" t="str">
        <f t="shared" si="45"/>
        <v/>
      </c>
      <c r="D475" s="1117" t="str">
        <f t="shared" si="56"/>
        <v/>
      </c>
      <c r="E475" s="1117"/>
      <c r="F475" s="1117"/>
      <c r="G475" s="538" t="str">
        <f t="shared" si="57"/>
        <v/>
      </c>
      <c r="H475" s="538" t="str">
        <f t="shared" si="58"/>
        <v/>
      </c>
      <c r="I475" s="1118" t="str">
        <f t="shared" si="49"/>
        <v/>
      </c>
      <c r="J475" s="1118"/>
      <c r="K475" s="539" t="str">
        <f t="shared" si="50"/>
        <v/>
      </c>
      <c r="L475" s="536" t="str">
        <f t="shared" si="51"/>
        <v/>
      </c>
      <c r="M475" s="540" t="str">
        <f t="shared" si="52"/>
        <v/>
      </c>
      <c r="N475" s="540" t="str">
        <f t="shared" si="55"/>
        <v/>
      </c>
      <c r="O475" s="538" t="str">
        <f t="shared" si="53"/>
        <v/>
      </c>
      <c r="P475" s="540" t="str">
        <f t="shared" si="54"/>
        <v/>
      </c>
    </row>
    <row r="476" spans="1:16" s="483" customFormat="1" ht="18" hidden="1" customHeight="1" x14ac:dyDescent="0.25">
      <c r="A476" s="536" t="str">
        <f t="shared" si="44"/>
        <v/>
      </c>
      <c r="B476" s="537">
        <f>LARGE($B$15:$B$264,206)</f>
        <v>0</v>
      </c>
      <c r="C476" s="538" t="str">
        <f t="shared" si="45"/>
        <v/>
      </c>
      <c r="D476" s="1117" t="str">
        <f t="shared" si="56"/>
        <v/>
      </c>
      <c r="E476" s="1117"/>
      <c r="F476" s="1117"/>
      <c r="G476" s="538" t="str">
        <f t="shared" si="57"/>
        <v/>
      </c>
      <c r="H476" s="538" t="str">
        <f t="shared" si="58"/>
        <v/>
      </c>
      <c r="I476" s="1118" t="str">
        <f t="shared" si="49"/>
        <v/>
      </c>
      <c r="J476" s="1118"/>
      <c r="K476" s="539" t="str">
        <f t="shared" si="50"/>
        <v/>
      </c>
      <c r="L476" s="536" t="str">
        <f t="shared" si="51"/>
        <v/>
      </c>
      <c r="M476" s="540" t="str">
        <f t="shared" si="52"/>
        <v/>
      </c>
      <c r="N476" s="540" t="str">
        <f t="shared" si="55"/>
        <v/>
      </c>
      <c r="O476" s="538" t="str">
        <f t="shared" si="53"/>
        <v/>
      </c>
      <c r="P476" s="540" t="str">
        <f t="shared" si="54"/>
        <v/>
      </c>
    </row>
    <row r="477" spans="1:16" s="483" customFormat="1" ht="18" hidden="1" customHeight="1" x14ac:dyDescent="0.25">
      <c r="A477" s="536" t="str">
        <f t="shared" si="44"/>
        <v/>
      </c>
      <c r="B477" s="537">
        <f>LARGE($B$15:$B$264,207)</f>
        <v>0</v>
      </c>
      <c r="C477" s="538" t="str">
        <f t="shared" si="45"/>
        <v/>
      </c>
      <c r="D477" s="1117" t="str">
        <f t="shared" si="56"/>
        <v/>
      </c>
      <c r="E477" s="1117"/>
      <c r="F477" s="1117"/>
      <c r="G477" s="538" t="str">
        <f t="shared" si="57"/>
        <v/>
      </c>
      <c r="H477" s="538" t="str">
        <f t="shared" si="58"/>
        <v/>
      </c>
      <c r="I477" s="1118" t="str">
        <f t="shared" si="49"/>
        <v/>
      </c>
      <c r="J477" s="1118"/>
      <c r="K477" s="539" t="str">
        <f t="shared" si="50"/>
        <v/>
      </c>
      <c r="L477" s="536" t="str">
        <f t="shared" si="51"/>
        <v/>
      </c>
      <c r="M477" s="540" t="str">
        <f t="shared" si="52"/>
        <v/>
      </c>
      <c r="N477" s="540" t="str">
        <f t="shared" si="55"/>
        <v/>
      </c>
      <c r="O477" s="538" t="str">
        <f t="shared" si="53"/>
        <v/>
      </c>
      <c r="P477" s="540" t="str">
        <f t="shared" si="54"/>
        <v/>
      </c>
    </row>
    <row r="478" spans="1:16" s="483" customFormat="1" ht="18" hidden="1" customHeight="1" x14ac:dyDescent="0.25">
      <c r="A478" s="536" t="str">
        <f t="shared" si="44"/>
        <v/>
      </c>
      <c r="B478" s="537">
        <f>LARGE($B$15:$B$264,208)</f>
        <v>0</v>
      </c>
      <c r="C478" s="538" t="str">
        <f t="shared" si="45"/>
        <v/>
      </c>
      <c r="D478" s="1117" t="str">
        <f t="shared" si="56"/>
        <v/>
      </c>
      <c r="E478" s="1117"/>
      <c r="F478" s="1117"/>
      <c r="G478" s="538" t="str">
        <f t="shared" si="57"/>
        <v/>
      </c>
      <c r="H478" s="538" t="str">
        <f t="shared" si="58"/>
        <v/>
      </c>
      <c r="I478" s="1118" t="str">
        <f t="shared" si="49"/>
        <v/>
      </c>
      <c r="J478" s="1118"/>
      <c r="K478" s="539" t="str">
        <f t="shared" si="50"/>
        <v/>
      </c>
      <c r="L478" s="536" t="str">
        <f t="shared" si="51"/>
        <v/>
      </c>
      <c r="M478" s="540" t="str">
        <f t="shared" si="52"/>
        <v/>
      </c>
      <c r="N478" s="540" t="str">
        <f t="shared" si="55"/>
        <v/>
      </c>
      <c r="O478" s="538" t="str">
        <f t="shared" si="53"/>
        <v/>
      </c>
      <c r="P478" s="540" t="str">
        <f t="shared" si="54"/>
        <v/>
      </c>
    </row>
    <row r="479" spans="1:16" s="483" customFormat="1" ht="18" hidden="1" customHeight="1" x14ac:dyDescent="0.25">
      <c r="A479" s="536" t="str">
        <f t="shared" si="44"/>
        <v/>
      </c>
      <c r="B479" s="537">
        <f>LARGE($B$15:$B$264,209)</f>
        <v>0</v>
      </c>
      <c r="C479" s="538" t="str">
        <f t="shared" si="45"/>
        <v/>
      </c>
      <c r="D479" s="1117" t="str">
        <f t="shared" si="56"/>
        <v/>
      </c>
      <c r="E479" s="1117"/>
      <c r="F479" s="1117"/>
      <c r="G479" s="538" t="str">
        <f t="shared" si="57"/>
        <v/>
      </c>
      <c r="H479" s="538" t="str">
        <f t="shared" si="58"/>
        <v/>
      </c>
      <c r="I479" s="1118" t="str">
        <f t="shared" si="49"/>
        <v/>
      </c>
      <c r="J479" s="1118"/>
      <c r="K479" s="539" t="str">
        <f t="shared" si="50"/>
        <v/>
      </c>
      <c r="L479" s="536" t="str">
        <f t="shared" si="51"/>
        <v/>
      </c>
      <c r="M479" s="540" t="str">
        <f t="shared" si="52"/>
        <v/>
      </c>
      <c r="N479" s="540" t="str">
        <f t="shared" si="55"/>
        <v/>
      </c>
      <c r="O479" s="538" t="str">
        <f t="shared" si="53"/>
        <v/>
      </c>
      <c r="P479" s="540" t="str">
        <f t="shared" si="54"/>
        <v/>
      </c>
    </row>
    <row r="480" spans="1:16" s="483" customFormat="1" ht="18" hidden="1" customHeight="1" x14ac:dyDescent="0.25">
      <c r="A480" s="536" t="str">
        <f t="shared" si="44"/>
        <v/>
      </c>
      <c r="B480" s="537">
        <f>LARGE($B$15:$B$264,210)</f>
        <v>0</v>
      </c>
      <c r="C480" s="538" t="str">
        <f t="shared" si="45"/>
        <v/>
      </c>
      <c r="D480" s="1117" t="str">
        <f t="shared" si="56"/>
        <v/>
      </c>
      <c r="E480" s="1117"/>
      <c r="F480" s="1117"/>
      <c r="G480" s="538" t="str">
        <f t="shared" si="57"/>
        <v/>
      </c>
      <c r="H480" s="538" t="str">
        <f t="shared" si="58"/>
        <v/>
      </c>
      <c r="I480" s="1118" t="str">
        <f t="shared" si="49"/>
        <v/>
      </c>
      <c r="J480" s="1118"/>
      <c r="K480" s="539" t="str">
        <f t="shared" si="50"/>
        <v/>
      </c>
      <c r="L480" s="536" t="str">
        <f t="shared" si="51"/>
        <v/>
      </c>
      <c r="M480" s="540" t="str">
        <f t="shared" si="52"/>
        <v/>
      </c>
      <c r="N480" s="540" t="str">
        <f t="shared" si="55"/>
        <v/>
      </c>
      <c r="O480" s="538" t="str">
        <f t="shared" si="53"/>
        <v/>
      </c>
      <c r="P480" s="540" t="str">
        <f t="shared" si="54"/>
        <v/>
      </c>
    </row>
    <row r="481" spans="1:16" s="483" customFormat="1" ht="18" hidden="1" customHeight="1" x14ac:dyDescent="0.25">
      <c r="A481" s="536" t="str">
        <f t="shared" si="44"/>
        <v/>
      </c>
      <c r="B481" s="537">
        <f>LARGE($B$15:$B$264,211)</f>
        <v>0</v>
      </c>
      <c r="C481" s="538" t="str">
        <f t="shared" si="45"/>
        <v/>
      </c>
      <c r="D481" s="1117" t="str">
        <f t="shared" si="56"/>
        <v/>
      </c>
      <c r="E481" s="1117"/>
      <c r="F481" s="1117"/>
      <c r="G481" s="538" t="str">
        <f t="shared" si="57"/>
        <v/>
      </c>
      <c r="H481" s="538" t="str">
        <f t="shared" si="58"/>
        <v/>
      </c>
      <c r="I481" s="1118" t="str">
        <f t="shared" si="49"/>
        <v/>
      </c>
      <c r="J481" s="1118"/>
      <c r="K481" s="539" t="str">
        <f t="shared" si="50"/>
        <v/>
      </c>
      <c r="L481" s="536" t="str">
        <f t="shared" si="51"/>
        <v/>
      </c>
      <c r="M481" s="540" t="str">
        <f t="shared" si="52"/>
        <v/>
      </c>
      <c r="N481" s="540" t="str">
        <f t="shared" si="55"/>
        <v/>
      </c>
      <c r="O481" s="538" t="str">
        <f t="shared" si="53"/>
        <v/>
      </c>
      <c r="P481" s="540" t="str">
        <f t="shared" si="54"/>
        <v/>
      </c>
    </row>
    <row r="482" spans="1:16" s="483" customFormat="1" ht="18" hidden="1" customHeight="1" x14ac:dyDescent="0.25">
      <c r="A482" s="536" t="str">
        <f t="shared" si="44"/>
        <v/>
      </c>
      <c r="B482" s="537">
        <f>LARGE($B$15:$B$264,212)</f>
        <v>0</v>
      </c>
      <c r="C482" s="538" t="str">
        <f t="shared" si="45"/>
        <v/>
      </c>
      <c r="D482" s="1117" t="str">
        <f t="shared" si="56"/>
        <v/>
      </c>
      <c r="E482" s="1117"/>
      <c r="F482" s="1117"/>
      <c r="G482" s="538" t="str">
        <f t="shared" si="57"/>
        <v/>
      </c>
      <c r="H482" s="538" t="str">
        <f t="shared" si="58"/>
        <v/>
      </c>
      <c r="I482" s="1118" t="str">
        <f t="shared" si="49"/>
        <v/>
      </c>
      <c r="J482" s="1118"/>
      <c r="K482" s="539" t="str">
        <f t="shared" si="50"/>
        <v/>
      </c>
      <c r="L482" s="536" t="str">
        <f t="shared" si="51"/>
        <v/>
      </c>
      <c r="M482" s="540" t="str">
        <f t="shared" si="52"/>
        <v/>
      </c>
      <c r="N482" s="540" t="str">
        <f t="shared" si="55"/>
        <v/>
      </c>
      <c r="O482" s="538" t="str">
        <f t="shared" si="53"/>
        <v/>
      </c>
      <c r="P482" s="540" t="str">
        <f t="shared" si="54"/>
        <v/>
      </c>
    </row>
    <row r="483" spans="1:16" s="483" customFormat="1" ht="18" hidden="1" customHeight="1" x14ac:dyDescent="0.25">
      <c r="A483" s="536" t="str">
        <f t="shared" si="44"/>
        <v/>
      </c>
      <c r="B483" s="537">
        <f>LARGE($B$15:$B$264,213)</f>
        <v>0</v>
      </c>
      <c r="C483" s="538" t="str">
        <f t="shared" si="45"/>
        <v/>
      </c>
      <c r="D483" s="1117" t="str">
        <f t="shared" si="56"/>
        <v/>
      </c>
      <c r="E483" s="1117"/>
      <c r="F483" s="1117"/>
      <c r="G483" s="538" t="str">
        <f t="shared" si="57"/>
        <v/>
      </c>
      <c r="H483" s="538" t="str">
        <f t="shared" si="58"/>
        <v/>
      </c>
      <c r="I483" s="1118" t="str">
        <f t="shared" si="49"/>
        <v/>
      </c>
      <c r="J483" s="1118"/>
      <c r="K483" s="539" t="str">
        <f t="shared" si="50"/>
        <v/>
      </c>
      <c r="L483" s="536" t="str">
        <f t="shared" si="51"/>
        <v/>
      </c>
      <c r="M483" s="540" t="str">
        <f t="shared" si="52"/>
        <v/>
      </c>
      <c r="N483" s="540" t="str">
        <f t="shared" si="55"/>
        <v/>
      </c>
      <c r="O483" s="538" t="str">
        <f t="shared" si="53"/>
        <v/>
      </c>
      <c r="P483" s="540" t="str">
        <f t="shared" si="54"/>
        <v/>
      </c>
    </row>
    <row r="484" spans="1:16" s="483" customFormat="1" ht="18" hidden="1" customHeight="1" x14ac:dyDescent="0.25">
      <c r="A484" s="536" t="str">
        <f t="shared" si="44"/>
        <v/>
      </c>
      <c r="B484" s="537">
        <f>LARGE($B$15:$B$264,214)</f>
        <v>0</v>
      </c>
      <c r="C484" s="538" t="str">
        <f t="shared" si="45"/>
        <v/>
      </c>
      <c r="D484" s="1117" t="str">
        <f t="shared" si="56"/>
        <v/>
      </c>
      <c r="E484" s="1117"/>
      <c r="F484" s="1117"/>
      <c r="G484" s="538" t="str">
        <f t="shared" si="57"/>
        <v/>
      </c>
      <c r="H484" s="538" t="str">
        <f t="shared" si="58"/>
        <v/>
      </c>
      <c r="I484" s="1118" t="str">
        <f t="shared" si="49"/>
        <v/>
      </c>
      <c r="J484" s="1118"/>
      <c r="K484" s="539" t="str">
        <f t="shared" si="50"/>
        <v/>
      </c>
      <c r="L484" s="536" t="str">
        <f t="shared" si="51"/>
        <v/>
      </c>
      <c r="M484" s="540" t="str">
        <f t="shared" si="52"/>
        <v/>
      </c>
      <c r="N484" s="540" t="str">
        <f t="shared" si="55"/>
        <v/>
      </c>
      <c r="O484" s="538" t="str">
        <f t="shared" si="53"/>
        <v/>
      </c>
      <c r="P484" s="540" t="str">
        <f t="shared" si="54"/>
        <v/>
      </c>
    </row>
    <row r="485" spans="1:16" s="483" customFormat="1" ht="18" hidden="1" customHeight="1" x14ac:dyDescent="0.25">
      <c r="A485" s="536" t="str">
        <f t="shared" si="44"/>
        <v/>
      </c>
      <c r="B485" s="537">
        <f>LARGE($B$15:$B$264,215)</f>
        <v>0</v>
      </c>
      <c r="C485" s="538" t="str">
        <f t="shared" si="45"/>
        <v/>
      </c>
      <c r="D485" s="1117" t="str">
        <f t="shared" si="56"/>
        <v/>
      </c>
      <c r="E485" s="1117"/>
      <c r="F485" s="1117"/>
      <c r="G485" s="538" t="str">
        <f t="shared" si="57"/>
        <v/>
      </c>
      <c r="H485" s="538" t="str">
        <f t="shared" si="58"/>
        <v/>
      </c>
      <c r="I485" s="1118" t="str">
        <f t="shared" si="49"/>
        <v/>
      </c>
      <c r="J485" s="1118"/>
      <c r="K485" s="539" t="str">
        <f t="shared" si="50"/>
        <v/>
      </c>
      <c r="L485" s="536" t="str">
        <f t="shared" si="51"/>
        <v/>
      </c>
      <c r="M485" s="540" t="str">
        <f t="shared" si="52"/>
        <v/>
      </c>
      <c r="N485" s="540" t="str">
        <f t="shared" si="55"/>
        <v/>
      </c>
      <c r="O485" s="538" t="str">
        <f t="shared" si="53"/>
        <v/>
      </c>
      <c r="P485" s="540" t="str">
        <f t="shared" si="54"/>
        <v/>
      </c>
    </row>
    <row r="486" spans="1:16" s="483" customFormat="1" ht="18" hidden="1" customHeight="1" x14ac:dyDescent="0.25">
      <c r="A486" s="536" t="str">
        <f t="shared" si="44"/>
        <v/>
      </c>
      <c r="B486" s="537">
        <f>LARGE($B$15:$B$264,216)</f>
        <v>0</v>
      </c>
      <c r="C486" s="538" t="str">
        <f t="shared" si="45"/>
        <v/>
      </c>
      <c r="D486" s="1117" t="str">
        <f t="shared" si="56"/>
        <v/>
      </c>
      <c r="E486" s="1117"/>
      <c r="F486" s="1117"/>
      <c r="G486" s="538" t="str">
        <f t="shared" si="57"/>
        <v/>
      </c>
      <c r="H486" s="538" t="str">
        <f t="shared" si="58"/>
        <v/>
      </c>
      <c r="I486" s="1118" t="str">
        <f t="shared" si="49"/>
        <v/>
      </c>
      <c r="J486" s="1118"/>
      <c r="K486" s="539" t="str">
        <f t="shared" si="50"/>
        <v/>
      </c>
      <c r="L486" s="536" t="str">
        <f t="shared" si="51"/>
        <v/>
      </c>
      <c r="M486" s="540" t="str">
        <f t="shared" si="52"/>
        <v/>
      </c>
      <c r="N486" s="540" t="str">
        <f t="shared" si="55"/>
        <v/>
      </c>
      <c r="O486" s="538" t="str">
        <f t="shared" si="53"/>
        <v/>
      </c>
      <c r="P486" s="540" t="str">
        <f t="shared" si="54"/>
        <v/>
      </c>
    </row>
    <row r="487" spans="1:16" s="483" customFormat="1" ht="18" hidden="1" customHeight="1" x14ac:dyDescent="0.25">
      <c r="A487" s="536" t="str">
        <f t="shared" si="44"/>
        <v/>
      </c>
      <c r="B487" s="537">
        <f>LARGE($B$15:$B$264,217)</f>
        <v>0</v>
      </c>
      <c r="C487" s="538" t="str">
        <f t="shared" si="45"/>
        <v/>
      </c>
      <c r="D487" s="1117" t="str">
        <f t="shared" si="56"/>
        <v/>
      </c>
      <c r="E487" s="1117"/>
      <c r="F487" s="1117"/>
      <c r="G487" s="538" t="str">
        <f t="shared" si="57"/>
        <v/>
      </c>
      <c r="H487" s="538" t="str">
        <f t="shared" si="58"/>
        <v/>
      </c>
      <c r="I487" s="1118" t="str">
        <f t="shared" si="49"/>
        <v/>
      </c>
      <c r="J487" s="1118"/>
      <c r="K487" s="539" t="str">
        <f t="shared" si="50"/>
        <v/>
      </c>
      <c r="L487" s="536" t="str">
        <f t="shared" si="51"/>
        <v/>
      </c>
      <c r="M487" s="540" t="str">
        <f t="shared" si="52"/>
        <v/>
      </c>
      <c r="N487" s="540" t="str">
        <f t="shared" si="55"/>
        <v/>
      </c>
      <c r="O487" s="538" t="str">
        <f t="shared" si="53"/>
        <v/>
      </c>
      <c r="P487" s="540" t="str">
        <f t="shared" si="54"/>
        <v/>
      </c>
    </row>
    <row r="488" spans="1:16" s="483" customFormat="1" ht="18" hidden="1" customHeight="1" x14ac:dyDescent="0.25">
      <c r="A488" s="536" t="str">
        <f t="shared" si="44"/>
        <v/>
      </c>
      <c r="B488" s="537">
        <f>LARGE($B$15:$B$264,218)</f>
        <v>0</v>
      </c>
      <c r="C488" s="538" t="str">
        <f t="shared" si="45"/>
        <v/>
      </c>
      <c r="D488" s="1117" t="str">
        <f t="shared" si="56"/>
        <v/>
      </c>
      <c r="E488" s="1117"/>
      <c r="F488" s="1117"/>
      <c r="G488" s="538" t="str">
        <f t="shared" si="57"/>
        <v/>
      </c>
      <c r="H488" s="538" t="str">
        <f t="shared" si="58"/>
        <v/>
      </c>
      <c r="I488" s="1118" t="str">
        <f t="shared" si="49"/>
        <v/>
      </c>
      <c r="J488" s="1118"/>
      <c r="K488" s="539" t="str">
        <f t="shared" si="50"/>
        <v/>
      </c>
      <c r="L488" s="536" t="str">
        <f t="shared" si="51"/>
        <v/>
      </c>
      <c r="M488" s="540" t="str">
        <f t="shared" si="52"/>
        <v/>
      </c>
      <c r="N488" s="540" t="str">
        <f t="shared" si="55"/>
        <v/>
      </c>
      <c r="O488" s="538" t="str">
        <f t="shared" si="53"/>
        <v/>
      </c>
      <c r="P488" s="540" t="str">
        <f t="shared" si="54"/>
        <v/>
      </c>
    </row>
    <row r="489" spans="1:16" s="483" customFormat="1" ht="18" hidden="1" customHeight="1" x14ac:dyDescent="0.25">
      <c r="A489" s="536" t="str">
        <f t="shared" si="44"/>
        <v/>
      </c>
      <c r="B489" s="537">
        <f>LARGE($B$15:$B$264,219)</f>
        <v>0</v>
      </c>
      <c r="C489" s="538" t="str">
        <f t="shared" si="45"/>
        <v/>
      </c>
      <c r="D489" s="1117" t="str">
        <f t="shared" si="56"/>
        <v/>
      </c>
      <c r="E489" s="1117"/>
      <c r="F489" s="1117"/>
      <c r="G489" s="538" t="str">
        <f t="shared" si="57"/>
        <v/>
      </c>
      <c r="H489" s="538" t="str">
        <f t="shared" si="58"/>
        <v/>
      </c>
      <c r="I489" s="1118" t="str">
        <f t="shared" si="49"/>
        <v/>
      </c>
      <c r="J489" s="1118"/>
      <c r="K489" s="539" t="str">
        <f t="shared" si="50"/>
        <v/>
      </c>
      <c r="L489" s="536" t="str">
        <f t="shared" si="51"/>
        <v/>
      </c>
      <c r="M489" s="540" t="str">
        <f t="shared" si="52"/>
        <v/>
      </c>
      <c r="N489" s="540" t="str">
        <f t="shared" si="55"/>
        <v/>
      </c>
      <c r="O489" s="538" t="str">
        <f t="shared" si="53"/>
        <v/>
      </c>
      <c r="P489" s="540" t="str">
        <f t="shared" si="54"/>
        <v/>
      </c>
    </row>
    <row r="490" spans="1:16" s="483" customFormat="1" ht="18" hidden="1" customHeight="1" x14ac:dyDescent="0.25">
      <c r="A490" s="536" t="str">
        <f t="shared" si="44"/>
        <v/>
      </c>
      <c r="B490" s="537">
        <f>LARGE($B$15:$B$264,220)</f>
        <v>0</v>
      </c>
      <c r="C490" s="538" t="str">
        <f t="shared" si="45"/>
        <v/>
      </c>
      <c r="D490" s="1117" t="str">
        <f t="shared" si="56"/>
        <v/>
      </c>
      <c r="E490" s="1117"/>
      <c r="F490" s="1117"/>
      <c r="G490" s="538" t="str">
        <f t="shared" si="57"/>
        <v/>
      </c>
      <c r="H490" s="538" t="str">
        <f t="shared" si="58"/>
        <v/>
      </c>
      <c r="I490" s="1118" t="str">
        <f t="shared" si="49"/>
        <v/>
      </c>
      <c r="J490" s="1118"/>
      <c r="K490" s="539" t="str">
        <f t="shared" si="50"/>
        <v/>
      </c>
      <c r="L490" s="536" t="str">
        <f t="shared" si="51"/>
        <v/>
      </c>
      <c r="M490" s="540" t="str">
        <f t="shared" si="52"/>
        <v/>
      </c>
      <c r="N490" s="540" t="str">
        <f t="shared" si="55"/>
        <v/>
      </c>
      <c r="O490" s="538" t="str">
        <f t="shared" si="53"/>
        <v/>
      </c>
      <c r="P490" s="540" t="str">
        <f t="shared" si="54"/>
        <v/>
      </c>
    </row>
    <row r="491" spans="1:16" s="483" customFormat="1" ht="18" hidden="1" customHeight="1" x14ac:dyDescent="0.25">
      <c r="A491" s="536" t="str">
        <f t="shared" si="44"/>
        <v/>
      </c>
      <c r="B491" s="537">
        <f>LARGE($B$15:$B$264,221)</f>
        <v>0</v>
      </c>
      <c r="C491" s="538" t="str">
        <f t="shared" si="45"/>
        <v/>
      </c>
      <c r="D491" s="1117" t="str">
        <f t="shared" si="56"/>
        <v/>
      </c>
      <c r="E491" s="1117"/>
      <c r="F491" s="1117"/>
      <c r="G491" s="538" t="str">
        <f t="shared" si="57"/>
        <v/>
      </c>
      <c r="H491" s="538" t="str">
        <f t="shared" si="58"/>
        <v/>
      </c>
      <c r="I491" s="1118" t="str">
        <f t="shared" si="49"/>
        <v/>
      </c>
      <c r="J491" s="1118"/>
      <c r="K491" s="539" t="str">
        <f t="shared" si="50"/>
        <v/>
      </c>
      <c r="L491" s="536" t="str">
        <f t="shared" si="51"/>
        <v/>
      </c>
      <c r="M491" s="540" t="str">
        <f t="shared" si="52"/>
        <v/>
      </c>
      <c r="N491" s="540" t="str">
        <f t="shared" si="55"/>
        <v/>
      </c>
      <c r="O491" s="538" t="str">
        <f t="shared" si="53"/>
        <v/>
      </c>
      <c r="P491" s="540" t="str">
        <f t="shared" si="54"/>
        <v/>
      </c>
    </row>
    <row r="492" spans="1:16" s="483" customFormat="1" ht="18" hidden="1" customHeight="1" x14ac:dyDescent="0.25">
      <c r="A492" s="536" t="str">
        <f t="shared" si="44"/>
        <v/>
      </c>
      <c r="B492" s="537">
        <f>LARGE($B$15:$B$264,222)</f>
        <v>0</v>
      </c>
      <c r="C492" s="538" t="str">
        <f t="shared" si="45"/>
        <v/>
      </c>
      <c r="D492" s="1117" t="str">
        <f t="shared" si="56"/>
        <v/>
      </c>
      <c r="E492" s="1117"/>
      <c r="F492" s="1117"/>
      <c r="G492" s="538" t="str">
        <f t="shared" si="57"/>
        <v/>
      </c>
      <c r="H492" s="538" t="str">
        <f t="shared" si="58"/>
        <v/>
      </c>
      <c r="I492" s="1118" t="str">
        <f t="shared" si="49"/>
        <v/>
      </c>
      <c r="J492" s="1118"/>
      <c r="K492" s="539" t="str">
        <f t="shared" si="50"/>
        <v/>
      </c>
      <c r="L492" s="536" t="str">
        <f t="shared" si="51"/>
        <v/>
      </c>
      <c r="M492" s="540" t="str">
        <f t="shared" si="52"/>
        <v/>
      </c>
      <c r="N492" s="540" t="str">
        <f t="shared" si="55"/>
        <v/>
      </c>
      <c r="O492" s="538" t="str">
        <f t="shared" si="53"/>
        <v/>
      </c>
      <c r="P492" s="540" t="str">
        <f t="shared" si="54"/>
        <v/>
      </c>
    </row>
    <row r="493" spans="1:16" s="483" customFormat="1" ht="18" hidden="1" customHeight="1" x14ac:dyDescent="0.25">
      <c r="A493" s="536" t="str">
        <f t="shared" si="44"/>
        <v/>
      </c>
      <c r="B493" s="537">
        <f>LARGE($B$15:$B$264,223)</f>
        <v>0</v>
      </c>
      <c r="C493" s="538" t="str">
        <f t="shared" si="45"/>
        <v/>
      </c>
      <c r="D493" s="1117" t="str">
        <f t="shared" si="56"/>
        <v/>
      </c>
      <c r="E493" s="1117"/>
      <c r="F493" s="1117"/>
      <c r="G493" s="538" t="str">
        <f t="shared" si="57"/>
        <v/>
      </c>
      <c r="H493" s="538" t="str">
        <f t="shared" si="58"/>
        <v/>
      </c>
      <c r="I493" s="1118" t="str">
        <f t="shared" si="49"/>
        <v/>
      </c>
      <c r="J493" s="1118"/>
      <c r="K493" s="539" t="str">
        <f t="shared" si="50"/>
        <v/>
      </c>
      <c r="L493" s="536" t="str">
        <f t="shared" si="51"/>
        <v/>
      </c>
      <c r="M493" s="540" t="str">
        <f t="shared" si="52"/>
        <v/>
      </c>
      <c r="N493" s="540" t="str">
        <f t="shared" si="55"/>
        <v/>
      </c>
      <c r="O493" s="538" t="str">
        <f t="shared" si="53"/>
        <v/>
      </c>
      <c r="P493" s="540" t="str">
        <f t="shared" si="54"/>
        <v/>
      </c>
    </row>
    <row r="494" spans="1:16" s="483" customFormat="1" ht="18" hidden="1" customHeight="1" x14ac:dyDescent="0.25">
      <c r="A494" s="536" t="str">
        <f t="shared" si="44"/>
        <v/>
      </c>
      <c r="B494" s="537">
        <f>LARGE($B$15:$B$264,224)</f>
        <v>0</v>
      </c>
      <c r="C494" s="538" t="str">
        <f t="shared" si="45"/>
        <v/>
      </c>
      <c r="D494" s="1117" t="str">
        <f t="shared" si="56"/>
        <v/>
      </c>
      <c r="E494" s="1117"/>
      <c r="F494" s="1117"/>
      <c r="G494" s="538" t="str">
        <f t="shared" si="57"/>
        <v/>
      </c>
      <c r="H494" s="538" t="str">
        <f t="shared" si="58"/>
        <v/>
      </c>
      <c r="I494" s="1118" t="str">
        <f t="shared" si="49"/>
        <v/>
      </c>
      <c r="J494" s="1118"/>
      <c r="K494" s="539" t="str">
        <f t="shared" si="50"/>
        <v/>
      </c>
      <c r="L494" s="536" t="str">
        <f t="shared" si="51"/>
        <v/>
      </c>
      <c r="M494" s="540" t="str">
        <f t="shared" si="52"/>
        <v/>
      </c>
      <c r="N494" s="540" t="str">
        <f t="shared" si="55"/>
        <v/>
      </c>
      <c r="O494" s="538" t="str">
        <f t="shared" si="53"/>
        <v/>
      </c>
      <c r="P494" s="540" t="str">
        <f t="shared" si="54"/>
        <v/>
      </c>
    </row>
    <row r="495" spans="1:16" s="483" customFormat="1" ht="18" hidden="1" customHeight="1" x14ac:dyDescent="0.25">
      <c r="A495" s="536" t="str">
        <f t="shared" si="44"/>
        <v/>
      </c>
      <c r="B495" s="537">
        <f>LARGE($B$15:$B$264,225)</f>
        <v>0</v>
      </c>
      <c r="C495" s="538" t="str">
        <f t="shared" si="45"/>
        <v/>
      </c>
      <c r="D495" s="1117" t="str">
        <f t="shared" si="56"/>
        <v/>
      </c>
      <c r="E495" s="1117"/>
      <c r="F495" s="1117"/>
      <c r="G495" s="538" t="str">
        <f t="shared" si="57"/>
        <v/>
      </c>
      <c r="H495" s="538" t="str">
        <f t="shared" si="58"/>
        <v/>
      </c>
      <c r="I495" s="1118" t="str">
        <f t="shared" si="49"/>
        <v/>
      </c>
      <c r="J495" s="1118"/>
      <c r="K495" s="539" t="str">
        <f t="shared" si="50"/>
        <v/>
      </c>
      <c r="L495" s="536" t="str">
        <f t="shared" si="51"/>
        <v/>
      </c>
      <c r="M495" s="540" t="str">
        <f t="shared" si="52"/>
        <v/>
      </c>
      <c r="N495" s="540" t="str">
        <f t="shared" si="55"/>
        <v/>
      </c>
      <c r="O495" s="538" t="str">
        <f t="shared" si="53"/>
        <v/>
      </c>
      <c r="P495" s="540" t="str">
        <f t="shared" si="54"/>
        <v/>
      </c>
    </row>
    <row r="496" spans="1:16" s="483" customFormat="1" ht="18" hidden="1" customHeight="1" x14ac:dyDescent="0.25">
      <c r="A496" s="536" t="str">
        <f t="shared" si="44"/>
        <v/>
      </c>
      <c r="B496" s="537">
        <f>LARGE($B$15:$B$264,226)</f>
        <v>0</v>
      </c>
      <c r="C496" s="538" t="str">
        <f t="shared" si="45"/>
        <v/>
      </c>
      <c r="D496" s="1117" t="str">
        <f t="shared" si="56"/>
        <v/>
      </c>
      <c r="E496" s="1117"/>
      <c r="F496" s="1117"/>
      <c r="G496" s="538" t="str">
        <f t="shared" si="57"/>
        <v/>
      </c>
      <c r="H496" s="538" t="str">
        <f t="shared" si="58"/>
        <v/>
      </c>
      <c r="I496" s="1118" t="str">
        <f t="shared" si="49"/>
        <v/>
      </c>
      <c r="J496" s="1118"/>
      <c r="K496" s="539" t="str">
        <f t="shared" si="50"/>
        <v/>
      </c>
      <c r="L496" s="536" t="str">
        <f t="shared" si="51"/>
        <v/>
      </c>
      <c r="M496" s="540" t="str">
        <f t="shared" si="52"/>
        <v/>
      </c>
      <c r="N496" s="540" t="str">
        <f t="shared" si="55"/>
        <v/>
      </c>
      <c r="O496" s="538" t="str">
        <f t="shared" si="53"/>
        <v/>
      </c>
      <c r="P496" s="540" t="str">
        <f t="shared" si="54"/>
        <v/>
      </c>
    </row>
    <row r="497" spans="1:16" s="483" customFormat="1" ht="18" hidden="1" customHeight="1" x14ac:dyDescent="0.25">
      <c r="A497" s="536" t="str">
        <f t="shared" si="44"/>
        <v/>
      </c>
      <c r="B497" s="537">
        <f>LARGE($B$15:$B$264,227)</f>
        <v>0</v>
      </c>
      <c r="C497" s="538" t="str">
        <f t="shared" si="45"/>
        <v/>
      </c>
      <c r="D497" s="1117" t="str">
        <f t="shared" si="56"/>
        <v/>
      </c>
      <c r="E497" s="1117"/>
      <c r="F497" s="1117"/>
      <c r="G497" s="538" t="str">
        <f t="shared" si="57"/>
        <v/>
      </c>
      <c r="H497" s="538" t="str">
        <f t="shared" si="58"/>
        <v/>
      </c>
      <c r="I497" s="1118" t="str">
        <f t="shared" si="49"/>
        <v/>
      </c>
      <c r="J497" s="1118"/>
      <c r="K497" s="539" t="str">
        <f t="shared" si="50"/>
        <v/>
      </c>
      <c r="L497" s="536" t="str">
        <f t="shared" si="51"/>
        <v/>
      </c>
      <c r="M497" s="540" t="str">
        <f t="shared" si="52"/>
        <v/>
      </c>
      <c r="N497" s="540" t="str">
        <f t="shared" si="55"/>
        <v/>
      </c>
      <c r="O497" s="538" t="str">
        <f t="shared" si="53"/>
        <v/>
      </c>
      <c r="P497" s="540" t="str">
        <f t="shared" si="54"/>
        <v/>
      </c>
    </row>
    <row r="498" spans="1:16" s="483" customFormat="1" ht="18" hidden="1" customHeight="1" x14ac:dyDescent="0.25">
      <c r="A498" s="536" t="str">
        <f t="shared" si="44"/>
        <v/>
      </c>
      <c r="B498" s="537">
        <f>LARGE($B$15:$B$264,228)</f>
        <v>0</v>
      </c>
      <c r="C498" s="538" t="str">
        <f t="shared" si="45"/>
        <v/>
      </c>
      <c r="D498" s="1117" t="str">
        <f t="shared" si="56"/>
        <v/>
      </c>
      <c r="E498" s="1117"/>
      <c r="F498" s="1117"/>
      <c r="G498" s="538" t="str">
        <f t="shared" si="57"/>
        <v/>
      </c>
      <c r="H498" s="538" t="str">
        <f t="shared" si="58"/>
        <v/>
      </c>
      <c r="I498" s="1118" t="str">
        <f t="shared" si="49"/>
        <v/>
      </c>
      <c r="J498" s="1118"/>
      <c r="K498" s="539" t="str">
        <f t="shared" si="50"/>
        <v/>
      </c>
      <c r="L498" s="536" t="str">
        <f t="shared" si="51"/>
        <v/>
      </c>
      <c r="M498" s="540" t="str">
        <f t="shared" si="52"/>
        <v/>
      </c>
      <c r="N498" s="540" t="str">
        <f t="shared" si="55"/>
        <v/>
      </c>
      <c r="O498" s="538" t="str">
        <f t="shared" si="53"/>
        <v/>
      </c>
      <c r="P498" s="540" t="str">
        <f t="shared" si="54"/>
        <v/>
      </c>
    </row>
    <row r="499" spans="1:16" s="483" customFormat="1" ht="18" hidden="1" customHeight="1" x14ac:dyDescent="0.25">
      <c r="A499" s="536" t="str">
        <f t="shared" si="44"/>
        <v/>
      </c>
      <c r="B499" s="537">
        <f>LARGE($B$15:$B$264,229)</f>
        <v>0</v>
      </c>
      <c r="C499" s="538" t="str">
        <f t="shared" si="45"/>
        <v/>
      </c>
      <c r="D499" s="1117" t="str">
        <f t="shared" si="56"/>
        <v/>
      </c>
      <c r="E499" s="1117"/>
      <c r="F499" s="1117"/>
      <c r="G499" s="538" t="str">
        <f t="shared" si="57"/>
        <v/>
      </c>
      <c r="H499" s="538" t="str">
        <f t="shared" si="58"/>
        <v/>
      </c>
      <c r="I499" s="1118" t="str">
        <f t="shared" si="49"/>
        <v/>
      </c>
      <c r="J499" s="1118"/>
      <c r="K499" s="539" t="str">
        <f t="shared" si="50"/>
        <v/>
      </c>
      <c r="L499" s="536" t="str">
        <f t="shared" si="51"/>
        <v/>
      </c>
      <c r="M499" s="540" t="str">
        <f t="shared" si="52"/>
        <v/>
      </c>
      <c r="N499" s="540" t="str">
        <f t="shared" si="55"/>
        <v/>
      </c>
      <c r="O499" s="538" t="str">
        <f t="shared" si="53"/>
        <v/>
      </c>
      <c r="P499" s="540" t="str">
        <f t="shared" si="54"/>
        <v/>
      </c>
    </row>
    <row r="500" spans="1:16" s="483" customFormat="1" ht="18" hidden="1" customHeight="1" x14ac:dyDescent="0.25">
      <c r="A500" s="536" t="str">
        <f t="shared" si="44"/>
        <v/>
      </c>
      <c r="B500" s="537">
        <f>LARGE($B$15:$B$264,230)</f>
        <v>0</v>
      </c>
      <c r="C500" s="538" t="str">
        <f t="shared" si="45"/>
        <v/>
      </c>
      <c r="D500" s="1117" t="str">
        <f t="shared" si="56"/>
        <v/>
      </c>
      <c r="E500" s="1117"/>
      <c r="F500" s="1117"/>
      <c r="G500" s="538" t="str">
        <f t="shared" si="57"/>
        <v/>
      </c>
      <c r="H500" s="538" t="str">
        <f t="shared" si="58"/>
        <v/>
      </c>
      <c r="I500" s="1118" t="str">
        <f t="shared" si="49"/>
        <v/>
      </c>
      <c r="J500" s="1118"/>
      <c r="K500" s="539" t="str">
        <f t="shared" si="50"/>
        <v/>
      </c>
      <c r="L500" s="536" t="str">
        <f t="shared" si="51"/>
        <v/>
      </c>
      <c r="M500" s="540" t="str">
        <f t="shared" si="52"/>
        <v/>
      </c>
      <c r="N500" s="540" t="str">
        <f t="shared" si="55"/>
        <v/>
      </c>
      <c r="O500" s="538" t="str">
        <f t="shared" si="53"/>
        <v/>
      </c>
      <c r="P500" s="540" t="str">
        <f t="shared" si="54"/>
        <v/>
      </c>
    </row>
    <row r="501" spans="1:16" s="483" customFormat="1" ht="18" hidden="1" customHeight="1" x14ac:dyDescent="0.25">
      <c r="A501" s="536" t="str">
        <f t="shared" si="44"/>
        <v/>
      </c>
      <c r="B501" s="537">
        <f>LARGE($B$15:$B$264,231)</f>
        <v>0</v>
      </c>
      <c r="C501" s="538" t="str">
        <f t="shared" si="45"/>
        <v/>
      </c>
      <c r="D501" s="1117" t="str">
        <f t="shared" si="56"/>
        <v/>
      </c>
      <c r="E501" s="1117"/>
      <c r="F501" s="1117"/>
      <c r="G501" s="538" t="str">
        <f t="shared" si="57"/>
        <v/>
      </c>
      <c r="H501" s="538" t="str">
        <f t="shared" si="58"/>
        <v/>
      </c>
      <c r="I501" s="1118" t="str">
        <f t="shared" si="49"/>
        <v/>
      </c>
      <c r="J501" s="1118"/>
      <c r="K501" s="539" t="str">
        <f t="shared" si="50"/>
        <v/>
      </c>
      <c r="L501" s="536" t="str">
        <f t="shared" si="51"/>
        <v/>
      </c>
      <c r="M501" s="540" t="str">
        <f t="shared" si="52"/>
        <v/>
      </c>
      <c r="N501" s="540" t="str">
        <f t="shared" si="55"/>
        <v/>
      </c>
      <c r="O501" s="538" t="str">
        <f t="shared" si="53"/>
        <v/>
      </c>
      <c r="P501" s="540" t="str">
        <f t="shared" si="54"/>
        <v/>
      </c>
    </row>
    <row r="502" spans="1:16" s="483" customFormat="1" ht="18" hidden="1" customHeight="1" x14ac:dyDescent="0.25">
      <c r="A502" s="536" t="str">
        <f t="shared" si="44"/>
        <v/>
      </c>
      <c r="B502" s="537">
        <f>LARGE($B$15:$B$264,232)</f>
        <v>0</v>
      </c>
      <c r="C502" s="538" t="str">
        <f t="shared" si="45"/>
        <v/>
      </c>
      <c r="D502" s="1117" t="str">
        <f t="shared" si="56"/>
        <v/>
      </c>
      <c r="E502" s="1117"/>
      <c r="F502" s="1117"/>
      <c r="G502" s="538" t="str">
        <f t="shared" si="57"/>
        <v/>
      </c>
      <c r="H502" s="538" t="str">
        <f t="shared" si="58"/>
        <v/>
      </c>
      <c r="I502" s="1118" t="str">
        <f t="shared" si="49"/>
        <v/>
      </c>
      <c r="J502" s="1118"/>
      <c r="K502" s="539" t="str">
        <f t="shared" si="50"/>
        <v/>
      </c>
      <c r="L502" s="536" t="str">
        <f t="shared" si="51"/>
        <v/>
      </c>
      <c r="M502" s="540" t="str">
        <f t="shared" si="52"/>
        <v/>
      </c>
      <c r="N502" s="540" t="str">
        <f t="shared" si="55"/>
        <v/>
      </c>
      <c r="O502" s="538" t="str">
        <f t="shared" si="53"/>
        <v/>
      </c>
      <c r="P502" s="540" t="str">
        <f t="shared" si="54"/>
        <v/>
      </c>
    </row>
    <row r="503" spans="1:16" s="483" customFormat="1" ht="18" hidden="1" customHeight="1" x14ac:dyDescent="0.25">
      <c r="A503" s="536" t="str">
        <f t="shared" si="44"/>
        <v/>
      </c>
      <c r="B503" s="537">
        <f>LARGE($B$15:$B$264,233)</f>
        <v>0</v>
      </c>
      <c r="C503" s="538" t="str">
        <f t="shared" si="45"/>
        <v/>
      </c>
      <c r="D503" s="1117" t="str">
        <f t="shared" si="56"/>
        <v/>
      </c>
      <c r="E503" s="1117"/>
      <c r="F503" s="1117"/>
      <c r="G503" s="538" t="str">
        <f t="shared" si="57"/>
        <v/>
      </c>
      <c r="H503" s="538" t="str">
        <f t="shared" si="58"/>
        <v/>
      </c>
      <c r="I503" s="1118" t="str">
        <f t="shared" si="49"/>
        <v/>
      </c>
      <c r="J503" s="1118"/>
      <c r="K503" s="539" t="str">
        <f t="shared" si="50"/>
        <v/>
      </c>
      <c r="L503" s="536" t="str">
        <f t="shared" si="51"/>
        <v/>
      </c>
      <c r="M503" s="540" t="str">
        <f t="shared" si="52"/>
        <v/>
      </c>
      <c r="N503" s="540" t="str">
        <f t="shared" si="55"/>
        <v/>
      </c>
      <c r="O503" s="538" t="str">
        <f t="shared" si="53"/>
        <v/>
      </c>
      <c r="P503" s="540" t="str">
        <f t="shared" si="54"/>
        <v/>
      </c>
    </row>
    <row r="504" spans="1:16" s="483" customFormat="1" ht="18" hidden="1" customHeight="1" x14ac:dyDescent="0.25">
      <c r="A504" s="536" t="str">
        <f t="shared" si="44"/>
        <v/>
      </c>
      <c r="B504" s="537">
        <f>LARGE($B$15:$B$264,234)</f>
        <v>0</v>
      </c>
      <c r="C504" s="538" t="str">
        <f t="shared" si="45"/>
        <v/>
      </c>
      <c r="D504" s="1117" t="str">
        <f t="shared" ref="D504:D520" si="59">IF(B504=0,"",VLOOKUP(B504,$B$15:$J$264,3,FALSE()))</f>
        <v/>
      </c>
      <c r="E504" s="1117"/>
      <c r="F504" s="1117"/>
      <c r="G504" s="538" t="str">
        <f t="shared" ref="G504:G520" si="60">IF(B504=0,"",VLOOKUP(B504,$B$15:$J$264,6,FALSE()))</f>
        <v/>
      </c>
      <c r="H504" s="538" t="str">
        <f t="shared" ref="H504:H520" si="61">IF(B504=0,"",VLOOKUP(B504,$B$15:$J$264,7,FALSE()))</f>
        <v/>
      </c>
      <c r="I504" s="1118" t="str">
        <f t="shared" si="49"/>
        <v/>
      </c>
      <c r="J504" s="1118"/>
      <c r="K504" s="539" t="str">
        <f t="shared" si="50"/>
        <v/>
      </c>
      <c r="L504" s="536" t="str">
        <f t="shared" si="51"/>
        <v/>
      </c>
      <c r="M504" s="540" t="str">
        <f t="shared" si="52"/>
        <v/>
      </c>
      <c r="N504" s="540" t="str">
        <f t="shared" si="55"/>
        <v/>
      </c>
      <c r="O504" s="538" t="str">
        <f t="shared" si="53"/>
        <v/>
      </c>
      <c r="P504" s="540" t="str">
        <f t="shared" si="54"/>
        <v/>
      </c>
    </row>
    <row r="505" spans="1:16" s="483" customFormat="1" ht="18" hidden="1" customHeight="1" x14ac:dyDescent="0.25">
      <c r="A505" s="536" t="str">
        <f t="shared" si="44"/>
        <v/>
      </c>
      <c r="B505" s="537">
        <f>LARGE($B$15:$B$264,235)</f>
        <v>0</v>
      </c>
      <c r="C505" s="538" t="str">
        <f t="shared" si="45"/>
        <v/>
      </c>
      <c r="D505" s="1117" t="str">
        <f t="shared" si="59"/>
        <v/>
      </c>
      <c r="E505" s="1117"/>
      <c r="F505" s="1117"/>
      <c r="G505" s="538" t="str">
        <f t="shared" si="60"/>
        <v/>
      </c>
      <c r="H505" s="538" t="str">
        <f t="shared" si="61"/>
        <v/>
      </c>
      <c r="I505" s="1118" t="str">
        <f t="shared" si="49"/>
        <v/>
      </c>
      <c r="J505" s="1118"/>
      <c r="K505" s="539" t="str">
        <f t="shared" si="50"/>
        <v/>
      </c>
      <c r="L505" s="536" t="str">
        <f t="shared" si="51"/>
        <v/>
      </c>
      <c r="M505" s="540" t="str">
        <f t="shared" si="52"/>
        <v/>
      </c>
      <c r="N505" s="540" t="str">
        <f t="shared" si="55"/>
        <v/>
      </c>
      <c r="O505" s="538" t="str">
        <f t="shared" si="53"/>
        <v/>
      </c>
      <c r="P505" s="540" t="str">
        <f t="shared" si="54"/>
        <v/>
      </c>
    </row>
    <row r="506" spans="1:16" s="483" customFormat="1" ht="18" hidden="1" customHeight="1" x14ac:dyDescent="0.25">
      <c r="A506" s="536" t="str">
        <f t="shared" si="44"/>
        <v/>
      </c>
      <c r="B506" s="537">
        <f>LARGE($B$15:$B$264,236)</f>
        <v>0</v>
      </c>
      <c r="C506" s="538" t="str">
        <f t="shared" si="45"/>
        <v/>
      </c>
      <c r="D506" s="1117" t="str">
        <f t="shared" si="59"/>
        <v/>
      </c>
      <c r="E506" s="1117"/>
      <c r="F506" s="1117"/>
      <c r="G506" s="538" t="str">
        <f t="shared" si="60"/>
        <v/>
      </c>
      <c r="H506" s="538" t="str">
        <f t="shared" si="61"/>
        <v/>
      </c>
      <c r="I506" s="1118" t="str">
        <f t="shared" si="49"/>
        <v/>
      </c>
      <c r="J506" s="1118"/>
      <c r="K506" s="539" t="str">
        <f t="shared" si="50"/>
        <v/>
      </c>
      <c r="L506" s="536" t="str">
        <f t="shared" si="51"/>
        <v/>
      </c>
      <c r="M506" s="540" t="str">
        <f t="shared" si="52"/>
        <v/>
      </c>
      <c r="N506" s="540" t="str">
        <f t="shared" si="55"/>
        <v/>
      </c>
      <c r="O506" s="538" t="str">
        <f t="shared" si="53"/>
        <v/>
      </c>
      <c r="P506" s="540" t="str">
        <f t="shared" si="54"/>
        <v/>
      </c>
    </row>
    <row r="507" spans="1:16" s="483" customFormat="1" ht="18" hidden="1" customHeight="1" x14ac:dyDescent="0.25">
      <c r="A507" s="536" t="str">
        <f t="shared" si="44"/>
        <v/>
      </c>
      <c r="B507" s="537">
        <f>LARGE($B$15:$B$264,237)</f>
        <v>0</v>
      </c>
      <c r="C507" s="538" t="str">
        <f t="shared" si="45"/>
        <v/>
      </c>
      <c r="D507" s="1117" t="str">
        <f t="shared" si="59"/>
        <v/>
      </c>
      <c r="E507" s="1117"/>
      <c r="F507" s="1117"/>
      <c r="G507" s="538" t="str">
        <f t="shared" si="60"/>
        <v/>
      </c>
      <c r="H507" s="538" t="str">
        <f t="shared" si="61"/>
        <v/>
      </c>
      <c r="I507" s="1118" t="str">
        <f t="shared" si="49"/>
        <v/>
      </c>
      <c r="J507" s="1118"/>
      <c r="K507" s="539" t="str">
        <f t="shared" si="50"/>
        <v/>
      </c>
      <c r="L507" s="536" t="str">
        <f t="shared" si="51"/>
        <v/>
      </c>
      <c r="M507" s="540" t="str">
        <f t="shared" si="52"/>
        <v/>
      </c>
      <c r="N507" s="540" t="str">
        <f t="shared" si="55"/>
        <v/>
      </c>
      <c r="O507" s="538" t="str">
        <f t="shared" si="53"/>
        <v/>
      </c>
      <c r="P507" s="540" t="str">
        <f t="shared" si="54"/>
        <v/>
      </c>
    </row>
    <row r="508" spans="1:16" s="483" customFormat="1" ht="18" hidden="1" customHeight="1" x14ac:dyDescent="0.25">
      <c r="A508" s="536" t="str">
        <f t="shared" si="44"/>
        <v/>
      </c>
      <c r="B508" s="537">
        <f>LARGE($B$15:$B$264,238)</f>
        <v>0</v>
      </c>
      <c r="C508" s="538" t="str">
        <f t="shared" si="45"/>
        <v/>
      </c>
      <c r="D508" s="1117" t="str">
        <f t="shared" si="59"/>
        <v/>
      </c>
      <c r="E508" s="1117"/>
      <c r="F508" s="1117"/>
      <c r="G508" s="538" t="str">
        <f t="shared" si="60"/>
        <v/>
      </c>
      <c r="H508" s="538" t="str">
        <f t="shared" si="61"/>
        <v/>
      </c>
      <c r="I508" s="1118" t="str">
        <f t="shared" si="49"/>
        <v/>
      </c>
      <c r="J508" s="1118"/>
      <c r="K508" s="539" t="str">
        <f t="shared" si="50"/>
        <v/>
      </c>
      <c r="L508" s="536" t="str">
        <f t="shared" si="51"/>
        <v/>
      </c>
      <c r="M508" s="540" t="str">
        <f t="shared" si="52"/>
        <v/>
      </c>
      <c r="N508" s="540" t="str">
        <f t="shared" si="55"/>
        <v/>
      </c>
      <c r="O508" s="538" t="str">
        <f t="shared" si="53"/>
        <v/>
      </c>
      <c r="P508" s="540" t="str">
        <f t="shared" si="54"/>
        <v/>
      </c>
    </row>
    <row r="509" spans="1:16" s="483" customFormat="1" ht="18" hidden="1" customHeight="1" x14ac:dyDescent="0.25">
      <c r="A509" s="536" t="str">
        <f t="shared" si="44"/>
        <v/>
      </c>
      <c r="B509" s="537">
        <f>LARGE($B$15:$B$264,239)</f>
        <v>0</v>
      </c>
      <c r="C509" s="538" t="str">
        <f t="shared" si="45"/>
        <v/>
      </c>
      <c r="D509" s="1117" t="str">
        <f t="shared" si="59"/>
        <v/>
      </c>
      <c r="E509" s="1117"/>
      <c r="F509" s="1117"/>
      <c r="G509" s="538" t="str">
        <f t="shared" si="60"/>
        <v/>
      </c>
      <c r="H509" s="538" t="str">
        <f t="shared" si="61"/>
        <v/>
      </c>
      <c r="I509" s="1118" t="str">
        <f t="shared" si="49"/>
        <v/>
      </c>
      <c r="J509" s="1118"/>
      <c r="K509" s="539" t="str">
        <f t="shared" si="50"/>
        <v/>
      </c>
      <c r="L509" s="536" t="str">
        <f t="shared" si="51"/>
        <v/>
      </c>
      <c r="M509" s="540" t="str">
        <f t="shared" si="52"/>
        <v/>
      </c>
      <c r="N509" s="540" t="str">
        <f t="shared" si="55"/>
        <v/>
      </c>
      <c r="O509" s="538" t="str">
        <f t="shared" si="53"/>
        <v/>
      </c>
      <c r="P509" s="540" t="str">
        <f t="shared" si="54"/>
        <v/>
      </c>
    </row>
    <row r="510" spans="1:16" s="483" customFormat="1" ht="18" hidden="1" customHeight="1" x14ac:dyDescent="0.25">
      <c r="A510" s="536" t="str">
        <f t="shared" si="44"/>
        <v/>
      </c>
      <c r="B510" s="537">
        <f>LARGE($B$15:$B$264,240)</f>
        <v>0</v>
      </c>
      <c r="C510" s="538" t="str">
        <f t="shared" si="45"/>
        <v/>
      </c>
      <c r="D510" s="1117" t="str">
        <f t="shared" si="59"/>
        <v/>
      </c>
      <c r="E510" s="1117"/>
      <c r="F510" s="1117"/>
      <c r="G510" s="538" t="str">
        <f t="shared" si="60"/>
        <v/>
      </c>
      <c r="H510" s="538" t="str">
        <f t="shared" si="61"/>
        <v/>
      </c>
      <c r="I510" s="1118" t="str">
        <f t="shared" si="49"/>
        <v/>
      </c>
      <c r="J510" s="1118"/>
      <c r="K510" s="539" t="str">
        <f t="shared" si="50"/>
        <v/>
      </c>
      <c r="L510" s="536" t="str">
        <f t="shared" si="51"/>
        <v/>
      </c>
      <c r="M510" s="540" t="str">
        <f t="shared" si="52"/>
        <v/>
      </c>
      <c r="N510" s="540" t="str">
        <f t="shared" si="55"/>
        <v/>
      </c>
      <c r="O510" s="538" t="str">
        <f t="shared" si="53"/>
        <v/>
      </c>
      <c r="P510" s="540" t="str">
        <f t="shared" si="54"/>
        <v/>
      </c>
    </row>
    <row r="511" spans="1:16" s="483" customFormat="1" ht="18" hidden="1" customHeight="1" x14ac:dyDescent="0.25">
      <c r="A511" s="536" t="str">
        <f t="shared" si="44"/>
        <v/>
      </c>
      <c r="B511" s="537">
        <f>LARGE($B$15:$B$264,241)</f>
        <v>0</v>
      </c>
      <c r="C511" s="538" t="str">
        <f t="shared" si="45"/>
        <v/>
      </c>
      <c r="D511" s="1117" t="str">
        <f t="shared" si="59"/>
        <v/>
      </c>
      <c r="E511" s="1117"/>
      <c r="F511" s="1117"/>
      <c r="G511" s="538" t="str">
        <f t="shared" si="60"/>
        <v/>
      </c>
      <c r="H511" s="538" t="str">
        <f t="shared" si="61"/>
        <v/>
      </c>
      <c r="I511" s="1118" t="str">
        <f t="shared" si="49"/>
        <v/>
      </c>
      <c r="J511" s="1118"/>
      <c r="K511" s="539" t="str">
        <f t="shared" si="50"/>
        <v/>
      </c>
      <c r="L511" s="536" t="str">
        <f t="shared" si="51"/>
        <v/>
      </c>
      <c r="M511" s="540" t="str">
        <f t="shared" si="52"/>
        <v/>
      </c>
      <c r="N511" s="540" t="str">
        <f t="shared" si="55"/>
        <v/>
      </c>
      <c r="O511" s="538" t="str">
        <f t="shared" si="53"/>
        <v/>
      </c>
      <c r="P511" s="540" t="str">
        <f t="shared" si="54"/>
        <v/>
      </c>
    </row>
    <row r="512" spans="1:16" s="483" customFormat="1" ht="18" hidden="1" customHeight="1" x14ac:dyDescent="0.25">
      <c r="A512" s="536" t="str">
        <f t="shared" si="44"/>
        <v/>
      </c>
      <c r="B512" s="537">
        <f>LARGE($B$15:$B$264,242)</f>
        <v>0</v>
      </c>
      <c r="C512" s="538" t="str">
        <f t="shared" si="45"/>
        <v/>
      </c>
      <c r="D512" s="1117" t="str">
        <f t="shared" si="59"/>
        <v/>
      </c>
      <c r="E512" s="1117"/>
      <c r="F512" s="1117"/>
      <c r="G512" s="538" t="str">
        <f t="shared" si="60"/>
        <v/>
      </c>
      <c r="H512" s="538" t="str">
        <f t="shared" si="61"/>
        <v/>
      </c>
      <c r="I512" s="1118" t="str">
        <f t="shared" si="49"/>
        <v/>
      </c>
      <c r="J512" s="1118"/>
      <c r="K512" s="539" t="str">
        <f t="shared" si="50"/>
        <v/>
      </c>
      <c r="L512" s="536" t="str">
        <f t="shared" si="51"/>
        <v/>
      </c>
      <c r="M512" s="540" t="str">
        <f t="shared" si="52"/>
        <v/>
      </c>
      <c r="N512" s="540" t="str">
        <f t="shared" si="55"/>
        <v/>
      </c>
      <c r="O512" s="538" t="str">
        <f t="shared" si="53"/>
        <v/>
      </c>
      <c r="P512" s="540" t="str">
        <f t="shared" si="54"/>
        <v/>
      </c>
    </row>
    <row r="513" spans="1:17" s="483" customFormat="1" ht="18" hidden="1" customHeight="1" x14ac:dyDescent="0.25">
      <c r="A513" s="536" t="str">
        <f t="shared" si="44"/>
        <v/>
      </c>
      <c r="B513" s="537">
        <f>LARGE($B$15:$B$264,243)</f>
        <v>0</v>
      </c>
      <c r="C513" s="538" t="str">
        <f t="shared" si="45"/>
        <v/>
      </c>
      <c r="D513" s="1117" t="str">
        <f t="shared" si="59"/>
        <v/>
      </c>
      <c r="E513" s="1117"/>
      <c r="F513" s="1117"/>
      <c r="G513" s="538" t="str">
        <f t="shared" si="60"/>
        <v/>
      </c>
      <c r="H513" s="538" t="str">
        <f t="shared" si="61"/>
        <v/>
      </c>
      <c r="I513" s="1118" t="str">
        <f t="shared" si="49"/>
        <v/>
      </c>
      <c r="J513" s="1118"/>
      <c r="K513" s="539" t="str">
        <f t="shared" si="50"/>
        <v/>
      </c>
      <c r="L513" s="536" t="str">
        <f t="shared" si="51"/>
        <v/>
      </c>
      <c r="M513" s="540" t="str">
        <f t="shared" si="52"/>
        <v/>
      </c>
      <c r="N513" s="540" t="str">
        <f t="shared" si="55"/>
        <v/>
      </c>
      <c r="O513" s="538" t="str">
        <f t="shared" si="53"/>
        <v/>
      </c>
      <c r="P513" s="540" t="str">
        <f t="shared" si="54"/>
        <v/>
      </c>
    </row>
    <row r="514" spans="1:17" s="483" customFormat="1" ht="18" hidden="1" customHeight="1" x14ac:dyDescent="0.25">
      <c r="A514" s="536" t="str">
        <f t="shared" si="44"/>
        <v/>
      </c>
      <c r="B514" s="537">
        <f>LARGE($B$15:$B$264,244)</f>
        <v>0</v>
      </c>
      <c r="C514" s="538" t="str">
        <f t="shared" si="45"/>
        <v/>
      </c>
      <c r="D514" s="1117" t="str">
        <f t="shared" si="59"/>
        <v/>
      </c>
      <c r="E514" s="1117"/>
      <c r="F514" s="1117"/>
      <c r="G514" s="538" t="str">
        <f t="shared" si="60"/>
        <v/>
      </c>
      <c r="H514" s="538" t="str">
        <f t="shared" si="61"/>
        <v/>
      </c>
      <c r="I514" s="1118" t="str">
        <f t="shared" si="49"/>
        <v/>
      </c>
      <c r="J514" s="1118"/>
      <c r="K514" s="539" t="str">
        <f t="shared" si="50"/>
        <v/>
      </c>
      <c r="L514" s="536" t="str">
        <f t="shared" si="51"/>
        <v/>
      </c>
      <c r="M514" s="540" t="str">
        <f t="shared" si="52"/>
        <v/>
      </c>
      <c r="N514" s="540" t="str">
        <f t="shared" si="55"/>
        <v/>
      </c>
      <c r="O514" s="538" t="str">
        <f t="shared" si="53"/>
        <v/>
      </c>
      <c r="P514" s="540" t="str">
        <f t="shared" si="54"/>
        <v/>
      </c>
    </row>
    <row r="515" spans="1:17" s="483" customFormat="1" ht="18" hidden="1" customHeight="1" x14ac:dyDescent="0.25">
      <c r="A515" s="536" t="str">
        <f t="shared" si="44"/>
        <v/>
      </c>
      <c r="B515" s="537">
        <f>LARGE($B$15:$B$264,245)</f>
        <v>0</v>
      </c>
      <c r="C515" s="538" t="str">
        <f t="shared" si="45"/>
        <v/>
      </c>
      <c r="D515" s="1117" t="str">
        <f t="shared" si="59"/>
        <v/>
      </c>
      <c r="E515" s="1117"/>
      <c r="F515" s="1117"/>
      <c r="G515" s="538" t="str">
        <f t="shared" si="60"/>
        <v/>
      </c>
      <c r="H515" s="538" t="str">
        <f t="shared" si="61"/>
        <v/>
      </c>
      <c r="I515" s="1118" t="str">
        <f t="shared" si="49"/>
        <v/>
      </c>
      <c r="J515" s="1118"/>
      <c r="K515" s="539" t="str">
        <f t="shared" si="50"/>
        <v/>
      </c>
      <c r="L515" s="536" t="str">
        <f t="shared" si="51"/>
        <v/>
      </c>
      <c r="M515" s="540" t="str">
        <f t="shared" si="52"/>
        <v/>
      </c>
      <c r="N515" s="540" t="str">
        <f t="shared" si="55"/>
        <v/>
      </c>
      <c r="O515" s="538" t="str">
        <f t="shared" si="53"/>
        <v/>
      </c>
      <c r="P515" s="540" t="str">
        <f t="shared" si="54"/>
        <v/>
      </c>
    </row>
    <row r="516" spans="1:17" s="483" customFormat="1" ht="18" hidden="1" customHeight="1" x14ac:dyDescent="0.25">
      <c r="A516" s="536" t="str">
        <f t="shared" si="44"/>
        <v/>
      </c>
      <c r="B516" s="537">
        <f>LARGE($B$15:$B$264,246)</f>
        <v>0</v>
      </c>
      <c r="C516" s="538" t="str">
        <f t="shared" si="45"/>
        <v/>
      </c>
      <c r="D516" s="1117" t="str">
        <f t="shared" si="59"/>
        <v/>
      </c>
      <c r="E516" s="1117"/>
      <c r="F516" s="1117"/>
      <c r="G516" s="538" t="str">
        <f t="shared" si="60"/>
        <v/>
      </c>
      <c r="H516" s="538" t="str">
        <f t="shared" si="61"/>
        <v/>
      </c>
      <c r="I516" s="1118" t="str">
        <f t="shared" si="49"/>
        <v/>
      </c>
      <c r="J516" s="1118"/>
      <c r="K516" s="539" t="str">
        <f t="shared" si="50"/>
        <v/>
      </c>
      <c r="L516" s="536" t="str">
        <f t="shared" si="51"/>
        <v/>
      </c>
      <c r="M516" s="540" t="str">
        <f t="shared" si="52"/>
        <v/>
      </c>
      <c r="N516" s="540" t="str">
        <f t="shared" si="55"/>
        <v/>
      </c>
      <c r="O516" s="538" t="str">
        <f t="shared" si="53"/>
        <v/>
      </c>
      <c r="P516" s="540" t="str">
        <f t="shared" si="54"/>
        <v/>
      </c>
    </row>
    <row r="517" spans="1:17" s="483" customFormat="1" ht="18" hidden="1" customHeight="1" x14ac:dyDescent="0.25">
      <c r="A517" s="536" t="str">
        <f t="shared" si="44"/>
        <v/>
      </c>
      <c r="B517" s="537">
        <f>LARGE($B$15:$B$264,247)</f>
        <v>0</v>
      </c>
      <c r="C517" s="538" t="str">
        <f t="shared" si="45"/>
        <v/>
      </c>
      <c r="D517" s="1117" t="str">
        <f t="shared" si="59"/>
        <v/>
      </c>
      <c r="E517" s="1117"/>
      <c r="F517" s="1117"/>
      <c r="G517" s="538" t="str">
        <f t="shared" si="60"/>
        <v/>
      </c>
      <c r="H517" s="538" t="str">
        <f t="shared" si="61"/>
        <v/>
      </c>
      <c r="I517" s="1118" t="str">
        <f t="shared" si="49"/>
        <v/>
      </c>
      <c r="J517" s="1118"/>
      <c r="K517" s="539" t="str">
        <f t="shared" si="50"/>
        <v/>
      </c>
      <c r="L517" s="536" t="str">
        <f t="shared" si="51"/>
        <v/>
      </c>
      <c r="M517" s="540" t="str">
        <f t="shared" si="52"/>
        <v/>
      </c>
      <c r="N517" s="540" t="str">
        <f t="shared" si="55"/>
        <v/>
      </c>
      <c r="O517" s="538" t="str">
        <f t="shared" si="53"/>
        <v/>
      </c>
      <c r="P517" s="540" t="str">
        <f t="shared" si="54"/>
        <v/>
      </c>
    </row>
    <row r="518" spans="1:17" s="483" customFormat="1" ht="18" hidden="1" customHeight="1" x14ac:dyDescent="0.25">
      <c r="A518" s="536" t="str">
        <f t="shared" si="44"/>
        <v/>
      </c>
      <c r="B518" s="537">
        <f>LARGE($B$15:$B$264,248)</f>
        <v>0</v>
      </c>
      <c r="C518" s="538" t="str">
        <f t="shared" si="45"/>
        <v/>
      </c>
      <c r="D518" s="1117" t="str">
        <f t="shared" si="59"/>
        <v/>
      </c>
      <c r="E518" s="1117"/>
      <c r="F518" s="1117"/>
      <c r="G518" s="538" t="str">
        <f t="shared" si="60"/>
        <v/>
      </c>
      <c r="H518" s="538" t="str">
        <f t="shared" si="61"/>
        <v/>
      </c>
      <c r="I518" s="1118" t="str">
        <f t="shared" si="49"/>
        <v/>
      </c>
      <c r="J518" s="1118"/>
      <c r="K518" s="539" t="str">
        <f t="shared" si="50"/>
        <v/>
      </c>
      <c r="L518" s="536" t="str">
        <f t="shared" si="51"/>
        <v/>
      </c>
      <c r="M518" s="540" t="str">
        <f t="shared" si="52"/>
        <v/>
      </c>
      <c r="N518" s="540" t="str">
        <f t="shared" si="55"/>
        <v/>
      </c>
      <c r="O518" s="538" t="str">
        <f t="shared" si="53"/>
        <v/>
      </c>
      <c r="P518" s="540" t="str">
        <f t="shared" si="54"/>
        <v/>
      </c>
    </row>
    <row r="519" spans="1:17" s="483" customFormat="1" ht="18" hidden="1" customHeight="1" x14ac:dyDescent="0.25">
      <c r="A519" s="536" t="str">
        <f t="shared" si="44"/>
        <v/>
      </c>
      <c r="B519" s="537">
        <f>LARGE($B$15:$B$264,249)</f>
        <v>0</v>
      </c>
      <c r="C519" s="538" t="str">
        <f t="shared" si="45"/>
        <v/>
      </c>
      <c r="D519" s="1117" t="str">
        <f t="shared" si="59"/>
        <v/>
      </c>
      <c r="E519" s="1117"/>
      <c r="F519" s="1117"/>
      <c r="G519" s="538" t="str">
        <f t="shared" si="60"/>
        <v/>
      </c>
      <c r="H519" s="538" t="str">
        <f t="shared" si="61"/>
        <v/>
      </c>
      <c r="I519" s="1118" t="str">
        <f t="shared" si="49"/>
        <v/>
      </c>
      <c r="J519" s="1118"/>
      <c r="K519" s="539" t="str">
        <f t="shared" si="50"/>
        <v/>
      </c>
      <c r="L519" s="536" t="str">
        <f t="shared" si="51"/>
        <v/>
      </c>
      <c r="M519" s="540" t="str">
        <f t="shared" si="52"/>
        <v/>
      </c>
      <c r="N519" s="540" t="str">
        <f t="shared" si="55"/>
        <v/>
      </c>
      <c r="O519" s="538" t="str">
        <f t="shared" si="53"/>
        <v/>
      </c>
      <c r="P519" s="540" t="str">
        <f t="shared" si="54"/>
        <v/>
      </c>
    </row>
    <row r="520" spans="1:17" s="483" customFormat="1" ht="18" hidden="1" customHeight="1" x14ac:dyDescent="0.25">
      <c r="A520" s="536" t="str">
        <f t="shared" si="44"/>
        <v/>
      </c>
      <c r="B520" s="537">
        <f>LARGE($B$15:$B$264,250)</f>
        <v>0</v>
      </c>
      <c r="C520" s="538" t="str">
        <f t="shared" si="45"/>
        <v/>
      </c>
      <c r="D520" s="1117" t="str">
        <f t="shared" si="59"/>
        <v/>
      </c>
      <c r="E520" s="1117"/>
      <c r="F520" s="1117"/>
      <c r="G520" s="538" t="str">
        <f t="shared" si="60"/>
        <v/>
      </c>
      <c r="H520" s="538" t="str">
        <f t="shared" si="61"/>
        <v/>
      </c>
      <c r="I520" s="1118" t="str">
        <f t="shared" si="49"/>
        <v/>
      </c>
      <c r="J520" s="1118"/>
      <c r="K520" s="539" t="str">
        <f t="shared" si="50"/>
        <v/>
      </c>
      <c r="L520" s="536" t="str">
        <f t="shared" si="51"/>
        <v/>
      </c>
      <c r="M520" s="540" t="str">
        <f t="shared" si="52"/>
        <v/>
      </c>
      <c r="N520" s="540" t="str">
        <f t="shared" si="55"/>
        <v/>
      </c>
      <c r="O520" s="538" t="str">
        <f t="shared" si="53"/>
        <v/>
      </c>
      <c r="P520" s="540" t="str">
        <f t="shared" si="54"/>
        <v/>
      </c>
    </row>
    <row r="521" spans="1:17" s="483" customFormat="1" ht="18" customHeight="1" x14ac:dyDescent="0.25">
      <c r="A521" s="531"/>
      <c r="B521" s="514"/>
      <c r="C521" s="1119" t="s">
        <v>507</v>
      </c>
      <c r="D521" s="1119"/>
      <c r="E521" s="1119"/>
      <c r="F521" s="1119"/>
      <c r="G521" s="1119"/>
      <c r="H521" s="1119"/>
      <c r="I521" s="1119"/>
      <c r="J521" s="1119"/>
      <c r="K521" s="1119"/>
      <c r="L521" s="1119"/>
      <c r="M521" s="541" t="str">
        <f>IFERROR(AVERAGEIF(L271:L520,"Si",M271:M520),"No aplica")</f>
        <v>No aplica</v>
      </c>
      <c r="N521" s="1120"/>
      <c r="O521" s="1120"/>
      <c r="P521" s="1120"/>
    </row>
    <row r="522" spans="1:17" s="483" customFormat="1" ht="18" customHeight="1" x14ac:dyDescent="0.25">
      <c r="A522" s="514"/>
      <c r="B522" s="515"/>
      <c r="G522" s="492"/>
      <c r="H522" s="492"/>
      <c r="L522" s="516"/>
    </row>
    <row r="523" spans="1:17" s="483" customFormat="1" ht="106.5" customHeight="1" x14ac:dyDescent="0.25">
      <c r="A523" s="514"/>
      <c r="B523" s="515"/>
      <c r="C523" s="1111" t="s">
        <v>508</v>
      </c>
      <c r="D523" s="1111"/>
      <c r="E523" s="1111"/>
      <c r="F523" s="1111"/>
      <c r="G523" s="1111"/>
      <c r="H523" s="1111"/>
      <c r="I523" s="1111"/>
      <c r="J523" s="1111"/>
      <c r="K523" s="1111"/>
      <c r="L523" s="1111"/>
      <c r="M523" s="1111"/>
      <c r="N523" s="1111"/>
      <c r="O523" s="1111"/>
      <c r="P523" s="1111"/>
    </row>
    <row r="524" spans="1:17" s="483" customFormat="1" ht="18" customHeight="1" x14ac:dyDescent="0.25">
      <c r="A524" s="514"/>
      <c r="B524" s="515"/>
      <c r="G524" s="492"/>
      <c r="H524" s="492"/>
      <c r="L524" s="516"/>
    </row>
    <row r="525" spans="1:17" s="483" customFormat="1" ht="18" customHeight="1" x14ac:dyDescent="0.25">
      <c r="A525" s="514"/>
      <c r="B525" s="515"/>
      <c r="C525" s="1115" t="s">
        <v>509</v>
      </c>
      <c r="D525" s="1115"/>
      <c r="E525" s="1115"/>
      <c r="F525" s="1115"/>
      <c r="G525" s="1115"/>
      <c r="H525" s="1115"/>
      <c r="I525" s="1115"/>
      <c r="J525" s="1115"/>
      <c r="K525" s="1115"/>
      <c r="L525" s="1115"/>
      <c r="M525" s="1115"/>
      <c r="N525" s="1115"/>
      <c r="O525" s="1115"/>
      <c r="P525" s="1115"/>
      <c r="Q525" s="491"/>
    </row>
    <row r="526" spans="1:17" s="483" customFormat="1" ht="18" customHeight="1" x14ac:dyDescent="0.25">
      <c r="A526" s="514"/>
      <c r="B526" s="515"/>
      <c r="C526" s="1121" t="s">
        <v>510</v>
      </c>
      <c r="D526" s="1121"/>
      <c r="E526" s="1122" t="s">
        <v>511</v>
      </c>
      <c r="F526" s="1122"/>
      <c r="G526" s="1122"/>
      <c r="H526" s="1122"/>
      <c r="I526" s="1122"/>
      <c r="J526" s="1122"/>
      <c r="K526" s="1122"/>
      <c r="L526" s="1122"/>
      <c r="M526" s="1122"/>
      <c r="N526" s="1122"/>
      <c r="O526" s="1122"/>
      <c r="P526" s="1122"/>
      <c r="Q526" s="491"/>
    </row>
    <row r="527" spans="1:17" s="483" customFormat="1" ht="32.25" customHeight="1" x14ac:dyDescent="0.25">
      <c r="A527" s="514"/>
      <c r="B527" s="515"/>
      <c r="C527" s="534" t="s">
        <v>497</v>
      </c>
      <c r="D527" s="1116" t="s">
        <v>380</v>
      </c>
      <c r="E527" s="1116"/>
      <c r="F527" s="1116"/>
      <c r="G527" s="534" t="s">
        <v>503</v>
      </c>
      <c r="H527" s="333" t="s">
        <v>512</v>
      </c>
      <c r="I527" s="1045" t="s">
        <v>513</v>
      </c>
      <c r="J527" s="1045"/>
      <c r="K527" s="1045"/>
      <c r="L527" s="1045"/>
      <c r="M527" s="1045"/>
      <c r="N527" s="1045"/>
      <c r="O527" s="1045"/>
      <c r="P527" s="1045"/>
    </row>
    <row r="528" spans="1:17" s="483" customFormat="1" ht="18" customHeight="1" x14ac:dyDescent="0.25">
      <c r="A528" s="514"/>
      <c r="B528" s="515"/>
      <c r="C528" s="538" t="str">
        <f t="shared" ref="C528:C591" si="62">IF(A271="Si",C271,"")</f>
        <v/>
      </c>
      <c r="D528" s="1117" t="str">
        <f t="shared" ref="D528:D591" si="63">IF(A271="Si",D271,"")</f>
        <v/>
      </c>
      <c r="E528" s="1117"/>
      <c r="F528" s="1117"/>
      <c r="G528" s="542" t="str">
        <f t="shared" ref="G528:G591" si="64">IF(A271="Si",M271,"")</f>
        <v/>
      </c>
      <c r="H528" s="543"/>
      <c r="I528" s="1123"/>
      <c r="J528" s="1123"/>
      <c r="K528" s="1123"/>
      <c r="L528" s="1123"/>
      <c r="M528" s="1123"/>
      <c r="N528" s="1123"/>
      <c r="O528" s="1123"/>
      <c r="P528" s="1123"/>
    </row>
    <row r="529" spans="1:16" s="483" customFormat="1" ht="18" customHeight="1" x14ac:dyDescent="0.25">
      <c r="A529" s="514"/>
      <c r="B529" s="515"/>
      <c r="C529" s="538" t="str">
        <f t="shared" si="62"/>
        <v/>
      </c>
      <c r="D529" s="1117" t="str">
        <f t="shared" si="63"/>
        <v/>
      </c>
      <c r="E529" s="1117"/>
      <c r="F529" s="1117"/>
      <c r="G529" s="542" t="str">
        <f t="shared" si="64"/>
        <v/>
      </c>
      <c r="H529" s="543"/>
      <c r="I529" s="1123"/>
      <c r="J529" s="1123"/>
      <c r="K529" s="1123"/>
      <c r="L529" s="1123"/>
      <c r="M529" s="1123"/>
      <c r="N529" s="1123"/>
      <c r="O529" s="1123"/>
      <c r="P529" s="1123"/>
    </row>
    <row r="530" spans="1:16" s="483" customFormat="1" ht="18" customHeight="1" x14ac:dyDescent="0.25">
      <c r="A530" s="514"/>
      <c r="B530" s="515"/>
      <c r="C530" s="538" t="str">
        <f t="shared" si="62"/>
        <v/>
      </c>
      <c r="D530" s="1117" t="str">
        <f t="shared" si="63"/>
        <v/>
      </c>
      <c r="E530" s="1117"/>
      <c r="F530" s="1117"/>
      <c r="G530" s="542" t="str">
        <f t="shared" si="64"/>
        <v/>
      </c>
      <c r="H530" s="543"/>
      <c r="I530" s="1123"/>
      <c r="J530" s="1123"/>
      <c r="K530" s="1123"/>
      <c r="L530" s="1123"/>
      <c r="M530" s="1123"/>
      <c r="N530" s="1123"/>
      <c r="O530" s="1123"/>
      <c r="P530" s="1123"/>
    </row>
    <row r="531" spans="1:16" s="483" customFormat="1" ht="18" customHeight="1" x14ac:dyDescent="0.25">
      <c r="A531" s="514"/>
      <c r="B531" s="515"/>
      <c r="C531" s="538" t="str">
        <f t="shared" si="62"/>
        <v/>
      </c>
      <c r="D531" s="1117" t="str">
        <f t="shared" si="63"/>
        <v/>
      </c>
      <c r="E531" s="1117"/>
      <c r="F531" s="1117"/>
      <c r="G531" s="542" t="str">
        <f t="shared" si="64"/>
        <v/>
      </c>
      <c r="H531" s="543"/>
      <c r="I531" s="1123"/>
      <c r="J531" s="1123"/>
      <c r="K531" s="1123"/>
      <c r="L531" s="1123"/>
      <c r="M531" s="1123"/>
      <c r="N531" s="1123"/>
      <c r="O531" s="1123"/>
      <c r="P531" s="1123"/>
    </row>
    <row r="532" spans="1:16" s="483" customFormat="1" ht="18" customHeight="1" x14ac:dyDescent="0.25">
      <c r="A532" s="514"/>
      <c r="B532" s="515"/>
      <c r="C532" s="538" t="str">
        <f t="shared" si="62"/>
        <v/>
      </c>
      <c r="D532" s="1117" t="str">
        <f t="shared" si="63"/>
        <v/>
      </c>
      <c r="E532" s="1117"/>
      <c r="F532" s="1117"/>
      <c r="G532" s="542" t="str">
        <f t="shared" si="64"/>
        <v/>
      </c>
      <c r="H532" s="543"/>
      <c r="I532" s="1123"/>
      <c r="J532" s="1123"/>
      <c r="K532" s="1123"/>
      <c r="L532" s="1123"/>
      <c r="M532" s="1123"/>
      <c r="N532" s="1123"/>
      <c r="O532" s="1123"/>
      <c r="P532" s="1123"/>
    </row>
    <row r="533" spans="1:16" s="483" customFormat="1" ht="18" hidden="1" customHeight="1" x14ac:dyDescent="0.25">
      <c r="A533" s="514"/>
      <c r="B533" s="515"/>
      <c r="C533" s="538" t="str">
        <f t="shared" si="62"/>
        <v/>
      </c>
      <c r="D533" s="1117" t="str">
        <f t="shared" si="63"/>
        <v/>
      </c>
      <c r="E533" s="1117"/>
      <c r="F533" s="1117"/>
      <c r="G533" s="542" t="str">
        <f t="shared" si="64"/>
        <v/>
      </c>
      <c r="H533" s="543"/>
      <c r="I533" s="1123"/>
      <c r="J533" s="1123"/>
      <c r="K533" s="1123"/>
      <c r="L533" s="1123"/>
      <c r="M533" s="1123"/>
      <c r="N533" s="1123"/>
      <c r="O533" s="1123"/>
      <c r="P533" s="1123"/>
    </row>
    <row r="534" spans="1:16" s="483" customFormat="1" ht="18" hidden="1" customHeight="1" x14ac:dyDescent="0.25">
      <c r="A534" s="514"/>
      <c r="B534" s="515"/>
      <c r="C534" s="538" t="str">
        <f t="shared" si="62"/>
        <v/>
      </c>
      <c r="D534" s="1117" t="str">
        <f t="shared" si="63"/>
        <v/>
      </c>
      <c r="E534" s="1117"/>
      <c r="F534" s="1117"/>
      <c r="G534" s="542" t="str">
        <f t="shared" si="64"/>
        <v/>
      </c>
      <c r="H534" s="543"/>
      <c r="I534" s="1123"/>
      <c r="J534" s="1123"/>
      <c r="K534" s="1123"/>
      <c r="L534" s="1123"/>
      <c r="M534" s="1123"/>
      <c r="N534" s="1123"/>
      <c r="O534" s="1123"/>
      <c r="P534" s="1123"/>
    </row>
    <row r="535" spans="1:16" s="483" customFormat="1" ht="18" hidden="1" customHeight="1" x14ac:dyDescent="0.25">
      <c r="A535" s="514"/>
      <c r="B535" s="515"/>
      <c r="C535" s="538" t="str">
        <f t="shared" si="62"/>
        <v/>
      </c>
      <c r="D535" s="1117" t="str">
        <f t="shared" si="63"/>
        <v/>
      </c>
      <c r="E535" s="1117"/>
      <c r="F535" s="1117"/>
      <c r="G535" s="542" t="str">
        <f t="shared" si="64"/>
        <v/>
      </c>
      <c r="H535" s="543"/>
      <c r="I535" s="1123"/>
      <c r="J535" s="1123"/>
      <c r="K535" s="1123"/>
      <c r="L535" s="1123"/>
      <c r="M535" s="1123"/>
      <c r="N535" s="1123"/>
      <c r="O535" s="1123"/>
      <c r="P535" s="1123"/>
    </row>
    <row r="536" spans="1:16" s="483" customFormat="1" ht="18" hidden="1" customHeight="1" x14ac:dyDescent="0.25">
      <c r="A536" s="514"/>
      <c r="B536" s="515"/>
      <c r="C536" s="538" t="str">
        <f t="shared" si="62"/>
        <v/>
      </c>
      <c r="D536" s="1117" t="str">
        <f t="shared" si="63"/>
        <v/>
      </c>
      <c r="E536" s="1117"/>
      <c r="F536" s="1117"/>
      <c r="G536" s="542" t="str">
        <f t="shared" si="64"/>
        <v/>
      </c>
      <c r="H536" s="543"/>
      <c r="I536" s="1123"/>
      <c r="J536" s="1123"/>
      <c r="K536" s="1123"/>
      <c r="L536" s="1123"/>
      <c r="M536" s="1123"/>
      <c r="N536" s="1123"/>
      <c r="O536" s="1123"/>
      <c r="P536" s="1123"/>
    </row>
    <row r="537" spans="1:16" s="483" customFormat="1" ht="18" hidden="1" customHeight="1" x14ac:dyDescent="0.25">
      <c r="A537" s="514"/>
      <c r="B537" s="515"/>
      <c r="C537" s="538" t="str">
        <f t="shared" si="62"/>
        <v/>
      </c>
      <c r="D537" s="1117" t="str">
        <f t="shared" si="63"/>
        <v/>
      </c>
      <c r="E537" s="1117"/>
      <c r="F537" s="1117"/>
      <c r="G537" s="542" t="str">
        <f t="shared" si="64"/>
        <v/>
      </c>
      <c r="H537" s="543"/>
      <c r="I537" s="1123"/>
      <c r="J537" s="1123"/>
      <c r="K537" s="1123"/>
      <c r="L537" s="1123"/>
      <c r="M537" s="1123"/>
      <c r="N537" s="1123"/>
      <c r="O537" s="1123"/>
      <c r="P537" s="1123"/>
    </row>
    <row r="538" spans="1:16" s="483" customFormat="1" ht="18" hidden="1" customHeight="1" x14ac:dyDescent="0.25">
      <c r="A538" s="514"/>
      <c r="B538" s="515"/>
      <c r="C538" s="538" t="str">
        <f t="shared" si="62"/>
        <v/>
      </c>
      <c r="D538" s="1117" t="str">
        <f t="shared" si="63"/>
        <v/>
      </c>
      <c r="E538" s="1117"/>
      <c r="F538" s="1117"/>
      <c r="G538" s="542" t="str">
        <f t="shared" si="64"/>
        <v/>
      </c>
      <c r="H538" s="543"/>
      <c r="I538" s="1123"/>
      <c r="J538" s="1123"/>
      <c r="K538" s="1123"/>
      <c r="L538" s="1123"/>
      <c r="M538" s="1123"/>
      <c r="N538" s="1123"/>
      <c r="O538" s="1123"/>
      <c r="P538" s="1123"/>
    </row>
    <row r="539" spans="1:16" s="483" customFormat="1" ht="18" hidden="1" customHeight="1" x14ac:dyDescent="0.25">
      <c r="A539" s="514"/>
      <c r="B539" s="515"/>
      <c r="C539" s="538" t="str">
        <f t="shared" si="62"/>
        <v/>
      </c>
      <c r="D539" s="1117" t="str">
        <f t="shared" si="63"/>
        <v/>
      </c>
      <c r="E539" s="1117"/>
      <c r="F539" s="1117"/>
      <c r="G539" s="542" t="str">
        <f t="shared" si="64"/>
        <v/>
      </c>
      <c r="H539" s="543"/>
      <c r="I539" s="1123"/>
      <c r="J539" s="1123"/>
      <c r="K539" s="1123"/>
      <c r="L539" s="1123"/>
      <c r="M539" s="1123"/>
      <c r="N539" s="1123"/>
      <c r="O539" s="1123"/>
      <c r="P539" s="1123"/>
    </row>
    <row r="540" spans="1:16" s="483" customFormat="1" ht="18" hidden="1" customHeight="1" x14ac:dyDescent="0.25">
      <c r="A540" s="514"/>
      <c r="B540" s="515"/>
      <c r="C540" s="538" t="str">
        <f t="shared" si="62"/>
        <v/>
      </c>
      <c r="D540" s="1117" t="str">
        <f t="shared" si="63"/>
        <v/>
      </c>
      <c r="E540" s="1117"/>
      <c r="F540" s="1117"/>
      <c r="G540" s="542" t="str">
        <f t="shared" si="64"/>
        <v/>
      </c>
      <c r="H540" s="543"/>
      <c r="I540" s="1123"/>
      <c r="J540" s="1123"/>
      <c r="K540" s="1123"/>
      <c r="L540" s="1123"/>
      <c r="M540" s="1123"/>
      <c r="N540" s="1123"/>
      <c r="O540" s="1123"/>
      <c r="P540" s="1123"/>
    </row>
    <row r="541" spans="1:16" s="483" customFormat="1" ht="18" hidden="1" customHeight="1" x14ac:dyDescent="0.25">
      <c r="A541" s="514"/>
      <c r="B541" s="515"/>
      <c r="C541" s="538" t="str">
        <f t="shared" si="62"/>
        <v/>
      </c>
      <c r="D541" s="1117" t="str">
        <f t="shared" si="63"/>
        <v/>
      </c>
      <c r="E541" s="1117"/>
      <c r="F541" s="1117"/>
      <c r="G541" s="542" t="str">
        <f t="shared" si="64"/>
        <v/>
      </c>
      <c r="H541" s="543"/>
      <c r="I541" s="1123"/>
      <c r="J541" s="1123"/>
      <c r="K541" s="1123"/>
      <c r="L541" s="1123"/>
      <c r="M541" s="1123"/>
      <c r="N541" s="1123"/>
      <c r="O541" s="1123"/>
      <c r="P541" s="1123"/>
    </row>
    <row r="542" spans="1:16" s="483" customFormat="1" ht="18" hidden="1" customHeight="1" x14ac:dyDescent="0.25">
      <c r="A542" s="514"/>
      <c r="B542" s="515"/>
      <c r="C542" s="538" t="str">
        <f t="shared" si="62"/>
        <v/>
      </c>
      <c r="D542" s="1117" t="str">
        <f t="shared" si="63"/>
        <v/>
      </c>
      <c r="E542" s="1117"/>
      <c r="F542" s="1117"/>
      <c r="G542" s="542" t="str">
        <f t="shared" si="64"/>
        <v/>
      </c>
      <c r="H542" s="543"/>
      <c r="I542" s="1123"/>
      <c r="J542" s="1123"/>
      <c r="K542" s="1123"/>
      <c r="L542" s="1123"/>
      <c r="M542" s="1123"/>
      <c r="N542" s="1123"/>
      <c r="O542" s="1123"/>
      <c r="P542" s="1123"/>
    </row>
    <row r="543" spans="1:16" s="483" customFormat="1" ht="18" hidden="1" customHeight="1" x14ac:dyDescent="0.25">
      <c r="A543" s="514"/>
      <c r="B543" s="515"/>
      <c r="C543" s="538" t="str">
        <f t="shared" si="62"/>
        <v/>
      </c>
      <c r="D543" s="1117" t="str">
        <f t="shared" si="63"/>
        <v/>
      </c>
      <c r="E543" s="1117"/>
      <c r="F543" s="1117"/>
      <c r="G543" s="542" t="str">
        <f t="shared" si="64"/>
        <v/>
      </c>
      <c r="H543" s="543"/>
      <c r="I543" s="1123"/>
      <c r="J543" s="1123"/>
      <c r="K543" s="1123"/>
      <c r="L543" s="1123"/>
      <c r="M543" s="1123"/>
      <c r="N543" s="1123"/>
      <c r="O543" s="1123"/>
      <c r="P543" s="1123"/>
    </row>
    <row r="544" spans="1:16" s="483" customFormat="1" ht="18" hidden="1" customHeight="1" x14ac:dyDescent="0.25">
      <c r="A544" s="514"/>
      <c r="B544" s="515"/>
      <c r="C544" s="538" t="str">
        <f t="shared" si="62"/>
        <v/>
      </c>
      <c r="D544" s="1117" t="str">
        <f t="shared" si="63"/>
        <v/>
      </c>
      <c r="E544" s="1117"/>
      <c r="F544" s="1117"/>
      <c r="G544" s="542" t="str">
        <f t="shared" si="64"/>
        <v/>
      </c>
      <c r="H544" s="543"/>
      <c r="I544" s="1123"/>
      <c r="J544" s="1123"/>
      <c r="K544" s="1123"/>
      <c r="L544" s="1123"/>
      <c r="M544" s="1123"/>
      <c r="N544" s="1123"/>
      <c r="O544" s="1123"/>
      <c r="P544" s="1123"/>
    </row>
    <row r="545" spans="1:16" s="483" customFormat="1" ht="18" hidden="1" customHeight="1" x14ac:dyDescent="0.25">
      <c r="A545" s="514"/>
      <c r="B545" s="515"/>
      <c r="C545" s="538" t="str">
        <f t="shared" si="62"/>
        <v/>
      </c>
      <c r="D545" s="1117" t="str">
        <f t="shared" si="63"/>
        <v/>
      </c>
      <c r="E545" s="1117"/>
      <c r="F545" s="1117"/>
      <c r="G545" s="542" t="str">
        <f t="shared" si="64"/>
        <v/>
      </c>
      <c r="H545" s="543"/>
      <c r="I545" s="1123"/>
      <c r="J545" s="1123"/>
      <c r="K545" s="1123"/>
      <c r="L545" s="1123"/>
      <c r="M545" s="1123"/>
      <c r="N545" s="1123"/>
      <c r="O545" s="1123"/>
      <c r="P545" s="1123"/>
    </row>
    <row r="546" spans="1:16" s="483" customFormat="1" ht="18" hidden="1" customHeight="1" x14ac:dyDescent="0.25">
      <c r="A546" s="514"/>
      <c r="B546" s="515"/>
      <c r="C546" s="538" t="str">
        <f t="shared" si="62"/>
        <v/>
      </c>
      <c r="D546" s="1117" t="str">
        <f t="shared" si="63"/>
        <v/>
      </c>
      <c r="E546" s="1117"/>
      <c r="F546" s="1117"/>
      <c r="G546" s="542" t="str">
        <f t="shared" si="64"/>
        <v/>
      </c>
      <c r="H546" s="543"/>
      <c r="I546" s="1123"/>
      <c r="J546" s="1123"/>
      <c r="K546" s="1123"/>
      <c r="L546" s="1123"/>
      <c r="M546" s="1123"/>
      <c r="N546" s="1123"/>
      <c r="O546" s="1123"/>
      <c r="P546" s="1123"/>
    </row>
    <row r="547" spans="1:16" s="483" customFormat="1" ht="18" hidden="1" customHeight="1" x14ac:dyDescent="0.25">
      <c r="A547" s="514"/>
      <c r="B547" s="515"/>
      <c r="C547" s="538" t="str">
        <f t="shared" si="62"/>
        <v/>
      </c>
      <c r="D547" s="1117" t="str">
        <f t="shared" si="63"/>
        <v/>
      </c>
      <c r="E547" s="1117"/>
      <c r="F547" s="1117"/>
      <c r="G547" s="542" t="str">
        <f t="shared" si="64"/>
        <v/>
      </c>
      <c r="H547" s="543"/>
      <c r="I547" s="1123"/>
      <c r="J547" s="1123"/>
      <c r="K547" s="1123"/>
      <c r="L547" s="1123"/>
      <c r="M547" s="1123"/>
      <c r="N547" s="1123"/>
      <c r="O547" s="1123"/>
      <c r="P547" s="1123"/>
    </row>
    <row r="548" spans="1:16" s="483" customFormat="1" ht="18" hidden="1" customHeight="1" x14ac:dyDescent="0.25">
      <c r="A548" s="514"/>
      <c r="B548" s="515"/>
      <c r="C548" s="538" t="str">
        <f t="shared" si="62"/>
        <v/>
      </c>
      <c r="D548" s="1117" t="str">
        <f t="shared" si="63"/>
        <v/>
      </c>
      <c r="E548" s="1117"/>
      <c r="F548" s="1117"/>
      <c r="G548" s="542" t="str">
        <f t="shared" si="64"/>
        <v/>
      </c>
      <c r="H548" s="543"/>
      <c r="I548" s="1123"/>
      <c r="J548" s="1123"/>
      <c r="K548" s="1123"/>
      <c r="L548" s="1123"/>
      <c r="M548" s="1123"/>
      <c r="N548" s="1123"/>
      <c r="O548" s="1123"/>
      <c r="P548" s="1123"/>
    </row>
    <row r="549" spans="1:16" s="483" customFormat="1" ht="18" hidden="1" customHeight="1" x14ac:dyDescent="0.25">
      <c r="A549" s="514"/>
      <c r="B549" s="515"/>
      <c r="C549" s="538" t="str">
        <f t="shared" si="62"/>
        <v/>
      </c>
      <c r="D549" s="1117" t="str">
        <f t="shared" si="63"/>
        <v/>
      </c>
      <c r="E549" s="1117"/>
      <c r="F549" s="1117"/>
      <c r="G549" s="542" t="str">
        <f t="shared" si="64"/>
        <v/>
      </c>
      <c r="H549" s="543"/>
      <c r="I549" s="1123"/>
      <c r="J549" s="1123"/>
      <c r="K549" s="1123"/>
      <c r="L549" s="1123"/>
      <c r="M549" s="1123"/>
      <c r="N549" s="1123"/>
      <c r="O549" s="1123"/>
      <c r="P549" s="1123"/>
    </row>
    <row r="550" spans="1:16" s="483" customFormat="1" ht="18" hidden="1" customHeight="1" x14ac:dyDescent="0.25">
      <c r="A550" s="514"/>
      <c r="B550" s="515"/>
      <c r="C550" s="538" t="str">
        <f t="shared" si="62"/>
        <v/>
      </c>
      <c r="D550" s="1117" t="str">
        <f t="shared" si="63"/>
        <v/>
      </c>
      <c r="E550" s="1117"/>
      <c r="F550" s="1117"/>
      <c r="G550" s="542" t="str">
        <f t="shared" si="64"/>
        <v/>
      </c>
      <c r="H550" s="543"/>
      <c r="I550" s="1123"/>
      <c r="J550" s="1123"/>
      <c r="K550" s="1123"/>
      <c r="L550" s="1123"/>
      <c r="M550" s="1123"/>
      <c r="N550" s="1123"/>
      <c r="O550" s="1123"/>
      <c r="P550" s="1123"/>
    </row>
    <row r="551" spans="1:16" s="483" customFormat="1" ht="18" hidden="1" customHeight="1" x14ac:dyDescent="0.25">
      <c r="A551" s="514"/>
      <c r="B551" s="515"/>
      <c r="C551" s="538" t="str">
        <f t="shared" si="62"/>
        <v/>
      </c>
      <c r="D551" s="1117" t="str">
        <f t="shared" si="63"/>
        <v/>
      </c>
      <c r="E551" s="1117"/>
      <c r="F551" s="1117"/>
      <c r="G551" s="542" t="str">
        <f t="shared" si="64"/>
        <v/>
      </c>
      <c r="H551" s="543"/>
      <c r="I551" s="1123"/>
      <c r="J551" s="1123"/>
      <c r="K551" s="1123"/>
      <c r="L551" s="1123"/>
      <c r="M551" s="1123"/>
      <c r="N551" s="1123"/>
      <c r="O551" s="1123"/>
      <c r="P551" s="1123"/>
    </row>
    <row r="552" spans="1:16" s="483" customFormat="1" ht="18" hidden="1" customHeight="1" x14ac:dyDescent="0.25">
      <c r="A552" s="514"/>
      <c r="B552" s="515"/>
      <c r="C552" s="538" t="str">
        <f t="shared" si="62"/>
        <v/>
      </c>
      <c r="D552" s="1117" t="str">
        <f t="shared" si="63"/>
        <v/>
      </c>
      <c r="E552" s="1117"/>
      <c r="F552" s="1117"/>
      <c r="G552" s="542" t="str">
        <f t="shared" si="64"/>
        <v/>
      </c>
      <c r="H552" s="543"/>
      <c r="I552" s="1123"/>
      <c r="J552" s="1123"/>
      <c r="K552" s="1123"/>
      <c r="L552" s="1123"/>
      <c r="M552" s="1123"/>
      <c r="N552" s="1123"/>
      <c r="O552" s="1123"/>
      <c r="P552" s="1123"/>
    </row>
    <row r="553" spans="1:16" s="483" customFormat="1" ht="18" hidden="1" customHeight="1" x14ac:dyDescent="0.25">
      <c r="A553" s="514"/>
      <c r="B553" s="515"/>
      <c r="C553" s="538" t="str">
        <f t="shared" si="62"/>
        <v/>
      </c>
      <c r="D553" s="1117" t="str">
        <f t="shared" si="63"/>
        <v/>
      </c>
      <c r="E553" s="1117"/>
      <c r="F553" s="1117"/>
      <c r="G553" s="542" t="str">
        <f t="shared" si="64"/>
        <v/>
      </c>
      <c r="H553" s="543"/>
      <c r="I553" s="1123"/>
      <c r="J553" s="1123"/>
      <c r="K553" s="1123"/>
      <c r="L553" s="1123"/>
      <c r="M553" s="1123"/>
      <c r="N553" s="1123"/>
      <c r="O553" s="1123"/>
      <c r="P553" s="1123"/>
    </row>
    <row r="554" spans="1:16" s="481" customFormat="1" ht="18" hidden="1" customHeight="1" x14ac:dyDescent="0.25">
      <c r="A554" s="514"/>
      <c r="B554" s="515"/>
      <c r="C554" s="538" t="str">
        <f t="shared" si="62"/>
        <v/>
      </c>
      <c r="D554" s="1117" t="str">
        <f t="shared" si="63"/>
        <v/>
      </c>
      <c r="E554" s="1117"/>
      <c r="F554" s="1117"/>
      <c r="G554" s="542" t="str">
        <f t="shared" si="64"/>
        <v/>
      </c>
      <c r="H554" s="543"/>
      <c r="I554" s="1123"/>
      <c r="J554" s="1123"/>
      <c r="K554" s="1123"/>
      <c r="L554" s="1123"/>
      <c r="M554" s="1123"/>
      <c r="N554" s="1123"/>
      <c r="O554" s="1123"/>
      <c r="P554" s="1123"/>
    </row>
    <row r="555" spans="1:16" s="481" customFormat="1" ht="18" hidden="1" customHeight="1" x14ac:dyDescent="0.25">
      <c r="A555" s="514"/>
      <c r="B555" s="515"/>
      <c r="C555" s="538" t="str">
        <f t="shared" si="62"/>
        <v/>
      </c>
      <c r="D555" s="1117" t="str">
        <f t="shared" si="63"/>
        <v/>
      </c>
      <c r="E555" s="1117"/>
      <c r="F555" s="1117"/>
      <c r="G555" s="542" t="str">
        <f t="shared" si="64"/>
        <v/>
      </c>
      <c r="H555" s="543"/>
      <c r="I555" s="1123"/>
      <c r="J555" s="1123"/>
      <c r="K555" s="1123"/>
      <c r="L555" s="1123"/>
      <c r="M555" s="1123"/>
      <c r="N555" s="1123"/>
      <c r="O555" s="1123"/>
      <c r="P555" s="1123"/>
    </row>
    <row r="556" spans="1:16" s="481" customFormat="1" ht="18" hidden="1" customHeight="1" x14ac:dyDescent="0.25">
      <c r="A556" s="514"/>
      <c r="B556" s="515"/>
      <c r="C556" s="538" t="str">
        <f t="shared" si="62"/>
        <v/>
      </c>
      <c r="D556" s="1117" t="str">
        <f t="shared" si="63"/>
        <v/>
      </c>
      <c r="E556" s="1117"/>
      <c r="F556" s="1117"/>
      <c r="G556" s="542" t="str">
        <f t="shared" si="64"/>
        <v/>
      </c>
      <c r="H556" s="543"/>
      <c r="I556" s="1123"/>
      <c r="J556" s="1123"/>
      <c r="K556" s="1123"/>
      <c r="L556" s="1123"/>
      <c r="M556" s="1123"/>
      <c r="N556" s="1123"/>
      <c r="O556" s="1123"/>
      <c r="P556" s="1123"/>
    </row>
    <row r="557" spans="1:16" s="481" customFormat="1" ht="18" hidden="1" customHeight="1" x14ac:dyDescent="0.25">
      <c r="A557" s="514"/>
      <c r="B557" s="515"/>
      <c r="C557" s="538" t="str">
        <f t="shared" si="62"/>
        <v/>
      </c>
      <c r="D557" s="1117" t="str">
        <f t="shared" si="63"/>
        <v/>
      </c>
      <c r="E557" s="1117"/>
      <c r="F557" s="1117"/>
      <c r="G557" s="542" t="str">
        <f t="shared" si="64"/>
        <v/>
      </c>
      <c r="H557" s="543"/>
      <c r="I557" s="1123"/>
      <c r="J557" s="1123"/>
      <c r="K557" s="1123"/>
      <c r="L557" s="1123"/>
      <c r="M557" s="1123"/>
      <c r="N557" s="1123"/>
      <c r="O557" s="1123"/>
      <c r="P557" s="1123"/>
    </row>
    <row r="558" spans="1:16" s="481" customFormat="1" ht="18" hidden="1" customHeight="1" x14ac:dyDescent="0.25">
      <c r="A558" s="514"/>
      <c r="B558" s="515"/>
      <c r="C558" s="538" t="str">
        <f t="shared" si="62"/>
        <v/>
      </c>
      <c r="D558" s="1117" t="str">
        <f t="shared" si="63"/>
        <v/>
      </c>
      <c r="E558" s="1117"/>
      <c r="F558" s="1117"/>
      <c r="G558" s="542" t="str">
        <f t="shared" si="64"/>
        <v/>
      </c>
      <c r="H558" s="543"/>
      <c r="I558" s="1123"/>
      <c r="J558" s="1123"/>
      <c r="K558" s="1123"/>
      <c r="L558" s="1123"/>
      <c r="M558" s="1123"/>
      <c r="N558" s="1123"/>
      <c r="O558" s="1123"/>
      <c r="P558" s="1123"/>
    </row>
    <row r="559" spans="1:16" s="481" customFormat="1" ht="18" hidden="1" customHeight="1" x14ac:dyDescent="0.25">
      <c r="A559" s="514"/>
      <c r="B559" s="515"/>
      <c r="C559" s="538" t="str">
        <f t="shared" si="62"/>
        <v/>
      </c>
      <c r="D559" s="1117" t="str">
        <f t="shared" si="63"/>
        <v/>
      </c>
      <c r="E559" s="1117"/>
      <c r="F559" s="1117"/>
      <c r="G559" s="542" t="str">
        <f t="shared" si="64"/>
        <v/>
      </c>
      <c r="H559" s="543"/>
      <c r="I559" s="1123"/>
      <c r="J559" s="1123"/>
      <c r="K559" s="1123"/>
      <c r="L559" s="1123"/>
      <c r="M559" s="1123"/>
      <c r="N559" s="1123"/>
      <c r="O559" s="1123"/>
      <c r="P559" s="1123"/>
    </row>
    <row r="560" spans="1:16" s="481" customFormat="1" ht="18" hidden="1" customHeight="1" x14ac:dyDescent="0.25">
      <c r="A560" s="514"/>
      <c r="B560" s="515"/>
      <c r="C560" s="538" t="str">
        <f t="shared" si="62"/>
        <v/>
      </c>
      <c r="D560" s="1117" t="str">
        <f t="shared" si="63"/>
        <v/>
      </c>
      <c r="E560" s="1117"/>
      <c r="F560" s="1117"/>
      <c r="G560" s="542" t="str">
        <f t="shared" si="64"/>
        <v/>
      </c>
      <c r="H560" s="543"/>
      <c r="I560" s="1123"/>
      <c r="J560" s="1123"/>
      <c r="K560" s="1123"/>
      <c r="L560" s="1123"/>
      <c r="M560" s="1123"/>
      <c r="N560" s="1123"/>
      <c r="O560" s="1123"/>
      <c r="P560" s="1123"/>
    </row>
    <row r="561" spans="3:16" s="481" customFormat="1" ht="18" hidden="1" customHeight="1" x14ac:dyDescent="0.25">
      <c r="C561" s="538" t="str">
        <f t="shared" si="62"/>
        <v/>
      </c>
      <c r="D561" s="1117" t="str">
        <f t="shared" si="63"/>
        <v/>
      </c>
      <c r="E561" s="1117"/>
      <c r="F561" s="1117"/>
      <c r="G561" s="542" t="str">
        <f t="shared" si="64"/>
        <v/>
      </c>
      <c r="H561" s="543"/>
      <c r="I561" s="1123"/>
      <c r="J561" s="1123"/>
      <c r="K561" s="1123"/>
      <c r="L561" s="1123"/>
      <c r="M561" s="1123"/>
      <c r="N561" s="1123"/>
      <c r="O561" s="1123"/>
      <c r="P561" s="1123"/>
    </row>
    <row r="562" spans="3:16" s="481" customFormat="1" ht="18" hidden="1" customHeight="1" x14ac:dyDescent="0.25">
      <c r="C562" s="538" t="str">
        <f t="shared" si="62"/>
        <v/>
      </c>
      <c r="D562" s="1117" t="str">
        <f t="shared" si="63"/>
        <v/>
      </c>
      <c r="E562" s="1117"/>
      <c r="F562" s="1117"/>
      <c r="G562" s="542" t="str">
        <f t="shared" si="64"/>
        <v/>
      </c>
      <c r="H562" s="543"/>
      <c r="I562" s="1123"/>
      <c r="J562" s="1123"/>
      <c r="K562" s="1123"/>
      <c r="L562" s="1123"/>
      <c r="M562" s="1123"/>
      <c r="N562" s="1123"/>
      <c r="O562" s="1123"/>
      <c r="P562" s="1123"/>
    </row>
    <row r="563" spans="3:16" s="481" customFormat="1" ht="18" hidden="1" customHeight="1" x14ac:dyDescent="0.25">
      <c r="C563" s="538" t="str">
        <f t="shared" si="62"/>
        <v/>
      </c>
      <c r="D563" s="1117" t="str">
        <f t="shared" si="63"/>
        <v/>
      </c>
      <c r="E563" s="1117"/>
      <c r="F563" s="1117"/>
      <c r="G563" s="542" t="str">
        <f t="shared" si="64"/>
        <v/>
      </c>
      <c r="H563" s="543"/>
      <c r="I563" s="1123"/>
      <c r="J563" s="1123"/>
      <c r="K563" s="1123"/>
      <c r="L563" s="1123"/>
      <c r="M563" s="1123"/>
      <c r="N563" s="1123"/>
      <c r="O563" s="1123"/>
      <c r="P563" s="1123"/>
    </row>
    <row r="564" spans="3:16" s="481" customFormat="1" ht="18" hidden="1" customHeight="1" x14ac:dyDescent="0.25">
      <c r="C564" s="538" t="str">
        <f t="shared" si="62"/>
        <v/>
      </c>
      <c r="D564" s="1117" t="str">
        <f t="shared" si="63"/>
        <v/>
      </c>
      <c r="E564" s="1117"/>
      <c r="F564" s="1117"/>
      <c r="G564" s="542" t="str">
        <f t="shared" si="64"/>
        <v/>
      </c>
      <c r="H564" s="543"/>
      <c r="I564" s="1123"/>
      <c r="J564" s="1123"/>
      <c r="K564" s="1123"/>
      <c r="L564" s="1123"/>
      <c r="M564" s="1123"/>
      <c r="N564" s="1123"/>
      <c r="O564" s="1123"/>
      <c r="P564" s="1123"/>
    </row>
    <row r="565" spans="3:16" s="481" customFormat="1" ht="18" hidden="1" customHeight="1" x14ac:dyDescent="0.25">
      <c r="C565" s="538" t="str">
        <f t="shared" si="62"/>
        <v/>
      </c>
      <c r="D565" s="1117" t="str">
        <f t="shared" si="63"/>
        <v/>
      </c>
      <c r="E565" s="1117"/>
      <c r="F565" s="1117"/>
      <c r="G565" s="542" t="str">
        <f t="shared" si="64"/>
        <v/>
      </c>
      <c r="H565" s="543"/>
      <c r="I565" s="1123"/>
      <c r="J565" s="1123"/>
      <c r="K565" s="1123"/>
      <c r="L565" s="1123"/>
      <c r="M565" s="1123"/>
      <c r="N565" s="1123"/>
      <c r="O565" s="1123"/>
      <c r="P565" s="1123"/>
    </row>
    <row r="566" spans="3:16" s="481" customFormat="1" ht="18" hidden="1" customHeight="1" x14ac:dyDescent="0.25">
      <c r="C566" s="538" t="str">
        <f t="shared" si="62"/>
        <v/>
      </c>
      <c r="D566" s="1117" t="str">
        <f t="shared" si="63"/>
        <v/>
      </c>
      <c r="E566" s="1117"/>
      <c r="F566" s="1117"/>
      <c r="G566" s="542" t="str">
        <f t="shared" si="64"/>
        <v/>
      </c>
      <c r="H566" s="543"/>
      <c r="I566" s="1123"/>
      <c r="J566" s="1123"/>
      <c r="K566" s="1123"/>
      <c r="L566" s="1123"/>
      <c r="M566" s="1123"/>
      <c r="N566" s="1123"/>
      <c r="O566" s="1123"/>
      <c r="P566" s="1123"/>
    </row>
    <row r="567" spans="3:16" s="481" customFormat="1" ht="18" hidden="1" customHeight="1" x14ac:dyDescent="0.25">
      <c r="C567" s="538" t="str">
        <f t="shared" si="62"/>
        <v/>
      </c>
      <c r="D567" s="1117" t="str">
        <f t="shared" si="63"/>
        <v/>
      </c>
      <c r="E567" s="1117"/>
      <c r="F567" s="1117"/>
      <c r="G567" s="542" t="str">
        <f t="shared" si="64"/>
        <v/>
      </c>
      <c r="H567" s="543"/>
      <c r="I567" s="1123"/>
      <c r="J567" s="1123"/>
      <c r="K567" s="1123"/>
      <c r="L567" s="1123"/>
      <c r="M567" s="1123"/>
      <c r="N567" s="1123"/>
      <c r="O567" s="1123"/>
      <c r="P567" s="1123"/>
    </row>
    <row r="568" spans="3:16" s="481" customFormat="1" ht="18" hidden="1" customHeight="1" x14ac:dyDescent="0.25">
      <c r="C568" s="538" t="str">
        <f t="shared" si="62"/>
        <v/>
      </c>
      <c r="D568" s="1117" t="str">
        <f t="shared" si="63"/>
        <v/>
      </c>
      <c r="E568" s="1117"/>
      <c r="F568" s="1117"/>
      <c r="G568" s="542" t="str">
        <f t="shared" si="64"/>
        <v/>
      </c>
      <c r="H568" s="543"/>
      <c r="I568" s="1123"/>
      <c r="J568" s="1123"/>
      <c r="K568" s="1123"/>
      <c r="L568" s="1123"/>
      <c r="M568" s="1123"/>
      <c r="N568" s="1123"/>
      <c r="O568" s="1123"/>
      <c r="P568" s="1123"/>
    </row>
    <row r="569" spans="3:16" s="481" customFormat="1" ht="18" hidden="1" customHeight="1" x14ac:dyDescent="0.25">
      <c r="C569" s="538" t="str">
        <f t="shared" si="62"/>
        <v/>
      </c>
      <c r="D569" s="1117" t="str">
        <f t="shared" si="63"/>
        <v/>
      </c>
      <c r="E569" s="1117"/>
      <c r="F569" s="1117"/>
      <c r="G569" s="542" t="str">
        <f t="shared" si="64"/>
        <v/>
      </c>
      <c r="H569" s="543"/>
      <c r="I569" s="1123"/>
      <c r="J569" s="1123"/>
      <c r="K569" s="1123"/>
      <c r="L569" s="1123"/>
      <c r="M569" s="1123"/>
      <c r="N569" s="1123"/>
      <c r="O569" s="1123"/>
      <c r="P569" s="1123"/>
    </row>
    <row r="570" spans="3:16" s="481" customFormat="1" ht="18" hidden="1" customHeight="1" x14ac:dyDescent="0.25">
      <c r="C570" s="538" t="str">
        <f t="shared" si="62"/>
        <v/>
      </c>
      <c r="D570" s="1117" t="str">
        <f t="shared" si="63"/>
        <v/>
      </c>
      <c r="E570" s="1117"/>
      <c r="F570" s="1117"/>
      <c r="G570" s="542" t="str">
        <f t="shared" si="64"/>
        <v/>
      </c>
      <c r="H570" s="543"/>
      <c r="I570" s="1123"/>
      <c r="J570" s="1123"/>
      <c r="K570" s="1123"/>
      <c r="L570" s="1123"/>
      <c r="M570" s="1123"/>
      <c r="N570" s="1123"/>
      <c r="O570" s="1123"/>
      <c r="P570" s="1123"/>
    </row>
    <row r="571" spans="3:16" s="481" customFormat="1" ht="18" hidden="1" customHeight="1" x14ac:dyDescent="0.25">
      <c r="C571" s="538" t="str">
        <f t="shared" si="62"/>
        <v/>
      </c>
      <c r="D571" s="1117" t="str">
        <f t="shared" si="63"/>
        <v/>
      </c>
      <c r="E571" s="1117"/>
      <c r="F571" s="1117"/>
      <c r="G571" s="542" t="str">
        <f t="shared" si="64"/>
        <v/>
      </c>
      <c r="H571" s="543"/>
      <c r="I571" s="1123"/>
      <c r="J571" s="1123"/>
      <c r="K571" s="1123"/>
      <c r="L571" s="1123"/>
      <c r="M571" s="1123"/>
      <c r="N571" s="1123"/>
      <c r="O571" s="1123"/>
      <c r="P571" s="1123"/>
    </row>
    <row r="572" spans="3:16" s="481" customFormat="1" ht="18" hidden="1" customHeight="1" x14ac:dyDescent="0.25">
      <c r="C572" s="538" t="str">
        <f t="shared" si="62"/>
        <v/>
      </c>
      <c r="D572" s="1117" t="str">
        <f t="shared" si="63"/>
        <v/>
      </c>
      <c r="E572" s="1117"/>
      <c r="F572" s="1117"/>
      <c r="G572" s="542" t="str">
        <f t="shared" si="64"/>
        <v/>
      </c>
      <c r="H572" s="543"/>
      <c r="I572" s="1123"/>
      <c r="J572" s="1123"/>
      <c r="K572" s="1123"/>
      <c r="L572" s="1123"/>
      <c r="M572" s="1123"/>
      <c r="N572" s="1123"/>
      <c r="O572" s="1123"/>
      <c r="P572" s="1123"/>
    </row>
    <row r="573" spans="3:16" s="481" customFormat="1" ht="18" hidden="1" customHeight="1" x14ac:dyDescent="0.25">
      <c r="C573" s="538" t="str">
        <f t="shared" si="62"/>
        <v/>
      </c>
      <c r="D573" s="1117" t="str">
        <f t="shared" si="63"/>
        <v/>
      </c>
      <c r="E573" s="1117"/>
      <c r="F573" s="1117"/>
      <c r="G573" s="542" t="str">
        <f t="shared" si="64"/>
        <v/>
      </c>
      <c r="H573" s="543"/>
      <c r="I573" s="1123"/>
      <c r="J573" s="1123"/>
      <c r="K573" s="1123"/>
      <c r="L573" s="1123"/>
      <c r="M573" s="1123"/>
      <c r="N573" s="1123"/>
      <c r="O573" s="1123"/>
      <c r="P573" s="1123"/>
    </row>
    <row r="574" spans="3:16" s="481" customFormat="1" ht="18" hidden="1" customHeight="1" x14ac:dyDescent="0.25">
      <c r="C574" s="538" t="str">
        <f t="shared" si="62"/>
        <v/>
      </c>
      <c r="D574" s="1117" t="str">
        <f t="shared" si="63"/>
        <v/>
      </c>
      <c r="E574" s="1117"/>
      <c r="F574" s="1117"/>
      <c r="G574" s="542" t="str">
        <f t="shared" si="64"/>
        <v/>
      </c>
      <c r="H574" s="543"/>
      <c r="I574" s="1123"/>
      <c r="J574" s="1123"/>
      <c r="K574" s="1123"/>
      <c r="L574" s="1123"/>
      <c r="M574" s="1123"/>
      <c r="N574" s="1123"/>
      <c r="O574" s="1123"/>
      <c r="P574" s="1123"/>
    </row>
    <row r="575" spans="3:16" s="481" customFormat="1" ht="18" hidden="1" customHeight="1" x14ac:dyDescent="0.25">
      <c r="C575" s="538" t="str">
        <f t="shared" si="62"/>
        <v/>
      </c>
      <c r="D575" s="1117" t="str">
        <f t="shared" si="63"/>
        <v/>
      </c>
      <c r="E575" s="1117"/>
      <c r="F575" s="1117"/>
      <c r="G575" s="542" t="str">
        <f t="shared" si="64"/>
        <v/>
      </c>
      <c r="H575" s="543"/>
      <c r="I575" s="1123"/>
      <c r="J575" s="1123"/>
      <c r="K575" s="1123"/>
      <c r="L575" s="1123"/>
      <c r="M575" s="1123"/>
      <c r="N575" s="1123"/>
      <c r="O575" s="1123"/>
      <c r="P575" s="1123"/>
    </row>
    <row r="576" spans="3:16" s="481" customFormat="1" ht="18" hidden="1" customHeight="1" x14ac:dyDescent="0.25">
      <c r="C576" s="538" t="str">
        <f t="shared" si="62"/>
        <v/>
      </c>
      <c r="D576" s="1117" t="str">
        <f t="shared" si="63"/>
        <v/>
      </c>
      <c r="E576" s="1117"/>
      <c r="F576" s="1117"/>
      <c r="G576" s="542" t="str">
        <f t="shared" si="64"/>
        <v/>
      </c>
      <c r="H576" s="543"/>
      <c r="I576" s="1123"/>
      <c r="J576" s="1123"/>
      <c r="K576" s="1123"/>
      <c r="L576" s="1123"/>
      <c r="M576" s="1123"/>
      <c r="N576" s="1123"/>
      <c r="O576" s="1123"/>
      <c r="P576" s="1123"/>
    </row>
    <row r="577" spans="3:16" s="481" customFormat="1" ht="18" hidden="1" customHeight="1" x14ac:dyDescent="0.25">
      <c r="C577" s="538" t="str">
        <f t="shared" si="62"/>
        <v/>
      </c>
      <c r="D577" s="1117" t="str">
        <f t="shared" si="63"/>
        <v/>
      </c>
      <c r="E577" s="1117"/>
      <c r="F577" s="1117"/>
      <c r="G577" s="542" t="str">
        <f t="shared" si="64"/>
        <v/>
      </c>
      <c r="H577" s="543"/>
      <c r="I577" s="1123"/>
      <c r="J577" s="1123"/>
      <c r="K577" s="1123"/>
      <c r="L577" s="1123"/>
      <c r="M577" s="1123"/>
      <c r="N577" s="1123"/>
      <c r="O577" s="1123"/>
      <c r="P577" s="1123"/>
    </row>
    <row r="578" spans="3:16" s="481" customFormat="1" ht="18" hidden="1" customHeight="1" x14ac:dyDescent="0.25">
      <c r="C578" s="538" t="str">
        <f t="shared" si="62"/>
        <v/>
      </c>
      <c r="D578" s="1117" t="str">
        <f t="shared" si="63"/>
        <v/>
      </c>
      <c r="E578" s="1117"/>
      <c r="F578" s="1117"/>
      <c r="G578" s="542" t="str">
        <f t="shared" si="64"/>
        <v/>
      </c>
      <c r="H578" s="543"/>
      <c r="I578" s="1123"/>
      <c r="J578" s="1123"/>
      <c r="K578" s="1123"/>
      <c r="L578" s="1123"/>
      <c r="M578" s="1123"/>
      <c r="N578" s="1123"/>
      <c r="O578" s="1123"/>
      <c r="P578" s="1123"/>
    </row>
    <row r="579" spans="3:16" s="481" customFormat="1" ht="18" hidden="1" customHeight="1" x14ac:dyDescent="0.25">
      <c r="C579" s="538" t="str">
        <f t="shared" si="62"/>
        <v/>
      </c>
      <c r="D579" s="1117" t="str">
        <f t="shared" si="63"/>
        <v/>
      </c>
      <c r="E579" s="1117"/>
      <c r="F579" s="1117"/>
      <c r="G579" s="542" t="str">
        <f t="shared" si="64"/>
        <v/>
      </c>
      <c r="H579" s="543"/>
      <c r="I579" s="1123"/>
      <c r="J579" s="1123"/>
      <c r="K579" s="1123"/>
      <c r="L579" s="1123"/>
      <c r="M579" s="1123"/>
      <c r="N579" s="1123"/>
      <c r="O579" s="1123"/>
      <c r="P579" s="1123"/>
    </row>
    <row r="580" spans="3:16" s="481" customFormat="1" ht="18" hidden="1" customHeight="1" x14ac:dyDescent="0.25">
      <c r="C580" s="538" t="str">
        <f t="shared" si="62"/>
        <v/>
      </c>
      <c r="D580" s="1117" t="str">
        <f t="shared" si="63"/>
        <v/>
      </c>
      <c r="E580" s="1117"/>
      <c r="F580" s="1117"/>
      <c r="G580" s="542" t="str">
        <f t="shared" si="64"/>
        <v/>
      </c>
      <c r="H580" s="543"/>
      <c r="I580" s="1123"/>
      <c r="J580" s="1123"/>
      <c r="K580" s="1123"/>
      <c r="L580" s="1123"/>
      <c r="M580" s="1123"/>
      <c r="N580" s="1123"/>
      <c r="O580" s="1123"/>
      <c r="P580" s="1123"/>
    </row>
    <row r="581" spans="3:16" s="481" customFormat="1" ht="18" hidden="1" customHeight="1" x14ac:dyDescent="0.25">
      <c r="C581" s="538" t="str">
        <f t="shared" si="62"/>
        <v/>
      </c>
      <c r="D581" s="1117" t="str">
        <f t="shared" si="63"/>
        <v/>
      </c>
      <c r="E581" s="1117"/>
      <c r="F581" s="1117"/>
      <c r="G581" s="542" t="str">
        <f t="shared" si="64"/>
        <v/>
      </c>
      <c r="H581" s="543"/>
      <c r="I581" s="1123"/>
      <c r="J581" s="1123"/>
      <c r="K581" s="1123"/>
      <c r="L581" s="1123"/>
      <c r="M581" s="1123"/>
      <c r="N581" s="1123"/>
      <c r="O581" s="1123"/>
      <c r="P581" s="1123"/>
    </row>
    <row r="582" spans="3:16" s="481" customFormat="1" ht="18" hidden="1" customHeight="1" x14ac:dyDescent="0.25">
      <c r="C582" s="538" t="str">
        <f t="shared" si="62"/>
        <v/>
      </c>
      <c r="D582" s="1117" t="str">
        <f t="shared" si="63"/>
        <v/>
      </c>
      <c r="E582" s="1117"/>
      <c r="F582" s="1117"/>
      <c r="G582" s="542" t="str">
        <f t="shared" si="64"/>
        <v/>
      </c>
      <c r="H582" s="543"/>
      <c r="I582" s="1123"/>
      <c r="J582" s="1123"/>
      <c r="K582" s="1123"/>
      <c r="L582" s="1123"/>
      <c r="M582" s="1123"/>
      <c r="N582" s="1123"/>
      <c r="O582" s="1123"/>
      <c r="P582" s="1123"/>
    </row>
    <row r="583" spans="3:16" s="481" customFormat="1" ht="18" hidden="1" customHeight="1" x14ac:dyDescent="0.25">
      <c r="C583" s="538" t="str">
        <f t="shared" si="62"/>
        <v/>
      </c>
      <c r="D583" s="1117" t="str">
        <f t="shared" si="63"/>
        <v/>
      </c>
      <c r="E583" s="1117"/>
      <c r="F583" s="1117"/>
      <c r="G583" s="542" t="str">
        <f t="shared" si="64"/>
        <v/>
      </c>
      <c r="H583" s="543"/>
      <c r="I583" s="1123"/>
      <c r="J583" s="1123"/>
      <c r="K583" s="1123"/>
      <c r="L583" s="1123"/>
      <c r="M583" s="1123"/>
      <c r="N583" s="1123"/>
      <c r="O583" s="1123"/>
      <c r="P583" s="1123"/>
    </row>
    <row r="584" spans="3:16" s="481" customFormat="1" ht="18" hidden="1" customHeight="1" x14ac:dyDescent="0.25">
      <c r="C584" s="538" t="str">
        <f t="shared" si="62"/>
        <v/>
      </c>
      <c r="D584" s="1117" t="str">
        <f t="shared" si="63"/>
        <v/>
      </c>
      <c r="E584" s="1117"/>
      <c r="F584" s="1117"/>
      <c r="G584" s="542" t="str">
        <f t="shared" si="64"/>
        <v/>
      </c>
      <c r="H584" s="543"/>
      <c r="I584" s="1123"/>
      <c r="J584" s="1123"/>
      <c r="K584" s="1123"/>
      <c r="L584" s="1123"/>
      <c r="M584" s="1123"/>
      <c r="N584" s="1123"/>
      <c r="O584" s="1123"/>
      <c r="P584" s="1123"/>
    </row>
    <row r="585" spans="3:16" s="481" customFormat="1" ht="18" hidden="1" customHeight="1" x14ac:dyDescent="0.25">
      <c r="C585" s="538" t="str">
        <f t="shared" si="62"/>
        <v/>
      </c>
      <c r="D585" s="1117" t="str">
        <f t="shared" si="63"/>
        <v/>
      </c>
      <c r="E585" s="1117"/>
      <c r="F585" s="1117"/>
      <c r="G585" s="542" t="str">
        <f t="shared" si="64"/>
        <v/>
      </c>
      <c r="H585" s="543"/>
      <c r="I585" s="1123"/>
      <c r="J585" s="1123"/>
      <c r="K585" s="1123"/>
      <c r="L585" s="1123"/>
      <c r="M585" s="1123"/>
      <c r="N585" s="1123"/>
      <c r="O585" s="1123"/>
      <c r="P585" s="1123"/>
    </row>
    <row r="586" spans="3:16" s="481" customFormat="1" ht="18" hidden="1" customHeight="1" x14ac:dyDescent="0.25">
      <c r="C586" s="538" t="str">
        <f t="shared" si="62"/>
        <v/>
      </c>
      <c r="D586" s="1117" t="str">
        <f t="shared" si="63"/>
        <v/>
      </c>
      <c r="E586" s="1117"/>
      <c r="F586" s="1117"/>
      <c r="G586" s="542" t="str">
        <f t="shared" si="64"/>
        <v/>
      </c>
      <c r="H586" s="543"/>
      <c r="I586" s="1123"/>
      <c r="J586" s="1123"/>
      <c r="K586" s="1123"/>
      <c r="L586" s="1123"/>
      <c r="M586" s="1123"/>
      <c r="N586" s="1123"/>
      <c r="O586" s="1123"/>
      <c r="P586" s="1123"/>
    </row>
    <row r="587" spans="3:16" s="481" customFormat="1" ht="18" hidden="1" customHeight="1" x14ac:dyDescent="0.25">
      <c r="C587" s="538" t="str">
        <f t="shared" si="62"/>
        <v/>
      </c>
      <c r="D587" s="1117" t="str">
        <f t="shared" si="63"/>
        <v/>
      </c>
      <c r="E587" s="1117"/>
      <c r="F587" s="1117"/>
      <c r="G587" s="542" t="str">
        <f t="shared" si="64"/>
        <v/>
      </c>
      <c r="H587" s="543"/>
      <c r="I587" s="1123"/>
      <c r="J587" s="1123"/>
      <c r="K587" s="1123"/>
      <c r="L587" s="1123"/>
      <c r="M587" s="1123"/>
      <c r="N587" s="1123"/>
      <c r="O587" s="1123"/>
      <c r="P587" s="1123"/>
    </row>
    <row r="588" spans="3:16" s="481" customFormat="1" ht="18" hidden="1" customHeight="1" x14ac:dyDescent="0.25">
      <c r="C588" s="538" t="str">
        <f t="shared" si="62"/>
        <v/>
      </c>
      <c r="D588" s="1117" t="str">
        <f t="shared" si="63"/>
        <v/>
      </c>
      <c r="E588" s="1117"/>
      <c r="F588" s="1117"/>
      <c r="G588" s="542" t="str">
        <f t="shared" si="64"/>
        <v/>
      </c>
      <c r="H588" s="543"/>
      <c r="I588" s="1123"/>
      <c r="J588" s="1123"/>
      <c r="K588" s="1123"/>
      <c r="L588" s="1123"/>
      <c r="M588" s="1123"/>
      <c r="N588" s="1123"/>
      <c r="O588" s="1123"/>
      <c r="P588" s="1123"/>
    </row>
    <row r="589" spans="3:16" s="481" customFormat="1" ht="18" hidden="1" customHeight="1" x14ac:dyDescent="0.25">
      <c r="C589" s="538" t="str">
        <f t="shared" si="62"/>
        <v/>
      </c>
      <c r="D589" s="1117" t="str">
        <f t="shared" si="63"/>
        <v/>
      </c>
      <c r="E589" s="1117"/>
      <c r="F589" s="1117"/>
      <c r="G589" s="542" t="str">
        <f t="shared" si="64"/>
        <v/>
      </c>
      <c r="H589" s="543"/>
      <c r="I589" s="1123"/>
      <c r="J589" s="1123"/>
      <c r="K589" s="1123"/>
      <c r="L589" s="1123"/>
      <c r="M589" s="1123"/>
      <c r="N589" s="1123"/>
      <c r="O589" s="1123"/>
      <c r="P589" s="1123"/>
    </row>
    <row r="590" spans="3:16" s="481" customFormat="1" ht="18" hidden="1" customHeight="1" x14ac:dyDescent="0.25">
      <c r="C590" s="538" t="str">
        <f t="shared" si="62"/>
        <v/>
      </c>
      <c r="D590" s="1117" t="str">
        <f t="shared" si="63"/>
        <v/>
      </c>
      <c r="E590" s="1117"/>
      <c r="F590" s="1117"/>
      <c r="G590" s="542" t="str">
        <f t="shared" si="64"/>
        <v/>
      </c>
      <c r="H590" s="543"/>
      <c r="I590" s="1123"/>
      <c r="J590" s="1123"/>
      <c r="K590" s="1123"/>
      <c r="L590" s="1123"/>
      <c r="M590" s="1123"/>
      <c r="N590" s="1123"/>
      <c r="O590" s="1123"/>
      <c r="P590" s="1123"/>
    </row>
    <row r="591" spans="3:16" s="481" customFormat="1" ht="18" hidden="1" customHeight="1" x14ac:dyDescent="0.25">
      <c r="C591" s="538" t="str">
        <f t="shared" si="62"/>
        <v/>
      </c>
      <c r="D591" s="1117" t="str">
        <f t="shared" si="63"/>
        <v/>
      </c>
      <c r="E591" s="1117"/>
      <c r="F591" s="1117"/>
      <c r="G591" s="542" t="str">
        <f t="shared" si="64"/>
        <v/>
      </c>
      <c r="H591" s="543"/>
      <c r="I591" s="1123"/>
      <c r="J591" s="1123"/>
      <c r="K591" s="1123"/>
      <c r="L591" s="1123"/>
      <c r="M591" s="1123"/>
      <c r="N591" s="1123"/>
      <c r="O591" s="1123"/>
      <c r="P591" s="1123"/>
    </row>
    <row r="592" spans="3:16" s="481" customFormat="1" ht="18" hidden="1" customHeight="1" x14ac:dyDescent="0.25">
      <c r="C592" s="538" t="str">
        <f t="shared" ref="C592:C655" si="65">IF(A335="Si",C335,"")</f>
        <v/>
      </c>
      <c r="D592" s="1117" t="str">
        <f t="shared" ref="D592:D655" si="66">IF(A335="Si",D335,"")</f>
        <v/>
      </c>
      <c r="E592" s="1117"/>
      <c r="F592" s="1117"/>
      <c r="G592" s="542" t="str">
        <f t="shared" ref="G592:G655" si="67">IF(A335="Si",M335,"")</f>
        <v/>
      </c>
      <c r="H592" s="543"/>
      <c r="I592" s="1123"/>
      <c r="J592" s="1123"/>
      <c r="K592" s="1123"/>
      <c r="L592" s="1123"/>
      <c r="M592" s="1123"/>
      <c r="N592" s="1123"/>
      <c r="O592" s="1123"/>
      <c r="P592" s="1123"/>
    </row>
    <row r="593" spans="3:16" s="481" customFormat="1" ht="18" hidden="1" customHeight="1" x14ac:dyDescent="0.25">
      <c r="C593" s="538" t="str">
        <f t="shared" si="65"/>
        <v/>
      </c>
      <c r="D593" s="1117" t="str">
        <f t="shared" si="66"/>
        <v/>
      </c>
      <c r="E593" s="1117"/>
      <c r="F593" s="1117"/>
      <c r="G593" s="542" t="str">
        <f t="shared" si="67"/>
        <v/>
      </c>
      <c r="H593" s="543"/>
      <c r="I593" s="1123"/>
      <c r="J593" s="1123"/>
      <c r="K593" s="1123"/>
      <c r="L593" s="1123"/>
      <c r="M593" s="1123"/>
      <c r="N593" s="1123"/>
      <c r="O593" s="1123"/>
      <c r="P593" s="1123"/>
    </row>
    <row r="594" spans="3:16" s="481" customFormat="1" ht="18" hidden="1" customHeight="1" x14ac:dyDescent="0.25">
      <c r="C594" s="538" t="str">
        <f t="shared" si="65"/>
        <v/>
      </c>
      <c r="D594" s="1117" t="str">
        <f t="shared" si="66"/>
        <v/>
      </c>
      <c r="E594" s="1117"/>
      <c r="F594" s="1117"/>
      <c r="G594" s="542" t="str">
        <f t="shared" si="67"/>
        <v/>
      </c>
      <c r="H594" s="543"/>
      <c r="I594" s="1123"/>
      <c r="J594" s="1123"/>
      <c r="K594" s="1123"/>
      <c r="L594" s="1123"/>
      <c r="M594" s="1123"/>
      <c r="N594" s="1123"/>
      <c r="O594" s="1123"/>
      <c r="P594" s="1123"/>
    </row>
    <row r="595" spans="3:16" s="481" customFormat="1" ht="18" hidden="1" customHeight="1" x14ac:dyDescent="0.25">
      <c r="C595" s="538" t="str">
        <f t="shared" si="65"/>
        <v/>
      </c>
      <c r="D595" s="1117" t="str">
        <f t="shared" si="66"/>
        <v/>
      </c>
      <c r="E595" s="1117"/>
      <c r="F595" s="1117"/>
      <c r="G595" s="542" t="str">
        <f t="shared" si="67"/>
        <v/>
      </c>
      <c r="H595" s="543"/>
      <c r="I595" s="1123"/>
      <c r="J595" s="1123"/>
      <c r="K595" s="1123"/>
      <c r="L595" s="1123"/>
      <c r="M595" s="1123"/>
      <c r="N595" s="1123"/>
      <c r="O595" s="1123"/>
      <c r="P595" s="1123"/>
    </row>
    <row r="596" spans="3:16" s="481" customFormat="1" ht="18" hidden="1" customHeight="1" x14ac:dyDescent="0.25">
      <c r="C596" s="538" t="str">
        <f t="shared" si="65"/>
        <v/>
      </c>
      <c r="D596" s="1117" t="str">
        <f t="shared" si="66"/>
        <v/>
      </c>
      <c r="E596" s="1117"/>
      <c r="F596" s="1117"/>
      <c r="G596" s="542" t="str">
        <f t="shared" si="67"/>
        <v/>
      </c>
      <c r="H596" s="543"/>
      <c r="I596" s="1123"/>
      <c r="J596" s="1123"/>
      <c r="K596" s="1123"/>
      <c r="L596" s="1123"/>
      <c r="M596" s="1123"/>
      <c r="N596" s="1123"/>
      <c r="O596" s="1123"/>
      <c r="P596" s="1123"/>
    </row>
    <row r="597" spans="3:16" s="481" customFormat="1" ht="18" hidden="1" customHeight="1" x14ac:dyDescent="0.25">
      <c r="C597" s="538" t="str">
        <f t="shared" si="65"/>
        <v/>
      </c>
      <c r="D597" s="1117" t="str">
        <f t="shared" si="66"/>
        <v/>
      </c>
      <c r="E597" s="1117"/>
      <c r="F597" s="1117"/>
      <c r="G597" s="542" t="str">
        <f t="shared" si="67"/>
        <v/>
      </c>
      <c r="H597" s="543"/>
      <c r="I597" s="1123"/>
      <c r="J597" s="1123"/>
      <c r="K597" s="1123"/>
      <c r="L597" s="1123"/>
      <c r="M597" s="1123"/>
      <c r="N597" s="1123"/>
      <c r="O597" s="1123"/>
      <c r="P597" s="1123"/>
    </row>
    <row r="598" spans="3:16" s="481" customFormat="1" ht="18" hidden="1" customHeight="1" x14ac:dyDescent="0.25">
      <c r="C598" s="538" t="str">
        <f t="shared" si="65"/>
        <v/>
      </c>
      <c r="D598" s="1117" t="str">
        <f t="shared" si="66"/>
        <v/>
      </c>
      <c r="E598" s="1117"/>
      <c r="F598" s="1117"/>
      <c r="G598" s="542" t="str">
        <f t="shared" si="67"/>
        <v/>
      </c>
      <c r="H598" s="543"/>
      <c r="I598" s="1123"/>
      <c r="J598" s="1123"/>
      <c r="K598" s="1123"/>
      <c r="L598" s="1123"/>
      <c r="M598" s="1123"/>
      <c r="N598" s="1123"/>
      <c r="O598" s="1123"/>
      <c r="P598" s="1123"/>
    </row>
    <row r="599" spans="3:16" s="481" customFormat="1" ht="18" hidden="1" customHeight="1" x14ac:dyDescent="0.25">
      <c r="C599" s="538" t="str">
        <f t="shared" si="65"/>
        <v/>
      </c>
      <c r="D599" s="1117" t="str">
        <f t="shared" si="66"/>
        <v/>
      </c>
      <c r="E599" s="1117"/>
      <c r="F599" s="1117"/>
      <c r="G599" s="542" t="str">
        <f t="shared" si="67"/>
        <v/>
      </c>
      <c r="H599" s="543"/>
      <c r="I599" s="1123"/>
      <c r="J599" s="1123"/>
      <c r="K599" s="1123"/>
      <c r="L599" s="1123"/>
      <c r="M599" s="1123"/>
      <c r="N599" s="1123"/>
      <c r="O599" s="1123"/>
      <c r="P599" s="1123"/>
    </row>
    <row r="600" spans="3:16" s="481" customFormat="1" ht="18" hidden="1" customHeight="1" x14ac:dyDescent="0.25">
      <c r="C600" s="538" t="str">
        <f t="shared" si="65"/>
        <v/>
      </c>
      <c r="D600" s="1117" t="str">
        <f t="shared" si="66"/>
        <v/>
      </c>
      <c r="E600" s="1117"/>
      <c r="F600" s="1117"/>
      <c r="G600" s="542" t="str">
        <f t="shared" si="67"/>
        <v/>
      </c>
      <c r="H600" s="543"/>
      <c r="I600" s="1123"/>
      <c r="J600" s="1123"/>
      <c r="K600" s="1123"/>
      <c r="L600" s="1123"/>
      <c r="M600" s="1123"/>
      <c r="N600" s="1123"/>
      <c r="O600" s="1123"/>
      <c r="P600" s="1123"/>
    </row>
    <row r="601" spans="3:16" s="481" customFormat="1" ht="18" hidden="1" customHeight="1" x14ac:dyDescent="0.25">
      <c r="C601" s="538" t="str">
        <f t="shared" si="65"/>
        <v/>
      </c>
      <c r="D601" s="1117" t="str">
        <f t="shared" si="66"/>
        <v/>
      </c>
      <c r="E601" s="1117"/>
      <c r="F601" s="1117"/>
      <c r="G601" s="542" t="str">
        <f t="shared" si="67"/>
        <v/>
      </c>
      <c r="H601" s="543"/>
      <c r="I601" s="1123"/>
      <c r="J601" s="1123"/>
      <c r="K601" s="1123"/>
      <c r="L601" s="1123"/>
      <c r="M601" s="1123"/>
      <c r="N601" s="1123"/>
      <c r="O601" s="1123"/>
      <c r="P601" s="1123"/>
    </row>
    <row r="602" spans="3:16" s="481" customFormat="1" ht="18" hidden="1" customHeight="1" x14ac:dyDescent="0.25">
      <c r="C602" s="538" t="str">
        <f t="shared" si="65"/>
        <v/>
      </c>
      <c r="D602" s="1117" t="str">
        <f t="shared" si="66"/>
        <v/>
      </c>
      <c r="E602" s="1117"/>
      <c r="F602" s="1117"/>
      <c r="G602" s="542" t="str">
        <f t="shared" si="67"/>
        <v/>
      </c>
      <c r="H602" s="543"/>
      <c r="I602" s="1123"/>
      <c r="J602" s="1123"/>
      <c r="K602" s="1123"/>
      <c r="L602" s="1123"/>
      <c r="M602" s="1123"/>
      <c r="N602" s="1123"/>
      <c r="O602" s="1123"/>
      <c r="P602" s="1123"/>
    </row>
    <row r="603" spans="3:16" s="481" customFormat="1" ht="18" hidden="1" customHeight="1" x14ac:dyDescent="0.25">
      <c r="C603" s="538" t="str">
        <f t="shared" si="65"/>
        <v/>
      </c>
      <c r="D603" s="1117" t="str">
        <f t="shared" si="66"/>
        <v/>
      </c>
      <c r="E603" s="1117"/>
      <c r="F603" s="1117"/>
      <c r="G603" s="542" t="str">
        <f t="shared" si="67"/>
        <v/>
      </c>
      <c r="H603" s="543"/>
      <c r="I603" s="1123"/>
      <c r="J603" s="1123"/>
      <c r="K603" s="1123"/>
      <c r="L603" s="1123"/>
      <c r="M603" s="1123"/>
      <c r="N603" s="1123"/>
      <c r="O603" s="1123"/>
      <c r="P603" s="1123"/>
    </row>
    <row r="604" spans="3:16" s="481" customFormat="1" ht="18" hidden="1" customHeight="1" x14ac:dyDescent="0.25">
      <c r="C604" s="538" t="str">
        <f t="shared" si="65"/>
        <v/>
      </c>
      <c r="D604" s="1117" t="str">
        <f t="shared" si="66"/>
        <v/>
      </c>
      <c r="E604" s="1117"/>
      <c r="F604" s="1117"/>
      <c r="G604" s="542" t="str">
        <f t="shared" si="67"/>
        <v/>
      </c>
      <c r="H604" s="543"/>
      <c r="I604" s="1123"/>
      <c r="J604" s="1123"/>
      <c r="K604" s="1123"/>
      <c r="L604" s="1123"/>
      <c r="M604" s="1123"/>
      <c r="N604" s="1123"/>
      <c r="O604" s="1123"/>
      <c r="P604" s="1123"/>
    </row>
    <row r="605" spans="3:16" s="481" customFormat="1" ht="18" hidden="1" customHeight="1" x14ac:dyDescent="0.25">
      <c r="C605" s="538" t="str">
        <f t="shared" si="65"/>
        <v/>
      </c>
      <c r="D605" s="1117" t="str">
        <f t="shared" si="66"/>
        <v/>
      </c>
      <c r="E605" s="1117"/>
      <c r="F605" s="1117"/>
      <c r="G605" s="542" t="str">
        <f t="shared" si="67"/>
        <v/>
      </c>
      <c r="H605" s="543"/>
      <c r="I605" s="1123"/>
      <c r="J605" s="1123"/>
      <c r="K605" s="1123"/>
      <c r="L605" s="1123"/>
      <c r="M605" s="1123"/>
      <c r="N605" s="1123"/>
      <c r="O605" s="1123"/>
      <c r="P605" s="1123"/>
    </row>
    <row r="606" spans="3:16" s="481" customFormat="1" ht="18" hidden="1" customHeight="1" x14ac:dyDescent="0.25">
      <c r="C606" s="538" t="str">
        <f t="shared" si="65"/>
        <v/>
      </c>
      <c r="D606" s="1117" t="str">
        <f t="shared" si="66"/>
        <v/>
      </c>
      <c r="E606" s="1117"/>
      <c r="F606" s="1117"/>
      <c r="G606" s="542" t="str">
        <f t="shared" si="67"/>
        <v/>
      </c>
      <c r="H606" s="543"/>
      <c r="I606" s="1123"/>
      <c r="J606" s="1123"/>
      <c r="K606" s="1123"/>
      <c r="L606" s="1123"/>
      <c r="M606" s="1123"/>
      <c r="N606" s="1123"/>
      <c r="O606" s="1123"/>
      <c r="P606" s="1123"/>
    </row>
    <row r="607" spans="3:16" s="481" customFormat="1" ht="18" hidden="1" customHeight="1" x14ac:dyDescent="0.25">
      <c r="C607" s="538" t="str">
        <f t="shared" si="65"/>
        <v/>
      </c>
      <c r="D607" s="1117" t="str">
        <f t="shared" si="66"/>
        <v/>
      </c>
      <c r="E607" s="1117"/>
      <c r="F607" s="1117"/>
      <c r="G607" s="542" t="str">
        <f t="shared" si="67"/>
        <v/>
      </c>
      <c r="H607" s="543"/>
      <c r="I607" s="1123"/>
      <c r="J607" s="1123"/>
      <c r="K607" s="1123"/>
      <c r="L607" s="1123"/>
      <c r="M607" s="1123"/>
      <c r="N607" s="1123"/>
      <c r="O607" s="1123"/>
      <c r="P607" s="1123"/>
    </row>
    <row r="608" spans="3:16" s="481" customFormat="1" ht="18" hidden="1" customHeight="1" x14ac:dyDescent="0.25">
      <c r="C608" s="538" t="str">
        <f t="shared" si="65"/>
        <v/>
      </c>
      <c r="D608" s="1117" t="str">
        <f t="shared" si="66"/>
        <v/>
      </c>
      <c r="E608" s="1117"/>
      <c r="F608" s="1117"/>
      <c r="G608" s="542" t="str">
        <f t="shared" si="67"/>
        <v/>
      </c>
      <c r="H608" s="543"/>
      <c r="I608" s="1123"/>
      <c r="J608" s="1123"/>
      <c r="K608" s="1123"/>
      <c r="L608" s="1123"/>
      <c r="M608" s="1123"/>
      <c r="N608" s="1123"/>
      <c r="O608" s="1123"/>
      <c r="P608" s="1123"/>
    </row>
    <row r="609" spans="3:16" s="481" customFormat="1" ht="18" hidden="1" customHeight="1" x14ac:dyDescent="0.25">
      <c r="C609" s="538" t="str">
        <f t="shared" si="65"/>
        <v/>
      </c>
      <c r="D609" s="1117" t="str">
        <f t="shared" si="66"/>
        <v/>
      </c>
      <c r="E609" s="1117"/>
      <c r="F609" s="1117"/>
      <c r="G609" s="542" t="str">
        <f t="shared" si="67"/>
        <v/>
      </c>
      <c r="H609" s="543"/>
      <c r="I609" s="1123"/>
      <c r="J609" s="1123"/>
      <c r="K609" s="1123"/>
      <c r="L609" s="1123"/>
      <c r="M609" s="1123"/>
      <c r="N609" s="1123"/>
      <c r="O609" s="1123"/>
      <c r="P609" s="1123"/>
    </row>
    <row r="610" spans="3:16" s="481" customFormat="1" ht="18" hidden="1" customHeight="1" x14ac:dyDescent="0.25">
      <c r="C610" s="538" t="str">
        <f t="shared" si="65"/>
        <v/>
      </c>
      <c r="D610" s="1117" t="str">
        <f t="shared" si="66"/>
        <v/>
      </c>
      <c r="E610" s="1117"/>
      <c r="F610" s="1117"/>
      <c r="G610" s="542" t="str">
        <f t="shared" si="67"/>
        <v/>
      </c>
      <c r="H610" s="543"/>
      <c r="I610" s="1123"/>
      <c r="J610" s="1123"/>
      <c r="K610" s="1123"/>
      <c r="L610" s="1123"/>
      <c r="M610" s="1123"/>
      <c r="N610" s="1123"/>
      <c r="O610" s="1123"/>
      <c r="P610" s="1123"/>
    </row>
    <row r="611" spans="3:16" s="481" customFormat="1" ht="18" hidden="1" customHeight="1" x14ac:dyDescent="0.25">
      <c r="C611" s="538" t="str">
        <f t="shared" si="65"/>
        <v/>
      </c>
      <c r="D611" s="1117" t="str">
        <f t="shared" si="66"/>
        <v/>
      </c>
      <c r="E611" s="1117"/>
      <c r="F611" s="1117"/>
      <c r="G611" s="542" t="str">
        <f t="shared" si="67"/>
        <v/>
      </c>
      <c r="H611" s="543"/>
      <c r="I611" s="1123"/>
      <c r="J611" s="1123"/>
      <c r="K611" s="1123"/>
      <c r="L611" s="1123"/>
      <c r="M611" s="1123"/>
      <c r="N611" s="1123"/>
      <c r="O611" s="1123"/>
      <c r="P611" s="1123"/>
    </row>
    <row r="612" spans="3:16" s="481" customFormat="1" ht="18" hidden="1" customHeight="1" x14ac:dyDescent="0.25">
      <c r="C612" s="538" t="str">
        <f t="shared" si="65"/>
        <v/>
      </c>
      <c r="D612" s="1117" t="str">
        <f t="shared" si="66"/>
        <v/>
      </c>
      <c r="E612" s="1117"/>
      <c r="F612" s="1117"/>
      <c r="G612" s="542" t="str">
        <f t="shared" si="67"/>
        <v/>
      </c>
      <c r="H612" s="543"/>
      <c r="I612" s="1123"/>
      <c r="J612" s="1123"/>
      <c r="K612" s="1123"/>
      <c r="L612" s="1123"/>
      <c r="M612" s="1123"/>
      <c r="N612" s="1123"/>
      <c r="O612" s="1123"/>
      <c r="P612" s="1123"/>
    </row>
    <row r="613" spans="3:16" s="481" customFormat="1" ht="18" hidden="1" customHeight="1" x14ac:dyDescent="0.25">
      <c r="C613" s="538" t="str">
        <f t="shared" si="65"/>
        <v/>
      </c>
      <c r="D613" s="1117" t="str">
        <f t="shared" si="66"/>
        <v/>
      </c>
      <c r="E613" s="1117"/>
      <c r="F613" s="1117"/>
      <c r="G613" s="542" t="str">
        <f t="shared" si="67"/>
        <v/>
      </c>
      <c r="H613" s="543"/>
      <c r="I613" s="1123"/>
      <c r="J613" s="1123"/>
      <c r="K613" s="1123"/>
      <c r="L613" s="1123"/>
      <c r="M613" s="1123"/>
      <c r="N613" s="1123"/>
      <c r="O613" s="1123"/>
      <c r="P613" s="1123"/>
    </row>
    <row r="614" spans="3:16" s="481" customFormat="1" ht="18" hidden="1" customHeight="1" x14ac:dyDescent="0.25">
      <c r="C614" s="538" t="str">
        <f t="shared" si="65"/>
        <v/>
      </c>
      <c r="D614" s="1117" t="str">
        <f t="shared" si="66"/>
        <v/>
      </c>
      <c r="E614" s="1117"/>
      <c r="F614" s="1117"/>
      <c r="G614" s="542" t="str">
        <f t="shared" si="67"/>
        <v/>
      </c>
      <c r="H614" s="543"/>
      <c r="I614" s="1123"/>
      <c r="J614" s="1123"/>
      <c r="K614" s="1123"/>
      <c r="L614" s="1123"/>
      <c r="M614" s="1123"/>
      <c r="N614" s="1123"/>
      <c r="O614" s="1123"/>
      <c r="P614" s="1123"/>
    </row>
    <row r="615" spans="3:16" s="481" customFormat="1" ht="18" hidden="1" customHeight="1" x14ac:dyDescent="0.25">
      <c r="C615" s="538" t="str">
        <f t="shared" si="65"/>
        <v/>
      </c>
      <c r="D615" s="1117" t="str">
        <f t="shared" si="66"/>
        <v/>
      </c>
      <c r="E615" s="1117"/>
      <c r="F615" s="1117"/>
      <c r="G615" s="542" t="str">
        <f t="shared" si="67"/>
        <v/>
      </c>
      <c r="H615" s="543"/>
      <c r="I615" s="1123"/>
      <c r="J615" s="1123"/>
      <c r="K615" s="1123"/>
      <c r="L615" s="1123"/>
      <c r="M615" s="1123"/>
      <c r="N615" s="1123"/>
      <c r="O615" s="1123"/>
      <c r="P615" s="1123"/>
    </row>
    <row r="616" spans="3:16" s="481" customFormat="1" ht="18" hidden="1" customHeight="1" x14ac:dyDescent="0.25">
      <c r="C616" s="538" t="str">
        <f t="shared" si="65"/>
        <v/>
      </c>
      <c r="D616" s="1117" t="str">
        <f t="shared" si="66"/>
        <v/>
      </c>
      <c r="E616" s="1117"/>
      <c r="F616" s="1117"/>
      <c r="G616" s="542" t="str">
        <f t="shared" si="67"/>
        <v/>
      </c>
      <c r="H616" s="543"/>
      <c r="I616" s="1123"/>
      <c r="J616" s="1123"/>
      <c r="K616" s="1123"/>
      <c r="L616" s="1123"/>
      <c r="M616" s="1123"/>
      <c r="N616" s="1123"/>
      <c r="O616" s="1123"/>
      <c r="P616" s="1123"/>
    </row>
    <row r="617" spans="3:16" s="481" customFormat="1" ht="18" hidden="1" customHeight="1" x14ac:dyDescent="0.25">
      <c r="C617" s="538" t="str">
        <f t="shared" si="65"/>
        <v/>
      </c>
      <c r="D617" s="1117" t="str">
        <f t="shared" si="66"/>
        <v/>
      </c>
      <c r="E617" s="1117"/>
      <c r="F617" s="1117"/>
      <c r="G617" s="542" t="str">
        <f t="shared" si="67"/>
        <v/>
      </c>
      <c r="H617" s="543"/>
      <c r="I617" s="1123"/>
      <c r="J617" s="1123"/>
      <c r="K617" s="1123"/>
      <c r="L617" s="1123"/>
      <c r="M617" s="1123"/>
      <c r="N617" s="1123"/>
      <c r="O617" s="1123"/>
      <c r="P617" s="1123"/>
    </row>
    <row r="618" spans="3:16" s="481" customFormat="1" ht="18" hidden="1" customHeight="1" x14ac:dyDescent="0.25">
      <c r="C618" s="538" t="str">
        <f t="shared" si="65"/>
        <v/>
      </c>
      <c r="D618" s="1117" t="str">
        <f t="shared" si="66"/>
        <v/>
      </c>
      <c r="E618" s="1117"/>
      <c r="F618" s="1117"/>
      <c r="G618" s="542" t="str">
        <f t="shared" si="67"/>
        <v/>
      </c>
      <c r="H618" s="543"/>
      <c r="I618" s="1123"/>
      <c r="J618" s="1123"/>
      <c r="K618" s="1123"/>
      <c r="L618" s="1123"/>
      <c r="M618" s="1123"/>
      <c r="N618" s="1123"/>
      <c r="O618" s="1123"/>
      <c r="P618" s="1123"/>
    </row>
    <row r="619" spans="3:16" s="481" customFormat="1" ht="18" hidden="1" customHeight="1" x14ac:dyDescent="0.25">
      <c r="C619" s="538" t="str">
        <f t="shared" si="65"/>
        <v/>
      </c>
      <c r="D619" s="1117" t="str">
        <f t="shared" si="66"/>
        <v/>
      </c>
      <c r="E619" s="1117"/>
      <c r="F619" s="1117"/>
      <c r="G619" s="542" t="str">
        <f t="shared" si="67"/>
        <v/>
      </c>
      <c r="H619" s="543"/>
      <c r="I619" s="1123"/>
      <c r="J619" s="1123"/>
      <c r="K619" s="1123"/>
      <c r="L619" s="1123"/>
      <c r="M619" s="1123"/>
      <c r="N619" s="1123"/>
      <c r="O619" s="1123"/>
      <c r="P619" s="1123"/>
    </row>
    <row r="620" spans="3:16" s="481" customFormat="1" ht="18" hidden="1" customHeight="1" x14ac:dyDescent="0.25">
      <c r="C620" s="538" t="str">
        <f t="shared" si="65"/>
        <v/>
      </c>
      <c r="D620" s="1117" t="str">
        <f t="shared" si="66"/>
        <v/>
      </c>
      <c r="E620" s="1117"/>
      <c r="F620" s="1117"/>
      <c r="G620" s="542" t="str">
        <f t="shared" si="67"/>
        <v/>
      </c>
      <c r="H620" s="543"/>
      <c r="I620" s="1123"/>
      <c r="J620" s="1123"/>
      <c r="K620" s="1123"/>
      <c r="L620" s="1123"/>
      <c r="M620" s="1123"/>
      <c r="N620" s="1123"/>
      <c r="O620" s="1123"/>
      <c r="P620" s="1123"/>
    </row>
    <row r="621" spans="3:16" s="481" customFormat="1" ht="18" hidden="1" customHeight="1" x14ac:dyDescent="0.25">
      <c r="C621" s="538" t="str">
        <f t="shared" si="65"/>
        <v/>
      </c>
      <c r="D621" s="1117" t="str">
        <f t="shared" si="66"/>
        <v/>
      </c>
      <c r="E621" s="1117"/>
      <c r="F621" s="1117"/>
      <c r="G621" s="542" t="str">
        <f t="shared" si="67"/>
        <v/>
      </c>
      <c r="H621" s="543"/>
      <c r="I621" s="1123"/>
      <c r="J621" s="1123"/>
      <c r="K621" s="1123"/>
      <c r="L621" s="1123"/>
      <c r="M621" s="1123"/>
      <c r="N621" s="1123"/>
      <c r="O621" s="1123"/>
      <c r="P621" s="1123"/>
    </row>
    <row r="622" spans="3:16" s="481" customFormat="1" ht="18" hidden="1" customHeight="1" x14ac:dyDescent="0.25">
      <c r="C622" s="538" t="str">
        <f t="shared" si="65"/>
        <v/>
      </c>
      <c r="D622" s="1117" t="str">
        <f t="shared" si="66"/>
        <v/>
      </c>
      <c r="E622" s="1117"/>
      <c r="F622" s="1117"/>
      <c r="G622" s="542" t="str">
        <f t="shared" si="67"/>
        <v/>
      </c>
      <c r="H622" s="543"/>
      <c r="I622" s="1123"/>
      <c r="J622" s="1123"/>
      <c r="K622" s="1123"/>
      <c r="L622" s="1123"/>
      <c r="M622" s="1123"/>
      <c r="N622" s="1123"/>
      <c r="O622" s="1123"/>
      <c r="P622" s="1123"/>
    </row>
    <row r="623" spans="3:16" s="481" customFormat="1" ht="18" hidden="1" customHeight="1" x14ac:dyDescent="0.25">
      <c r="C623" s="538" t="str">
        <f t="shared" si="65"/>
        <v/>
      </c>
      <c r="D623" s="1117" t="str">
        <f t="shared" si="66"/>
        <v/>
      </c>
      <c r="E623" s="1117"/>
      <c r="F623" s="1117"/>
      <c r="G623" s="542" t="str">
        <f t="shared" si="67"/>
        <v/>
      </c>
      <c r="H623" s="543"/>
      <c r="I623" s="1123"/>
      <c r="J623" s="1123"/>
      <c r="K623" s="1123"/>
      <c r="L623" s="1123"/>
      <c r="M623" s="1123"/>
      <c r="N623" s="1123"/>
      <c r="O623" s="1123"/>
      <c r="P623" s="1123"/>
    </row>
    <row r="624" spans="3:16" s="481" customFormat="1" ht="18" hidden="1" customHeight="1" x14ac:dyDescent="0.25">
      <c r="C624" s="538" t="str">
        <f t="shared" si="65"/>
        <v/>
      </c>
      <c r="D624" s="1117" t="str">
        <f t="shared" si="66"/>
        <v/>
      </c>
      <c r="E624" s="1117"/>
      <c r="F624" s="1117"/>
      <c r="G624" s="542" t="str">
        <f t="shared" si="67"/>
        <v/>
      </c>
      <c r="H624" s="543"/>
      <c r="I624" s="1123"/>
      <c r="J624" s="1123"/>
      <c r="K624" s="1123"/>
      <c r="L624" s="1123"/>
      <c r="M624" s="1123"/>
      <c r="N624" s="1123"/>
      <c r="O624" s="1123"/>
      <c r="P624" s="1123"/>
    </row>
    <row r="625" spans="3:16" s="481" customFormat="1" ht="18" hidden="1" customHeight="1" x14ac:dyDescent="0.25">
      <c r="C625" s="538" t="str">
        <f t="shared" si="65"/>
        <v/>
      </c>
      <c r="D625" s="1117" t="str">
        <f t="shared" si="66"/>
        <v/>
      </c>
      <c r="E625" s="1117"/>
      <c r="F625" s="1117"/>
      <c r="G625" s="542" t="str">
        <f t="shared" si="67"/>
        <v/>
      </c>
      <c r="H625" s="543"/>
      <c r="I625" s="1123"/>
      <c r="J625" s="1123"/>
      <c r="K625" s="1123"/>
      <c r="L625" s="1123"/>
      <c r="M625" s="1123"/>
      <c r="N625" s="1123"/>
      <c r="O625" s="1123"/>
      <c r="P625" s="1123"/>
    </row>
    <row r="626" spans="3:16" s="481" customFormat="1" ht="18" hidden="1" customHeight="1" x14ac:dyDescent="0.25">
      <c r="C626" s="538" t="str">
        <f t="shared" si="65"/>
        <v/>
      </c>
      <c r="D626" s="1117" t="str">
        <f t="shared" si="66"/>
        <v/>
      </c>
      <c r="E626" s="1117"/>
      <c r="F626" s="1117"/>
      <c r="G626" s="542" t="str">
        <f t="shared" si="67"/>
        <v/>
      </c>
      <c r="H626" s="543"/>
      <c r="I626" s="1123"/>
      <c r="J626" s="1123"/>
      <c r="K626" s="1123"/>
      <c r="L626" s="1123"/>
      <c r="M626" s="1123"/>
      <c r="N626" s="1123"/>
      <c r="O626" s="1123"/>
      <c r="P626" s="1123"/>
    </row>
    <row r="627" spans="3:16" s="481" customFormat="1" ht="18" hidden="1" customHeight="1" x14ac:dyDescent="0.25">
      <c r="C627" s="538" t="str">
        <f t="shared" si="65"/>
        <v/>
      </c>
      <c r="D627" s="1117" t="str">
        <f t="shared" si="66"/>
        <v/>
      </c>
      <c r="E627" s="1117"/>
      <c r="F627" s="1117"/>
      <c r="G627" s="542" t="str">
        <f t="shared" si="67"/>
        <v/>
      </c>
      <c r="H627" s="543"/>
      <c r="I627" s="1123"/>
      <c r="J627" s="1123"/>
      <c r="K627" s="1123"/>
      <c r="L627" s="1123"/>
      <c r="M627" s="1123"/>
      <c r="N627" s="1123"/>
      <c r="O627" s="1123"/>
      <c r="P627" s="1123"/>
    </row>
    <row r="628" spans="3:16" s="481" customFormat="1" ht="18" hidden="1" customHeight="1" x14ac:dyDescent="0.25">
      <c r="C628" s="538" t="str">
        <f t="shared" si="65"/>
        <v/>
      </c>
      <c r="D628" s="1117" t="str">
        <f t="shared" si="66"/>
        <v/>
      </c>
      <c r="E628" s="1117"/>
      <c r="F628" s="1117"/>
      <c r="G628" s="542" t="str">
        <f t="shared" si="67"/>
        <v/>
      </c>
      <c r="H628" s="543"/>
      <c r="I628" s="1123"/>
      <c r="J628" s="1123"/>
      <c r="K628" s="1123"/>
      <c r="L628" s="1123"/>
      <c r="M628" s="1123"/>
      <c r="N628" s="1123"/>
      <c r="O628" s="1123"/>
      <c r="P628" s="1123"/>
    </row>
    <row r="629" spans="3:16" s="481" customFormat="1" ht="18" hidden="1" customHeight="1" x14ac:dyDescent="0.25">
      <c r="C629" s="538" t="str">
        <f t="shared" si="65"/>
        <v/>
      </c>
      <c r="D629" s="1117" t="str">
        <f t="shared" si="66"/>
        <v/>
      </c>
      <c r="E629" s="1117"/>
      <c r="F629" s="1117"/>
      <c r="G629" s="542" t="str">
        <f t="shared" si="67"/>
        <v/>
      </c>
      <c r="H629" s="543"/>
      <c r="I629" s="1123"/>
      <c r="J629" s="1123"/>
      <c r="K629" s="1123"/>
      <c r="L629" s="1123"/>
      <c r="M629" s="1123"/>
      <c r="N629" s="1123"/>
      <c r="O629" s="1123"/>
      <c r="P629" s="1123"/>
    </row>
    <row r="630" spans="3:16" s="481" customFormat="1" ht="18" hidden="1" customHeight="1" x14ac:dyDescent="0.25">
      <c r="C630" s="538" t="str">
        <f t="shared" si="65"/>
        <v/>
      </c>
      <c r="D630" s="1117" t="str">
        <f t="shared" si="66"/>
        <v/>
      </c>
      <c r="E630" s="1117"/>
      <c r="F630" s="1117"/>
      <c r="G630" s="542" t="str">
        <f t="shared" si="67"/>
        <v/>
      </c>
      <c r="H630" s="543"/>
      <c r="I630" s="1123"/>
      <c r="J630" s="1123"/>
      <c r="K630" s="1123"/>
      <c r="L630" s="1123"/>
      <c r="M630" s="1123"/>
      <c r="N630" s="1123"/>
      <c r="O630" s="1123"/>
      <c r="P630" s="1123"/>
    </row>
    <row r="631" spans="3:16" s="481" customFormat="1" ht="18" hidden="1" customHeight="1" x14ac:dyDescent="0.25">
      <c r="C631" s="538" t="str">
        <f t="shared" si="65"/>
        <v/>
      </c>
      <c r="D631" s="1117" t="str">
        <f t="shared" si="66"/>
        <v/>
      </c>
      <c r="E631" s="1117"/>
      <c r="F631" s="1117"/>
      <c r="G631" s="542" t="str">
        <f t="shared" si="67"/>
        <v/>
      </c>
      <c r="H631" s="543"/>
      <c r="I631" s="1123"/>
      <c r="J631" s="1123"/>
      <c r="K631" s="1123"/>
      <c r="L631" s="1123"/>
      <c r="M631" s="1123"/>
      <c r="N631" s="1123"/>
      <c r="O631" s="1123"/>
      <c r="P631" s="1123"/>
    </row>
    <row r="632" spans="3:16" s="481" customFormat="1" ht="18" hidden="1" customHeight="1" x14ac:dyDescent="0.25">
      <c r="C632" s="538" t="str">
        <f t="shared" si="65"/>
        <v/>
      </c>
      <c r="D632" s="1117" t="str">
        <f t="shared" si="66"/>
        <v/>
      </c>
      <c r="E632" s="1117"/>
      <c r="F632" s="1117"/>
      <c r="G632" s="542" t="str">
        <f t="shared" si="67"/>
        <v/>
      </c>
      <c r="H632" s="543"/>
      <c r="I632" s="1123"/>
      <c r="J632" s="1123"/>
      <c r="K632" s="1123"/>
      <c r="L632" s="1123"/>
      <c r="M632" s="1123"/>
      <c r="N632" s="1123"/>
      <c r="O632" s="1123"/>
      <c r="P632" s="1123"/>
    </row>
    <row r="633" spans="3:16" s="481" customFormat="1" ht="18" hidden="1" customHeight="1" x14ac:dyDescent="0.25">
      <c r="C633" s="538" t="str">
        <f t="shared" si="65"/>
        <v/>
      </c>
      <c r="D633" s="1117" t="str">
        <f t="shared" si="66"/>
        <v/>
      </c>
      <c r="E633" s="1117"/>
      <c r="F633" s="1117"/>
      <c r="G633" s="542" t="str">
        <f t="shared" si="67"/>
        <v/>
      </c>
      <c r="H633" s="543"/>
      <c r="I633" s="1123"/>
      <c r="J633" s="1123"/>
      <c r="K633" s="1123"/>
      <c r="L633" s="1123"/>
      <c r="M633" s="1123"/>
      <c r="N633" s="1123"/>
      <c r="O633" s="1123"/>
      <c r="P633" s="1123"/>
    </row>
    <row r="634" spans="3:16" s="481" customFormat="1" ht="18" hidden="1" customHeight="1" x14ac:dyDescent="0.25">
      <c r="C634" s="538" t="str">
        <f t="shared" si="65"/>
        <v/>
      </c>
      <c r="D634" s="1117" t="str">
        <f t="shared" si="66"/>
        <v/>
      </c>
      <c r="E634" s="1117"/>
      <c r="F634" s="1117"/>
      <c r="G634" s="542" t="str">
        <f t="shared" si="67"/>
        <v/>
      </c>
      <c r="H634" s="543"/>
      <c r="I634" s="1123"/>
      <c r="J634" s="1123"/>
      <c r="K634" s="1123"/>
      <c r="L634" s="1123"/>
      <c r="M634" s="1123"/>
      <c r="N634" s="1123"/>
      <c r="O634" s="1123"/>
      <c r="P634" s="1123"/>
    </row>
    <row r="635" spans="3:16" s="481" customFormat="1" ht="18" hidden="1" customHeight="1" x14ac:dyDescent="0.25">
      <c r="C635" s="538" t="str">
        <f t="shared" si="65"/>
        <v/>
      </c>
      <c r="D635" s="1117" t="str">
        <f t="shared" si="66"/>
        <v/>
      </c>
      <c r="E635" s="1117"/>
      <c r="F635" s="1117"/>
      <c r="G635" s="542" t="str">
        <f t="shared" si="67"/>
        <v/>
      </c>
      <c r="H635" s="543"/>
      <c r="I635" s="1123"/>
      <c r="J635" s="1123"/>
      <c r="K635" s="1123"/>
      <c r="L635" s="1123"/>
      <c r="M635" s="1123"/>
      <c r="N635" s="1123"/>
      <c r="O635" s="1123"/>
      <c r="P635" s="1123"/>
    </row>
    <row r="636" spans="3:16" s="481" customFormat="1" ht="18" hidden="1" customHeight="1" x14ac:dyDescent="0.25">
      <c r="C636" s="538" t="str">
        <f t="shared" si="65"/>
        <v/>
      </c>
      <c r="D636" s="1117" t="str">
        <f t="shared" si="66"/>
        <v/>
      </c>
      <c r="E636" s="1117"/>
      <c r="F636" s="1117"/>
      <c r="G636" s="542" t="str">
        <f t="shared" si="67"/>
        <v/>
      </c>
      <c r="H636" s="543"/>
      <c r="I636" s="1123"/>
      <c r="J636" s="1123"/>
      <c r="K636" s="1123"/>
      <c r="L636" s="1123"/>
      <c r="M636" s="1123"/>
      <c r="N636" s="1123"/>
      <c r="O636" s="1123"/>
      <c r="P636" s="1123"/>
    </row>
    <row r="637" spans="3:16" s="481" customFormat="1" ht="18" hidden="1" customHeight="1" x14ac:dyDescent="0.25">
      <c r="C637" s="538" t="str">
        <f t="shared" si="65"/>
        <v/>
      </c>
      <c r="D637" s="1117" t="str">
        <f t="shared" si="66"/>
        <v/>
      </c>
      <c r="E637" s="1117"/>
      <c r="F637" s="1117"/>
      <c r="G637" s="542" t="str">
        <f t="shared" si="67"/>
        <v/>
      </c>
      <c r="H637" s="543"/>
      <c r="I637" s="1123"/>
      <c r="J637" s="1123"/>
      <c r="K637" s="1123"/>
      <c r="L637" s="1123"/>
      <c r="M637" s="1123"/>
      <c r="N637" s="1123"/>
      <c r="O637" s="1123"/>
      <c r="P637" s="1123"/>
    </row>
    <row r="638" spans="3:16" s="481" customFormat="1" ht="18" hidden="1" customHeight="1" x14ac:dyDescent="0.25">
      <c r="C638" s="538" t="str">
        <f t="shared" si="65"/>
        <v/>
      </c>
      <c r="D638" s="1117" t="str">
        <f t="shared" si="66"/>
        <v/>
      </c>
      <c r="E638" s="1117"/>
      <c r="F638" s="1117"/>
      <c r="G638" s="542" t="str">
        <f t="shared" si="67"/>
        <v/>
      </c>
      <c r="H638" s="543"/>
      <c r="I638" s="1123"/>
      <c r="J638" s="1123"/>
      <c r="K638" s="1123"/>
      <c r="L638" s="1123"/>
      <c r="M638" s="1123"/>
      <c r="N638" s="1123"/>
      <c r="O638" s="1123"/>
      <c r="P638" s="1123"/>
    </row>
    <row r="639" spans="3:16" s="481" customFormat="1" ht="18" hidden="1" customHeight="1" x14ac:dyDescent="0.25">
      <c r="C639" s="538" t="str">
        <f t="shared" si="65"/>
        <v/>
      </c>
      <c r="D639" s="1117" t="str">
        <f t="shared" si="66"/>
        <v/>
      </c>
      <c r="E639" s="1117"/>
      <c r="F639" s="1117"/>
      <c r="G639" s="542" t="str">
        <f t="shared" si="67"/>
        <v/>
      </c>
      <c r="H639" s="543"/>
      <c r="I639" s="1123"/>
      <c r="J639" s="1123"/>
      <c r="K639" s="1123"/>
      <c r="L639" s="1123"/>
      <c r="M639" s="1123"/>
      <c r="N639" s="1123"/>
      <c r="O639" s="1123"/>
      <c r="P639" s="1123"/>
    </row>
    <row r="640" spans="3:16" s="481" customFormat="1" ht="18" hidden="1" customHeight="1" x14ac:dyDescent="0.25">
      <c r="C640" s="538" t="str">
        <f t="shared" si="65"/>
        <v/>
      </c>
      <c r="D640" s="1117" t="str">
        <f t="shared" si="66"/>
        <v/>
      </c>
      <c r="E640" s="1117"/>
      <c r="F640" s="1117"/>
      <c r="G640" s="542" t="str">
        <f t="shared" si="67"/>
        <v/>
      </c>
      <c r="H640" s="543"/>
      <c r="I640" s="1123"/>
      <c r="J640" s="1123"/>
      <c r="K640" s="1123"/>
      <c r="L640" s="1123"/>
      <c r="M640" s="1123"/>
      <c r="N640" s="1123"/>
      <c r="O640" s="1123"/>
      <c r="P640" s="1123"/>
    </row>
    <row r="641" spans="3:16" s="481" customFormat="1" ht="18" hidden="1" customHeight="1" x14ac:dyDescent="0.25">
      <c r="C641" s="538" t="str">
        <f t="shared" si="65"/>
        <v/>
      </c>
      <c r="D641" s="1117" t="str">
        <f t="shared" si="66"/>
        <v/>
      </c>
      <c r="E641" s="1117"/>
      <c r="F641" s="1117"/>
      <c r="G641" s="542" t="str">
        <f t="shared" si="67"/>
        <v/>
      </c>
      <c r="H641" s="543"/>
      <c r="I641" s="1123"/>
      <c r="J641" s="1123"/>
      <c r="K641" s="1123"/>
      <c r="L641" s="1123"/>
      <c r="M641" s="1123"/>
      <c r="N641" s="1123"/>
      <c r="O641" s="1123"/>
      <c r="P641" s="1123"/>
    </row>
    <row r="642" spans="3:16" s="481" customFormat="1" ht="18" hidden="1" customHeight="1" x14ac:dyDescent="0.25">
      <c r="C642" s="538" t="str">
        <f t="shared" si="65"/>
        <v/>
      </c>
      <c r="D642" s="1117" t="str">
        <f t="shared" si="66"/>
        <v/>
      </c>
      <c r="E642" s="1117"/>
      <c r="F642" s="1117"/>
      <c r="G642" s="542" t="str">
        <f t="shared" si="67"/>
        <v/>
      </c>
      <c r="H642" s="543"/>
      <c r="I642" s="1123"/>
      <c r="J642" s="1123"/>
      <c r="K642" s="1123"/>
      <c r="L642" s="1123"/>
      <c r="M642" s="1123"/>
      <c r="N642" s="1123"/>
      <c r="O642" s="1123"/>
      <c r="P642" s="1123"/>
    </row>
    <row r="643" spans="3:16" s="481" customFormat="1" ht="18" hidden="1" customHeight="1" x14ac:dyDescent="0.25">
      <c r="C643" s="538" t="str">
        <f t="shared" si="65"/>
        <v/>
      </c>
      <c r="D643" s="1117" t="str">
        <f t="shared" si="66"/>
        <v/>
      </c>
      <c r="E643" s="1117"/>
      <c r="F643" s="1117"/>
      <c r="G643" s="542" t="str">
        <f t="shared" si="67"/>
        <v/>
      </c>
      <c r="H643" s="543"/>
      <c r="I643" s="1123"/>
      <c r="J643" s="1123"/>
      <c r="K643" s="1123"/>
      <c r="L643" s="1123"/>
      <c r="M643" s="1123"/>
      <c r="N643" s="1123"/>
      <c r="O643" s="1123"/>
      <c r="P643" s="1123"/>
    </row>
    <row r="644" spans="3:16" s="481" customFormat="1" ht="18" hidden="1" customHeight="1" x14ac:dyDescent="0.25">
      <c r="C644" s="538" t="str">
        <f t="shared" si="65"/>
        <v/>
      </c>
      <c r="D644" s="1117" t="str">
        <f t="shared" si="66"/>
        <v/>
      </c>
      <c r="E644" s="1117"/>
      <c r="F644" s="1117"/>
      <c r="G644" s="542" t="str">
        <f t="shared" si="67"/>
        <v/>
      </c>
      <c r="H644" s="543"/>
      <c r="I644" s="1123"/>
      <c r="J644" s="1123"/>
      <c r="K644" s="1123"/>
      <c r="L644" s="1123"/>
      <c r="M644" s="1123"/>
      <c r="N644" s="1123"/>
      <c r="O644" s="1123"/>
      <c r="P644" s="1123"/>
    </row>
    <row r="645" spans="3:16" s="481" customFormat="1" ht="18" hidden="1" customHeight="1" x14ac:dyDescent="0.25">
      <c r="C645" s="538" t="str">
        <f t="shared" si="65"/>
        <v/>
      </c>
      <c r="D645" s="1117" t="str">
        <f t="shared" si="66"/>
        <v/>
      </c>
      <c r="E645" s="1117"/>
      <c r="F645" s="1117"/>
      <c r="G645" s="542" t="str">
        <f t="shared" si="67"/>
        <v/>
      </c>
      <c r="H645" s="543"/>
      <c r="I645" s="1123"/>
      <c r="J645" s="1123"/>
      <c r="K645" s="1123"/>
      <c r="L645" s="1123"/>
      <c r="M645" s="1123"/>
      <c r="N645" s="1123"/>
      <c r="O645" s="1123"/>
      <c r="P645" s="1123"/>
    </row>
    <row r="646" spans="3:16" s="481" customFormat="1" ht="18" hidden="1" customHeight="1" x14ac:dyDescent="0.25">
      <c r="C646" s="538" t="str">
        <f t="shared" si="65"/>
        <v/>
      </c>
      <c r="D646" s="1117" t="str">
        <f t="shared" si="66"/>
        <v/>
      </c>
      <c r="E646" s="1117"/>
      <c r="F646" s="1117"/>
      <c r="G646" s="542" t="str">
        <f t="shared" si="67"/>
        <v/>
      </c>
      <c r="H646" s="543"/>
      <c r="I646" s="1123"/>
      <c r="J646" s="1123"/>
      <c r="K646" s="1123"/>
      <c r="L646" s="1123"/>
      <c r="M646" s="1123"/>
      <c r="N646" s="1123"/>
      <c r="O646" s="1123"/>
      <c r="P646" s="1123"/>
    </row>
    <row r="647" spans="3:16" s="481" customFormat="1" ht="18" hidden="1" customHeight="1" x14ac:dyDescent="0.25">
      <c r="C647" s="538" t="str">
        <f t="shared" si="65"/>
        <v/>
      </c>
      <c r="D647" s="1117" t="str">
        <f t="shared" si="66"/>
        <v/>
      </c>
      <c r="E647" s="1117"/>
      <c r="F647" s="1117"/>
      <c r="G647" s="542" t="str">
        <f t="shared" si="67"/>
        <v/>
      </c>
      <c r="H647" s="543"/>
      <c r="I647" s="1123"/>
      <c r="J647" s="1123"/>
      <c r="K647" s="1123"/>
      <c r="L647" s="1123"/>
      <c r="M647" s="1123"/>
      <c r="N647" s="1123"/>
      <c r="O647" s="1123"/>
      <c r="P647" s="1123"/>
    </row>
    <row r="648" spans="3:16" s="481" customFormat="1" ht="18" hidden="1" customHeight="1" x14ac:dyDescent="0.25">
      <c r="C648" s="538" t="str">
        <f t="shared" si="65"/>
        <v/>
      </c>
      <c r="D648" s="1117" t="str">
        <f t="shared" si="66"/>
        <v/>
      </c>
      <c r="E648" s="1117"/>
      <c r="F648" s="1117"/>
      <c r="G648" s="542" t="str">
        <f t="shared" si="67"/>
        <v/>
      </c>
      <c r="H648" s="543"/>
      <c r="I648" s="1123"/>
      <c r="J648" s="1123"/>
      <c r="K648" s="1123"/>
      <c r="L648" s="1123"/>
      <c r="M648" s="1123"/>
      <c r="N648" s="1123"/>
      <c r="O648" s="1123"/>
      <c r="P648" s="1123"/>
    </row>
    <row r="649" spans="3:16" s="481" customFormat="1" ht="18" hidden="1" customHeight="1" x14ac:dyDescent="0.25">
      <c r="C649" s="538" t="str">
        <f t="shared" si="65"/>
        <v/>
      </c>
      <c r="D649" s="1117" t="str">
        <f t="shared" si="66"/>
        <v/>
      </c>
      <c r="E649" s="1117"/>
      <c r="F649" s="1117"/>
      <c r="G649" s="542" t="str">
        <f t="shared" si="67"/>
        <v/>
      </c>
      <c r="H649" s="543"/>
      <c r="I649" s="1123"/>
      <c r="J649" s="1123"/>
      <c r="K649" s="1123"/>
      <c r="L649" s="1123"/>
      <c r="M649" s="1123"/>
      <c r="N649" s="1123"/>
      <c r="O649" s="1123"/>
      <c r="P649" s="1123"/>
    </row>
    <row r="650" spans="3:16" s="481" customFormat="1" ht="18" hidden="1" customHeight="1" x14ac:dyDescent="0.25">
      <c r="C650" s="538" t="str">
        <f t="shared" si="65"/>
        <v/>
      </c>
      <c r="D650" s="1117" t="str">
        <f t="shared" si="66"/>
        <v/>
      </c>
      <c r="E650" s="1117"/>
      <c r="F650" s="1117"/>
      <c r="G650" s="542" t="str">
        <f t="shared" si="67"/>
        <v/>
      </c>
      <c r="H650" s="543"/>
      <c r="I650" s="1123"/>
      <c r="J650" s="1123"/>
      <c r="K650" s="1123"/>
      <c r="L650" s="1123"/>
      <c r="M650" s="1123"/>
      <c r="N650" s="1123"/>
      <c r="O650" s="1123"/>
      <c r="P650" s="1123"/>
    </row>
    <row r="651" spans="3:16" s="481" customFormat="1" ht="18" hidden="1" customHeight="1" x14ac:dyDescent="0.25">
      <c r="C651" s="538" t="str">
        <f t="shared" si="65"/>
        <v/>
      </c>
      <c r="D651" s="1117" t="str">
        <f t="shared" si="66"/>
        <v/>
      </c>
      <c r="E651" s="1117"/>
      <c r="F651" s="1117"/>
      <c r="G651" s="542" t="str">
        <f t="shared" si="67"/>
        <v/>
      </c>
      <c r="H651" s="543"/>
      <c r="I651" s="1123"/>
      <c r="J651" s="1123"/>
      <c r="K651" s="1123"/>
      <c r="L651" s="1123"/>
      <c r="M651" s="1123"/>
      <c r="N651" s="1123"/>
      <c r="O651" s="1123"/>
      <c r="P651" s="1123"/>
    </row>
    <row r="652" spans="3:16" s="481" customFormat="1" ht="18" hidden="1" customHeight="1" x14ac:dyDescent="0.25">
      <c r="C652" s="538" t="str">
        <f t="shared" si="65"/>
        <v/>
      </c>
      <c r="D652" s="1117" t="str">
        <f t="shared" si="66"/>
        <v/>
      </c>
      <c r="E652" s="1117"/>
      <c r="F652" s="1117"/>
      <c r="G652" s="542" t="str">
        <f t="shared" si="67"/>
        <v/>
      </c>
      <c r="H652" s="543"/>
      <c r="I652" s="1123"/>
      <c r="J652" s="1123"/>
      <c r="K652" s="1123"/>
      <c r="L652" s="1123"/>
      <c r="M652" s="1123"/>
      <c r="N652" s="1123"/>
      <c r="O652" s="1123"/>
      <c r="P652" s="1123"/>
    </row>
    <row r="653" spans="3:16" s="481" customFormat="1" ht="18" hidden="1" customHeight="1" x14ac:dyDescent="0.25">
      <c r="C653" s="538" t="str">
        <f t="shared" si="65"/>
        <v/>
      </c>
      <c r="D653" s="1117" t="str">
        <f t="shared" si="66"/>
        <v/>
      </c>
      <c r="E653" s="1117"/>
      <c r="F653" s="1117"/>
      <c r="G653" s="542" t="str">
        <f t="shared" si="67"/>
        <v/>
      </c>
      <c r="H653" s="543"/>
      <c r="I653" s="1123"/>
      <c r="J653" s="1123"/>
      <c r="K653" s="1123"/>
      <c r="L653" s="1123"/>
      <c r="M653" s="1123"/>
      <c r="N653" s="1123"/>
      <c r="O653" s="1123"/>
      <c r="P653" s="1123"/>
    </row>
    <row r="654" spans="3:16" s="481" customFormat="1" ht="18" hidden="1" customHeight="1" x14ac:dyDescent="0.25">
      <c r="C654" s="538" t="str">
        <f t="shared" si="65"/>
        <v/>
      </c>
      <c r="D654" s="1117" t="str">
        <f t="shared" si="66"/>
        <v/>
      </c>
      <c r="E654" s="1117"/>
      <c r="F654" s="1117"/>
      <c r="G654" s="542" t="str">
        <f t="shared" si="67"/>
        <v/>
      </c>
      <c r="H654" s="543"/>
      <c r="I654" s="1123"/>
      <c r="J654" s="1123"/>
      <c r="K654" s="1123"/>
      <c r="L654" s="1123"/>
      <c r="M654" s="1123"/>
      <c r="N654" s="1123"/>
      <c r="O654" s="1123"/>
      <c r="P654" s="1123"/>
    </row>
    <row r="655" spans="3:16" s="481" customFormat="1" ht="18" hidden="1" customHeight="1" x14ac:dyDescent="0.25">
      <c r="C655" s="538" t="str">
        <f t="shared" si="65"/>
        <v/>
      </c>
      <c r="D655" s="1117" t="str">
        <f t="shared" si="66"/>
        <v/>
      </c>
      <c r="E655" s="1117"/>
      <c r="F655" s="1117"/>
      <c r="G655" s="542" t="str">
        <f t="shared" si="67"/>
        <v/>
      </c>
      <c r="H655" s="543"/>
      <c r="I655" s="1123"/>
      <c r="J655" s="1123"/>
      <c r="K655" s="1123"/>
      <c r="L655" s="1123"/>
      <c r="M655" s="1123"/>
      <c r="N655" s="1123"/>
      <c r="O655" s="1123"/>
      <c r="P655" s="1123"/>
    </row>
    <row r="656" spans="3:16" s="481" customFormat="1" ht="18" hidden="1" customHeight="1" x14ac:dyDescent="0.25">
      <c r="C656" s="538" t="str">
        <f t="shared" ref="C656:C719" si="68">IF(A399="Si",C399,"")</f>
        <v/>
      </c>
      <c r="D656" s="1117" t="str">
        <f t="shared" ref="D656:D719" si="69">IF(A399="Si",D399,"")</f>
        <v/>
      </c>
      <c r="E656" s="1117"/>
      <c r="F656" s="1117"/>
      <c r="G656" s="542" t="str">
        <f t="shared" ref="G656:G719" si="70">IF(A399="Si",M399,"")</f>
        <v/>
      </c>
      <c r="H656" s="543"/>
      <c r="I656" s="1123"/>
      <c r="J656" s="1123"/>
      <c r="K656" s="1123"/>
      <c r="L656" s="1123"/>
      <c r="M656" s="1123"/>
      <c r="N656" s="1123"/>
      <c r="O656" s="1123"/>
      <c r="P656" s="1123"/>
    </row>
    <row r="657" spans="3:16" s="481" customFormat="1" ht="18" hidden="1" customHeight="1" x14ac:dyDescent="0.25">
      <c r="C657" s="538" t="str">
        <f t="shared" si="68"/>
        <v/>
      </c>
      <c r="D657" s="1117" t="str">
        <f t="shared" si="69"/>
        <v/>
      </c>
      <c r="E657" s="1117"/>
      <c r="F657" s="1117"/>
      <c r="G657" s="542" t="str">
        <f t="shared" si="70"/>
        <v/>
      </c>
      <c r="H657" s="543"/>
      <c r="I657" s="1123"/>
      <c r="J657" s="1123"/>
      <c r="K657" s="1123"/>
      <c r="L657" s="1123"/>
      <c r="M657" s="1123"/>
      <c r="N657" s="1123"/>
      <c r="O657" s="1123"/>
      <c r="P657" s="1123"/>
    </row>
    <row r="658" spans="3:16" s="481" customFormat="1" ht="18" hidden="1" customHeight="1" x14ac:dyDescent="0.25">
      <c r="C658" s="538" t="str">
        <f t="shared" si="68"/>
        <v/>
      </c>
      <c r="D658" s="1117" t="str">
        <f t="shared" si="69"/>
        <v/>
      </c>
      <c r="E658" s="1117"/>
      <c r="F658" s="1117"/>
      <c r="G658" s="542" t="str">
        <f t="shared" si="70"/>
        <v/>
      </c>
      <c r="H658" s="543"/>
      <c r="I658" s="1123"/>
      <c r="J658" s="1123"/>
      <c r="K658" s="1123"/>
      <c r="L658" s="1123"/>
      <c r="M658" s="1123"/>
      <c r="N658" s="1123"/>
      <c r="O658" s="1123"/>
      <c r="P658" s="1123"/>
    </row>
    <row r="659" spans="3:16" s="481" customFormat="1" ht="18" hidden="1" customHeight="1" x14ac:dyDescent="0.25">
      <c r="C659" s="538" t="str">
        <f t="shared" si="68"/>
        <v/>
      </c>
      <c r="D659" s="1117" t="str">
        <f t="shared" si="69"/>
        <v/>
      </c>
      <c r="E659" s="1117"/>
      <c r="F659" s="1117"/>
      <c r="G659" s="542" t="str">
        <f t="shared" si="70"/>
        <v/>
      </c>
      <c r="H659" s="543"/>
      <c r="I659" s="1123"/>
      <c r="J659" s="1123"/>
      <c r="K659" s="1123"/>
      <c r="L659" s="1123"/>
      <c r="M659" s="1123"/>
      <c r="N659" s="1123"/>
      <c r="O659" s="1123"/>
      <c r="P659" s="1123"/>
    </row>
    <row r="660" spans="3:16" s="481" customFormat="1" ht="18" hidden="1" customHeight="1" x14ac:dyDescent="0.25">
      <c r="C660" s="538" t="str">
        <f t="shared" si="68"/>
        <v/>
      </c>
      <c r="D660" s="1117" t="str">
        <f t="shared" si="69"/>
        <v/>
      </c>
      <c r="E660" s="1117"/>
      <c r="F660" s="1117"/>
      <c r="G660" s="542" t="str">
        <f t="shared" si="70"/>
        <v/>
      </c>
      <c r="H660" s="543"/>
      <c r="I660" s="1123"/>
      <c r="J660" s="1123"/>
      <c r="K660" s="1123"/>
      <c r="L660" s="1123"/>
      <c r="M660" s="1123"/>
      <c r="N660" s="1123"/>
      <c r="O660" s="1123"/>
      <c r="P660" s="1123"/>
    </row>
    <row r="661" spans="3:16" s="481" customFormat="1" ht="18" hidden="1" customHeight="1" x14ac:dyDescent="0.25">
      <c r="C661" s="538" t="str">
        <f t="shared" si="68"/>
        <v/>
      </c>
      <c r="D661" s="1117" t="str">
        <f t="shared" si="69"/>
        <v/>
      </c>
      <c r="E661" s="1117"/>
      <c r="F661" s="1117"/>
      <c r="G661" s="542" t="str">
        <f t="shared" si="70"/>
        <v/>
      </c>
      <c r="H661" s="543"/>
      <c r="I661" s="1123"/>
      <c r="J661" s="1123"/>
      <c r="K661" s="1123"/>
      <c r="L661" s="1123"/>
      <c r="M661" s="1123"/>
      <c r="N661" s="1123"/>
      <c r="O661" s="1123"/>
      <c r="P661" s="1123"/>
    </row>
    <row r="662" spans="3:16" s="481" customFormat="1" ht="18" hidden="1" customHeight="1" x14ac:dyDescent="0.25">
      <c r="C662" s="538" t="str">
        <f t="shared" si="68"/>
        <v/>
      </c>
      <c r="D662" s="1117" t="str">
        <f t="shared" si="69"/>
        <v/>
      </c>
      <c r="E662" s="1117"/>
      <c r="F662" s="1117"/>
      <c r="G662" s="542" t="str">
        <f t="shared" si="70"/>
        <v/>
      </c>
      <c r="H662" s="543"/>
      <c r="I662" s="1123"/>
      <c r="J662" s="1123"/>
      <c r="K662" s="1123"/>
      <c r="L662" s="1123"/>
      <c r="M662" s="1123"/>
      <c r="N662" s="1123"/>
      <c r="O662" s="1123"/>
      <c r="P662" s="1123"/>
    </row>
    <row r="663" spans="3:16" s="481" customFormat="1" ht="18" hidden="1" customHeight="1" x14ac:dyDescent="0.25">
      <c r="C663" s="538" t="str">
        <f t="shared" si="68"/>
        <v/>
      </c>
      <c r="D663" s="1117" t="str">
        <f t="shared" si="69"/>
        <v/>
      </c>
      <c r="E663" s="1117"/>
      <c r="F663" s="1117"/>
      <c r="G663" s="542" t="str">
        <f t="shared" si="70"/>
        <v/>
      </c>
      <c r="H663" s="543"/>
      <c r="I663" s="1123"/>
      <c r="J663" s="1123"/>
      <c r="K663" s="1123"/>
      <c r="L663" s="1123"/>
      <c r="M663" s="1123"/>
      <c r="N663" s="1123"/>
      <c r="O663" s="1123"/>
      <c r="P663" s="1123"/>
    </row>
    <row r="664" spans="3:16" s="481" customFormat="1" ht="18" hidden="1" customHeight="1" x14ac:dyDescent="0.25">
      <c r="C664" s="538" t="str">
        <f t="shared" si="68"/>
        <v/>
      </c>
      <c r="D664" s="1117" t="str">
        <f t="shared" si="69"/>
        <v/>
      </c>
      <c r="E664" s="1117"/>
      <c r="F664" s="1117"/>
      <c r="G664" s="542" t="str">
        <f t="shared" si="70"/>
        <v/>
      </c>
      <c r="H664" s="543"/>
      <c r="I664" s="1123"/>
      <c r="J664" s="1123"/>
      <c r="K664" s="1123"/>
      <c r="L664" s="1123"/>
      <c r="M664" s="1123"/>
      <c r="N664" s="1123"/>
      <c r="O664" s="1123"/>
      <c r="P664" s="1123"/>
    </row>
    <row r="665" spans="3:16" s="481" customFormat="1" ht="18" hidden="1" customHeight="1" x14ac:dyDescent="0.25">
      <c r="C665" s="538" t="str">
        <f t="shared" si="68"/>
        <v/>
      </c>
      <c r="D665" s="1117" t="str">
        <f t="shared" si="69"/>
        <v/>
      </c>
      <c r="E665" s="1117"/>
      <c r="F665" s="1117"/>
      <c r="G665" s="542" t="str">
        <f t="shared" si="70"/>
        <v/>
      </c>
      <c r="H665" s="543"/>
      <c r="I665" s="1123"/>
      <c r="J665" s="1123"/>
      <c r="K665" s="1123"/>
      <c r="L665" s="1123"/>
      <c r="M665" s="1123"/>
      <c r="N665" s="1123"/>
      <c r="O665" s="1123"/>
      <c r="P665" s="1123"/>
    </row>
    <row r="666" spans="3:16" s="481" customFormat="1" ht="18" hidden="1" customHeight="1" x14ac:dyDescent="0.25">
      <c r="C666" s="538" t="str">
        <f t="shared" si="68"/>
        <v/>
      </c>
      <c r="D666" s="1117" t="str">
        <f t="shared" si="69"/>
        <v/>
      </c>
      <c r="E666" s="1117"/>
      <c r="F666" s="1117"/>
      <c r="G666" s="542" t="str">
        <f t="shared" si="70"/>
        <v/>
      </c>
      <c r="H666" s="543"/>
      <c r="I666" s="1123"/>
      <c r="J666" s="1123"/>
      <c r="K666" s="1123"/>
      <c r="L666" s="1123"/>
      <c r="M666" s="1123"/>
      <c r="N666" s="1123"/>
      <c r="O666" s="1123"/>
      <c r="P666" s="1123"/>
    </row>
    <row r="667" spans="3:16" s="481" customFormat="1" ht="18" hidden="1" customHeight="1" x14ac:dyDescent="0.25">
      <c r="C667" s="538" t="str">
        <f t="shared" si="68"/>
        <v/>
      </c>
      <c r="D667" s="1117" t="str">
        <f t="shared" si="69"/>
        <v/>
      </c>
      <c r="E667" s="1117"/>
      <c r="F667" s="1117"/>
      <c r="G667" s="542" t="str">
        <f t="shared" si="70"/>
        <v/>
      </c>
      <c r="H667" s="543"/>
      <c r="I667" s="1123"/>
      <c r="J667" s="1123"/>
      <c r="K667" s="1123"/>
      <c r="L667" s="1123"/>
      <c r="M667" s="1123"/>
      <c r="N667" s="1123"/>
      <c r="O667" s="1123"/>
      <c r="P667" s="1123"/>
    </row>
    <row r="668" spans="3:16" s="481" customFormat="1" ht="18" hidden="1" customHeight="1" x14ac:dyDescent="0.25">
      <c r="C668" s="538" t="str">
        <f t="shared" si="68"/>
        <v/>
      </c>
      <c r="D668" s="1117" t="str">
        <f t="shared" si="69"/>
        <v/>
      </c>
      <c r="E668" s="1117"/>
      <c r="F668" s="1117"/>
      <c r="G668" s="542" t="str">
        <f t="shared" si="70"/>
        <v/>
      </c>
      <c r="H668" s="543"/>
      <c r="I668" s="1123"/>
      <c r="J668" s="1123"/>
      <c r="K668" s="1123"/>
      <c r="L668" s="1123"/>
      <c r="M668" s="1123"/>
      <c r="N668" s="1123"/>
      <c r="O668" s="1123"/>
      <c r="P668" s="1123"/>
    </row>
    <row r="669" spans="3:16" s="481" customFormat="1" ht="18" hidden="1" customHeight="1" x14ac:dyDescent="0.25">
      <c r="C669" s="538" t="str">
        <f t="shared" si="68"/>
        <v/>
      </c>
      <c r="D669" s="1117" t="str">
        <f t="shared" si="69"/>
        <v/>
      </c>
      <c r="E669" s="1117"/>
      <c r="F669" s="1117"/>
      <c r="G669" s="542" t="str">
        <f t="shared" si="70"/>
        <v/>
      </c>
      <c r="H669" s="543"/>
      <c r="I669" s="1123"/>
      <c r="J669" s="1123"/>
      <c r="K669" s="1123"/>
      <c r="L669" s="1123"/>
      <c r="M669" s="1123"/>
      <c r="N669" s="1123"/>
      <c r="O669" s="1123"/>
      <c r="P669" s="1123"/>
    </row>
    <row r="670" spans="3:16" s="481" customFormat="1" ht="18" hidden="1" customHeight="1" x14ac:dyDescent="0.25">
      <c r="C670" s="538" t="str">
        <f t="shared" si="68"/>
        <v/>
      </c>
      <c r="D670" s="1117" t="str">
        <f t="shared" si="69"/>
        <v/>
      </c>
      <c r="E670" s="1117"/>
      <c r="F670" s="1117"/>
      <c r="G670" s="542" t="str">
        <f t="shared" si="70"/>
        <v/>
      </c>
      <c r="H670" s="543"/>
      <c r="I670" s="1123"/>
      <c r="J670" s="1123"/>
      <c r="K670" s="1123"/>
      <c r="L670" s="1123"/>
      <c r="M670" s="1123"/>
      <c r="N670" s="1123"/>
      <c r="O670" s="1123"/>
      <c r="P670" s="1123"/>
    </row>
    <row r="671" spans="3:16" s="481" customFormat="1" ht="18" hidden="1" customHeight="1" x14ac:dyDescent="0.25">
      <c r="C671" s="538" t="str">
        <f t="shared" si="68"/>
        <v/>
      </c>
      <c r="D671" s="1117" t="str">
        <f t="shared" si="69"/>
        <v/>
      </c>
      <c r="E671" s="1117"/>
      <c r="F671" s="1117"/>
      <c r="G671" s="542" t="str">
        <f t="shared" si="70"/>
        <v/>
      </c>
      <c r="H671" s="543"/>
      <c r="I671" s="1123"/>
      <c r="J671" s="1123"/>
      <c r="K671" s="1123"/>
      <c r="L671" s="1123"/>
      <c r="M671" s="1123"/>
      <c r="N671" s="1123"/>
      <c r="O671" s="1123"/>
      <c r="P671" s="1123"/>
    </row>
    <row r="672" spans="3:16" s="481" customFormat="1" ht="18" hidden="1" customHeight="1" x14ac:dyDescent="0.25">
      <c r="C672" s="538" t="str">
        <f t="shared" si="68"/>
        <v/>
      </c>
      <c r="D672" s="1117" t="str">
        <f t="shared" si="69"/>
        <v/>
      </c>
      <c r="E672" s="1117"/>
      <c r="F672" s="1117"/>
      <c r="G672" s="542" t="str">
        <f t="shared" si="70"/>
        <v/>
      </c>
      <c r="H672" s="543"/>
      <c r="I672" s="1123"/>
      <c r="J672" s="1123"/>
      <c r="K672" s="1123"/>
      <c r="L672" s="1123"/>
      <c r="M672" s="1123"/>
      <c r="N672" s="1123"/>
      <c r="O672" s="1123"/>
      <c r="P672" s="1123"/>
    </row>
    <row r="673" spans="3:16" s="481" customFormat="1" ht="18" hidden="1" customHeight="1" x14ac:dyDescent="0.25">
      <c r="C673" s="538" t="str">
        <f t="shared" si="68"/>
        <v/>
      </c>
      <c r="D673" s="1117" t="str">
        <f t="shared" si="69"/>
        <v/>
      </c>
      <c r="E673" s="1117"/>
      <c r="F673" s="1117"/>
      <c r="G673" s="542" t="str">
        <f t="shared" si="70"/>
        <v/>
      </c>
      <c r="H673" s="543"/>
      <c r="I673" s="1123"/>
      <c r="J673" s="1123"/>
      <c r="K673" s="1123"/>
      <c r="L673" s="1123"/>
      <c r="M673" s="1123"/>
      <c r="N673" s="1123"/>
      <c r="O673" s="1123"/>
      <c r="P673" s="1123"/>
    </row>
    <row r="674" spans="3:16" s="481" customFormat="1" ht="18" hidden="1" customHeight="1" x14ac:dyDescent="0.25">
      <c r="C674" s="538" t="str">
        <f t="shared" si="68"/>
        <v/>
      </c>
      <c r="D674" s="1117" t="str">
        <f t="shared" si="69"/>
        <v/>
      </c>
      <c r="E674" s="1117"/>
      <c r="F674" s="1117"/>
      <c r="G674" s="542" t="str">
        <f t="shared" si="70"/>
        <v/>
      </c>
      <c r="H674" s="543"/>
      <c r="I674" s="1123"/>
      <c r="J674" s="1123"/>
      <c r="K674" s="1123"/>
      <c r="L674" s="1123"/>
      <c r="M674" s="1123"/>
      <c r="N674" s="1123"/>
      <c r="O674" s="1123"/>
      <c r="P674" s="1123"/>
    </row>
    <row r="675" spans="3:16" s="481" customFormat="1" ht="18" hidden="1" customHeight="1" x14ac:dyDescent="0.25">
      <c r="C675" s="538" t="str">
        <f t="shared" si="68"/>
        <v/>
      </c>
      <c r="D675" s="1117" t="str">
        <f t="shared" si="69"/>
        <v/>
      </c>
      <c r="E675" s="1117"/>
      <c r="F675" s="1117"/>
      <c r="G675" s="542" t="str">
        <f t="shared" si="70"/>
        <v/>
      </c>
      <c r="H675" s="543"/>
      <c r="I675" s="1123"/>
      <c r="J675" s="1123"/>
      <c r="K675" s="1123"/>
      <c r="L675" s="1123"/>
      <c r="M675" s="1123"/>
      <c r="N675" s="1123"/>
      <c r="O675" s="1123"/>
      <c r="P675" s="1123"/>
    </row>
    <row r="676" spans="3:16" s="481" customFormat="1" ht="18" hidden="1" customHeight="1" x14ac:dyDescent="0.25">
      <c r="C676" s="538" t="str">
        <f t="shared" si="68"/>
        <v/>
      </c>
      <c r="D676" s="1117" t="str">
        <f t="shared" si="69"/>
        <v/>
      </c>
      <c r="E676" s="1117"/>
      <c r="F676" s="1117"/>
      <c r="G676" s="542" t="str">
        <f t="shared" si="70"/>
        <v/>
      </c>
      <c r="H676" s="543"/>
      <c r="I676" s="1123"/>
      <c r="J676" s="1123"/>
      <c r="K676" s="1123"/>
      <c r="L676" s="1123"/>
      <c r="M676" s="1123"/>
      <c r="N676" s="1123"/>
      <c r="O676" s="1123"/>
      <c r="P676" s="1123"/>
    </row>
    <row r="677" spans="3:16" s="481" customFormat="1" ht="18" hidden="1" customHeight="1" x14ac:dyDescent="0.25">
      <c r="C677" s="538" t="str">
        <f t="shared" si="68"/>
        <v/>
      </c>
      <c r="D677" s="1117" t="str">
        <f t="shared" si="69"/>
        <v/>
      </c>
      <c r="E677" s="1117"/>
      <c r="F677" s="1117"/>
      <c r="G677" s="542" t="str">
        <f t="shared" si="70"/>
        <v/>
      </c>
      <c r="H677" s="543"/>
      <c r="I677" s="1123"/>
      <c r="J677" s="1123"/>
      <c r="K677" s="1123"/>
      <c r="L677" s="1123"/>
      <c r="M677" s="1123"/>
      <c r="N677" s="1123"/>
      <c r="O677" s="1123"/>
      <c r="P677" s="1123"/>
    </row>
    <row r="678" spans="3:16" s="481" customFormat="1" ht="18" hidden="1" customHeight="1" x14ac:dyDescent="0.25">
      <c r="C678" s="538" t="str">
        <f t="shared" si="68"/>
        <v/>
      </c>
      <c r="D678" s="1117" t="str">
        <f t="shared" si="69"/>
        <v/>
      </c>
      <c r="E678" s="1117"/>
      <c r="F678" s="1117"/>
      <c r="G678" s="542" t="str">
        <f t="shared" si="70"/>
        <v/>
      </c>
      <c r="H678" s="543"/>
      <c r="I678" s="1123"/>
      <c r="J678" s="1123"/>
      <c r="K678" s="1123"/>
      <c r="L678" s="1123"/>
      <c r="M678" s="1123"/>
      <c r="N678" s="1123"/>
      <c r="O678" s="1123"/>
      <c r="P678" s="1123"/>
    </row>
    <row r="679" spans="3:16" s="481" customFormat="1" ht="18" hidden="1" customHeight="1" x14ac:dyDescent="0.25">
      <c r="C679" s="538" t="str">
        <f t="shared" si="68"/>
        <v/>
      </c>
      <c r="D679" s="1117" t="str">
        <f t="shared" si="69"/>
        <v/>
      </c>
      <c r="E679" s="1117"/>
      <c r="F679" s="1117"/>
      <c r="G679" s="542" t="str">
        <f t="shared" si="70"/>
        <v/>
      </c>
      <c r="H679" s="543"/>
      <c r="I679" s="1123"/>
      <c r="J679" s="1123"/>
      <c r="K679" s="1123"/>
      <c r="L679" s="1123"/>
      <c r="M679" s="1123"/>
      <c r="N679" s="1123"/>
      <c r="O679" s="1123"/>
      <c r="P679" s="1123"/>
    </row>
    <row r="680" spans="3:16" s="481" customFormat="1" ht="18" hidden="1" customHeight="1" x14ac:dyDescent="0.25">
      <c r="C680" s="538" t="str">
        <f t="shared" si="68"/>
        <v/>
      </c>
      <c r="D680" s="1117" t="str">
        <f t="shared" si="69"/>
        <v/>
      </c>
      <c r="E680" s="1117"/>
      <c r="F680" s="1117"/>
      <c r="G680" s="542" t="str">
        <f t="shared" si="70"/>
        <v/>
      </c>
      <c r="H680" s="543"/>
      <c r="I680" s="1123"/>
      <c r="J680" s="1123"/>
      <c r="K680" s="1123"/>
      <c r="L680" s="1123"/>
      <c r="M680" s="1123"/>
      <c r="N680" s="1123"/>
      <c r="O680" s="1123"/>
      <c r="P680" s="1123"/>
    </row>
    <row r="681" spans="3:16" s="481" customFormat="1" ht="18" hidden="1" customHeight="1" x14ac:dyDescent="0.25">
      <c r="C681" s="538" t="str">
        <f t="shared" si="68"/>
        <v/>
      </c>
      <c r="D681" s="1117" t="str">
        <f t="shared" si="69"/>
        <v/>
      </c>
      <c r="E681" s="1117"/>
      <c r="F681" s="1117"/>
      <c r="G681" s="542" t="str">
        <f t="shared" si="70"/>
        <v/>
      </c>
      <c r="H681" s="543"/>
      <c r="I681" s="1123"/>
      <c r="J681" s="1123"/>
      <c r="K681" s="1123"/>
      <c r="L681" s="1123"/>
      <c r="M681" s="1123"/>
      <c r="N681" s="1123"/>
      <c r="O681" s="1123"/>
      <c r="P681" s="1123"/>
    </row>
    <row r="682" spans="3:16" s="481" customFormat="1" ht="18" hidden="1" customHeight="1" x14ac:dyDescent="0.25">
      <c r="C682" s="538" t="str">
        <f t="shared" si="68"/>
        <v/>
      </c>
      <c r="D682" s="1117" t="str">
        <f t="shared" si="69"/>
        <v/>
      </c>
      <c r="E682" s="1117"/>
      <c r="F682" s="1117"/>
      <c r="G682" s="542" t="str">
        <f t="shared" si="70"/>
        <v/>
      </c>
      <c r="H682" s="543"/>
      <c r="I682" s="1123"/>
      <c r="J682" s="1123"/>
      <c r="K682" s="1123"/>
      <c r="L682" s="1123"/>
      <c r="M682" s="1123"/>
      <c r="N682" s="1123"/>
      <c r="O682" s="1123"/>
      <c r="P682" s="1123"/>
    </row>
    <row r="683" spans="3:16" s="481" customFormat="1" ht="18" hidden="1" customHeight="1" x14ac:dyDescent="0.25">
      <c r="C683" s="538" t="str">
        <f t="shared" si="68"/>
        <v/>
      </c>
      <c r="D683" s="1117" t="str">
        <f t="shared" si="69"/>
        <v/>
      </c>
      <c r="E683" s="1117"/>
      <c r="F683" s="1117"/>
      <c r="G683" s="542" t="str">
        <f t="shared" si="70"/>
        <v/>
      </c>
      <c r="H683" s="543"/>
      <c r="I683" s="1123"/>
      <c r="J683" s="1123"/>
      <c r="K683" s="1123"/>
      <c r="L683" s="1123"/>
      <c r="M683" s="1123"/>
      <c r="N683" s="1123"/>
      <c r="O683" s="1123"/>
      <c r="P683" s="1123"/>
    </row>
    <row r="684" spans="3:16" s="481" customFormat="1" ht="18" hidden="1" customHeight="1" x14ac:dyDescent="0.25">
      <c r="C684" s="538" t="str">
        <f t="shared" si="68"/>
        <v/>
      </c>
      <c r="D684" s="1117" t="str">
        <f t="shared" si="69"/>
        <v/>
      </c>
      <c r="E684" s="1117"/>
      <c r="F684" s="1117"/>
      <c r="G684" s="542" t="str">
        <f t="shared" si="70"/>
        <v/>
      </c>
      <c r="H684" s="543"/>
      <c r="I684" s="1123"/>
      <c r="J684" s="1123"/>
      <c r="K684" s="1123"/>
      <c r="L684" s="1123"/>
      <c r="M684" s="1123"/>
      <c r="N684" s="1123"/>
      <c r="O684" s="1123"/>
      <c r="P684" s="1123"/>
    </row>
    <row r="685" spans="3:16" s="481" customFormat="1" ht="18" hidden="1" customHeight="1" x14ac:dyDescent="0.25">
      <c r="C685" s="538" t="str">
        <f t="shared" si="68"/>
        <v/>
      </c>
      <c r="D685" s="1117" t="str">
        <f t="shared" si="69"/>
        <v/>
      </c>
      <c r="E685" s="1117"/>
      <c r="F685" s="1117"/>
      <c r="G685" s="542" t="str">
        <f t="shared" si="70"/>
        <v/>
      </c>
      <c r="H685" s="543"/>
      <c r="I685" s="1123"/>
      <c r="J685" s="1123"/>
      <c r="K685" s="1123"/>
      <c r="L685" s="1123"/>
      <c r="M685" s="1123"/>
      <c r="N685" s="1123"/>
      <c r="O685" s="1123"/>
      <c r="P685" s="1123"/>
    </row>
    <row r="686" spans="3:16" s="481" customFormat="1" ht="18" hidden="1" customHeight="1" x14ac:dyDescent="0.25">
      <c r="C686" s="538" t="str">
        <f t="shared" si="68"/>
        <v/>
      </c>
      <c r="D686" s="1117" t="str">
        <f t="shared" si="69"/>
        <v/>
      </c>
      <c r="E686" s="1117"/>
      <c r="F686" s="1117"/>
      <c r="G686" s="542" t="str">
        <f t="shared" si="70"/>
        <v/>
      </c>
      <c r="H686" s="543"/>
      <c r="I686" s="1123"/>
      <c r="J686" s="1123"/>
      <c r="K686" s="1123"/>
      <c r="L686" s="1123"/>
      <c r="M686" s="1123"/>
      <c r="N686" s="1123"/>
      <c r="O686" s="1123"/>
      <c r="P686" s="1123"/>
    </row>
    <row r="687" spans="3:16" s="481" customFormat="1" ht="18" hidden="1" customHeight="1" x14ac:dyDescent="0.25">
      <c r="C687" s="538" t="str">
        <f t="shared" si="68"/>
        <v/>
      </c>
      <c r="D687" s="1117" t="str">
        <f t="shared" si="69"/>
        <v/>
      </c>
      <c r="E687" s="1117"/>
      <c r="F687" s="1117"/>
      <c r="G687" s="542" t="str">
        <f t="shared" si="70"/>
        <v/>
      </c>
      <c r="H687" s="543"/>
      <c r="I687" s="1123"/>
      <c r="J687" s="1123"/>
      <c r="K687" s="1123"/>
      <c r="L687" s="1123"/>
      <c r="M687" s="1123"/>
      <c r="N687" s="1123"/>
      <c r="O687" s="1123"/>
      <c r="P687" s="1123"/>
    </row>
    <row r="688" spans="3:16" s="481" customFormat="1" ht="18" hidden="1" customHeight="1" x14ac:dyDescent="0.25">
      <c r="C688" s="538" t="str">
        <f t="shared" si="68"/>
        <v/>
      </c>
      <c r="D688" s="1117" t="str">
        <f t="shared" si="69"/>
        <v/>
      </c>
      <c r="E688" s="1117"/>
      <c r="F688" s="1117"/>
      <c r="G688" s="542" t="str">
        <f t="shared" si="70"/>
        <v/>
      </c>
      <c r="H688" s="543"/>
      <c r="I688" s="1123"/>
      <c r="J688" s="1123"/>
      <c r="K688" s="1123"/>
      <c r="L688" s="1123"/>
      <c r="M688" s="1123"/>
      <c r="N688" s="1123"/>
      <c r="O688" s="1123"/>
      <c r="P688" s="1123"/>
    </row>
    <row r="689" spans="3:16" s="481" customFormat="1" ht="18" hidden="1" customHeight="1" x14ac:dyDescent="0.25">
      <c r="C689" s="538" t="str">
        <f t="shared" si="68"/>
        <v/>
      </c>
      <c r="D689" s="1117" t="str">
        <f t="shared" si="69"/>
        <v/>
      </c>
      <c r="E689" s="1117"/>
      <c r="F689" s="1117"/>
      <c r="G689" s="542" t="str">
        <f t="shared" si="70"/>
        <v/>
      </c>
      <c r="H689" s="543"/>
      <c r="I689" s="1123"/>
      <c r="J689" s="1123"/>
      <c r="K689" s="1123"/>
      <c r="L689" s="1123"/>
      <c r="M689" s="1123"/>
      <c r="N689" s="1123"/>
      <c r="O689" s="1123"/>
      <c r="P689" s="1123"/>
    </row>
    <row r="690" spans="3:16" s="481" customFormat="1" ht="18" hidden="1" customHeight="1" x14ac:dyDescent="0.25">
      <c r="C690" s="538" t="str">
        <f t="shared" si="68"/>
        <v/>
      </c>
      <c r="D690" s="1117" t="str">
        <f t="shared" si="69"/>
        <v/>
      </c>
      <c r="E690" s="1117"/>
      <c r="F690" s="1117"/>
      <c r="G690" s="542" t="str">
        <f t="shared" si="70"/>
        <v/>
      </c>
      <c r="H690" s="543"/>
      <c r="I690" s="1123"/>
      <c r="J690" s="1123"/>
      <c r="K690" s="1123"/>
      <c r="L690" s="1123"/>
      <c r="M690" s="1123"/>
      <c r="N690" s="1123"/>
      <c r="O690" s="1123"/>
      <c r="P690" s="1123"/>
    </row>
    <row r="691" spans="3:16" s="481" customFormat="1" ht="18" hidden="1" customHeight="1" x14ac:dyDescent="0.25">
      <c r="C691" s="538" t="str">
        <f t="shared" si="68"/>
        <v/>
      </c>
      <c r="D691" s="1117" t="str">
        <f t="shared" si="69"/>
        <v/>
      </c>
      <c r="E691" s="1117"/>
      <c r="F691" s="1117"/>
      <c r="G691" s="542" t="str">
        <f t="shared" si="70"/>
        <v/>
      </c>
      <c r="H691" s="543"/>
      <c r="I691" s="1123"/>
      <c r="J691" s="1123"/>
      <c r="K691" s="1123"/>
      <c r="L691" s="1123"/>
      <c r="M691" s="1123"/>
      <c r="N691" s="1123"/>
      <c r="O691" s="1123"/>
      <c r="P691" s="1123"/>
    </row>
    <row r="692" spans="3:16" s="481" customFormat="1" ht="18" hidden="1" customHeight="1" x14ac:dyDescent="0.25">
      <c r="C692" s="538" t="str">
        <f t="shared" si="68"/>
        <v/>
      </c>
      <c r="D692" s="1117" t="str">
        <f t="shared" si="69"/>
        <v/>
      </c>
      <c r="E692" s="1117"/>
      <c r="F692" s="1117"/>
      <c r="G692" s="542" t="str">
        <f t="shared" si="70"/>
        <v/>
      </c>
      <c r="H692" s="543"/>
      <c r="I692" s="1123"/>
      <c r="J692" s="1123"/>
      <c r="K692" s="1123"/>
      <c r="L692" s="1123"/>
      <c r="M692" s="1123"/>
      <c r="N692" s="1123"/>
      <c r="O692" s="1123"/>
      <c r="P692" s="1123"/>
    </row>
    <row r="693" spans="3:16" s="481" customFormat="1" ht="18" hidden="1" customHeight="1" x14ac:dyDescent="0.25">
      <c r="C693" s="538" t="str">
        <f t="shared" si="68"/>
        <v/>
      </c>
      <c r="D693" s="1117" t="str">
        <f t="shared" si="69"/>
        <v/>
      </c>
      <c r="E693" s="1117"/>
      <c r="F693" s="1117"/>
      <c r="G693" s="542" t="str">
        <f t="shared" si="70"/>
        <v/>
      </c>
      <c r="H693" s="543"/>
      <c r="I693" s="1123"/>
      <c r="J693" s="1123"/>
      <c r="K693" s="1123"/>
      <c r="L693" s="1123"/>
      <c r="M693" s="1123"/>
      <c r="N693" s="1123"/>
      <c r="O693" s="1123"/>
      <c r="P693" s="1123"/>
    </row>
    <row r="694" spans="3:16" s="481" customFormat="1" ht="18" hidden="1" customHeight="1" x14ac:dyDescent="0.25">
      <c r="C694" s="538" t="str">
        <f t="shared" si="68"/>
        <v/>
      </c>
      <c r="D694" s="1117" t="str">
        <f t="shared" si="69"/>
        <v/>
      </c>
      <c r="E694" s="1117"/>
      <c r="F694" s="1117"/>
      <c r="G694" s="542" t="str">
        <f t="shared" si="70"/>
        <v/>
      </c>
      <c r="H694" s="543"/>
      <c r="I694" s="1123"/>
      <c r="J694" s="1123"/>
      <c r="K694" s="1123"/>
      <c r="L694" s="1123"/>
      <c r="M694" s="1123"/>
      <c r="N694" s="1123"/>
      <c r="O694" s="1123"/>
      <c r="P694" s="1123"/>
    </row>
    <row r="695" spans="3:16" s="481" customFormat="1" ht="18" hidden="1" customHeight="1" x14ac:dyDescent="0.25">
      <c r="C695" s="538" t="str">
        <f t="shared" si="68"/>
        <v/>
      </c>
      <c r="D695" s="1117" t="str">
        <f t="shared" si="69"/>
        <v/>
      </c>
      <c r="E695" s="1117"/>
      <c r="F695" s="1117"/>
      <c r="G695" s="542" t="str">
        <f t="shared" si="70"/>
        <v/>
      </c>
      <c r="H695" s="543"/>
      <c r="I695" s="1123"/>
      <c r="J695" s="1123"/>
      <c r="K695" s="1123"/>
      <c r="L695" s="1123"/>
      <c r="M695" s="1123"/>
      <c r="N695" s="1123"/>
      <c r="O695" s="1123"/>
      <c r="P695" s="1123"/>
    </row>
    <row r="696" spans="3:16" s="481" customFormat="1" ht="18" hidden="1" customHeight="1" x14ac:dyDescent="0.25">
      <c r="C696" s="538" t="str">
        <f t="shared" si="68"/>
        <v/>
      </c>
      <c r="D696" s="1117" t="str">
        <f t="shared" si="69"/>
        <v/>
      </c>
      <c r="E696" s="1117"/>
      <c r="F696" s="1117"/>
      <c r="G696" s="542" t="str">
        <f t="shared" si="70"/>
        <v/>
      </c>
      <c r="H696" s="543"/>
      <c r="I696" s="1123"/>
      <c r="J696" s="1123"/>
      <c r="K696" s="1123"/>
      <c r="L696" s="1123"/>
      <c r="M696" s="1123"/>
      <c r="N696" s="1123"/>
      <c r="O696" s="1123"/>
      <c r="P696" s="1123"/>
    </row>
    <row r="697" spans="3:16" s="481" customFormat="1" ht="18" hidden="1" customHeight="1" x14ac:dyDescent="0.25">
      <c r="C697" s="538" t="str">
        <f t="shared" si="68"/>
        <v/>
      </c>
      <c r="D697" s="1117" t="str">
        <f t="shared" si="69"/>
        <v/>
      </c>
      <c r="E697" s="1117"/>
      <c r="F697" s="1117"/>
      <c r="G697" s="542" t="str">
        <f t="shared" si="70"/>
        <v/>
      </c>
      <c r="H697" s="543"/>
      <c r="I697" s="1123"/>
      <c r="J697" s="1123"/>
      <c r="K697" s="1123"/>
      <c r="L697" s="1123"/>
      <c r="M697" s="1123"/>
      <c r="N697" s="1123"/>
      <c r="O697" s="1123"/>
      <c r="P697" s="1123"/>
    </row>
    <row r="698" spans="3:16" s="481" customFormat="1" ht="18" hidden="1" customHeight="1" x14ac:dyDescent="0.25">
      <c r="C698" s="538" t="str">
        <f t="shared" si="68"/>
        <v/>
      </c>
      <c r="D698" s="1117" t="str">
        <f t="shared" si="69"/>
        <v/>
      </c>
      <c r="E698" s="1117"/>
      <c r="F698" s="1117"/>
      <c r="G698" s="542" t="str">
        <f t="shared" si="70"/>
        <v/>
      </c>
      <c r="H698" s="543"/>
      <c r="I698" s="1123"/>
      <c r="J698" s="1123"/>
      <c r="K698" s="1123"/>
      <c r="L698" s="1123"/>
      <c r="M698" s="1123"/>
      <c r="N698" s="1123"/>
      <c r="O698" s="1123"/>
      <c r="P698" s="1123"/>
    </row>
    <row r="699" spans="3:16" s="481" customFormat="1" ht="18" hidden="1" customHeight="1" x14ac:dyDescent="0.25">
      <c r="C699" s="538" t="str">
        <f t="shared" si="68"/>
        <v/>
      </c>
      <c r="D699" s="1117" t="str">
        <f t="shared" si="69"/>
        <v/>
      </c>
      <c r="E699" s="1117"/>
      <c r="F699" s="1117"/>
      <c r="G699" s="542" t="str">
        <f t="shared" si="70"/>
        <v/>
      </c>
      <c r="H699" s="543"/>
      <c r="I699" s="1123"/>
      <c r="J699" s="1123"/>
      <c r="K699" s="1123"/>
      <c r="L699" s="1123"/>
      <c r="M699" s="1123"/>
      <c r="N699" s="1123"/>
      <c r="O699" s="1123"/>
      <c r="P699" s="1123"/>
    </row>
    <row r="700" spans="3:16" s="481" customFormat="1" ht="18" hidden="1" customHeight="1" x14ac:dyDescent="0.25">
      <c r="C700" s="538" t="str">
        <f t="shared" si="68"/>
        <v/>
      </c>
      <c r="D700" s="1117" t="str">
        <f t="shared" si="69"/>
        <v/>
      </c>
      <c r="E700" s="1117"/>
      <c r="F700" s="1117"/>
      <c r="G700" s="542" t="str">
        <f t="shared" si="70"/>
        <v/>
      </c>
      <c r="H700" s="543"/>
      <c r="I700" s="1123"/>
      <c r="J700" s="1123"/>
      <c r="K700" s="1123"/>
      <c r="L700" s="1123"/>
      <c r="M700" s="1123"/>
      <c r="N700" s="1123"/>
      <c r="O700" s="1123"/>
      <c r="P700" s="1123"/>
    </row>
    <row r="701" spans="3:16" s="481" customFormat="1" ht="18" hidden="1" customHeight="1" x14ac:dyDescent="0.25">
      <c r="C701" s="538" t="str">
        <f t="shared" si="68"/>
        <v/>
      </c>
      <c r="D701" s="1117" t="str">
        <f t="shared" si="69"/>
        <v/>
      </c>
      <c r="E701" s="1117"/>
      <c r="F701" s="1117"/>
      <c r="G701" s="542" t="str">
        <f t="shared" si="70"/>
        <v/>
      </c>
      <c r="H701" s="543"/>
      <c r="I701" s="1123"/>
      <c r="J701" s="1123"/>
      <c r="K701" s="1123"/>
      <c r="L701" s="1123"/>
      <c r="M701" s="1123"/>
      <c r="N701" s="1123"/>
      <c r="O701" s="1123"/>
      <c r="P701" s="1123"/>
    </row>
    <row r="702" spans="3:16" s="481" customFormat="1" ht="18" hidden="1" customHeight="1" x14ac:dyDescent="0.25">
      <c r="C702" s="538" t="str">
        <f t="shared" si="68"/>
        <v/>
      </c>
      <c r="D702" s="1117" t="str">
        <f t="shared" si="69"/>
        <v/>
      </c>
      <c r="E702" s="1117"/>
      <c r="F702" s="1117"/>
      <c r="G702" s="542" t="str">
        <f t="shared" si="70"/>
        <v/>
      </c>
      <c r="H702" s="543"/>
      <c r="I702" s="1123"/>
      <c r="J702" s="1123"/>
      <c r="K702" s="1123"/>
      <c r="L702" s="1123"/>
      <c r="M702" s="1123"/>
      <c r="N702" s="1123"/>
      <c r="O702" s="1123"/>
      <c r="P702" s="1123"/>
    </row>
    <row r="703" spans="3:16" s="481" customFormat="1" ht="18" hidden="1" customHeight="1" x14ac:dyDescent="0.25">
      <c r="C703" s="538" t="str">
        <f t="shared" si="68"/>
        <v/>
      </c>
      <c r="D703" s="1117" t="str">
        <f t="shared" si="69"/>
        <v/>
      </c>
      <c r="E703" s="1117"/>
      <c r="F703" s="1117"/>
      <c r="G703" s="542" t="str">
        <f t="shared" si="70"/>
        <v/>
      </c>
      <c r="H703" s="543"/>
      <c r="I703" s="1123"/>
      <c r="J703" s="1123"/>
      <c r="K703" s="1123"/>
      <c r="L703" s="1123"/>
      <c r="M703" s="1123"/>
      <c r="N703" s="1123"/>
      <c r="O703" s="1123"/>
      <c r="P703" s="1123"/>
    </row>
    <row r="704" spans="3:16" s="481" customFormat="1" ht="18" hidden="1" customHeight="1" x14ac:dyDescent="0.25">
      <c r="C704" s="538" t="str">
        <f t="shared" si="68"/>
        <v/>
      </c>
      <c r="D704" s="1117" t="str">
        <f t="shared" si="69"/>
        <v/>
      </c>
      <c r="E704" s="1117"/>
      <c r="F704" s="1117"/>
      <c r="G704" s="542" t="str">
        <f t="shared" si="70"/>
        <v/>
      </c>
      <c r="H704" s="543"/>
      <c r="I704" s="1123"/>
      <c r="J704" s="1123"/>
      <c r="K704" s="1123"/>
      <c r="L704" s="1123"/>
      <c r="M704" s="1123"/>
      <c r="N704" s="1123"/>
      <c r="O704" s="1123"/>
      <c r="P704" s="1123"/>
    </row>
    <row r="705" spans="3:16" s="481" customFormat="1" ht="18" hidden="1" customHeight="1" x14ac:dyDescent="0.25">
      <c r="C705" s="538" t="str">
        <f t="shared" si="68"/>
        <v/>
      </c>
      <c r="D705" s="1117" t="str">
        <f t="shared" si="69"/>
        <v/>
      </c>
      <c r="E705" s="1117"/>
      <c r="F705" s="1117"/>
      <c r="G705" s="542" t="str">
        <f t="shared" si="70"/>
        <v/>
      </c>
      <c r="H705" s="543"/>
      <c r="I705" s="1123"/>
      <c r="J705" s="1123"/>
      <c r="K705" s="1123"/>
      <c r="L705" s="1123"/>
      <c r="M705" s="1123"/>
      <c r="N705" s="1123"/>
      <c r="O705" s="1123"/>
      <c r="P705" s="1123"/>
    </row>
    <row r="706" spans="3:16" s="481" customFormat="1" ht="18" hidden="1" customHeight="1" x14ac:dyDescent="0.25">
      <c r="C706" s="538" t="str">
        <f t="shared" si="68"/>
        <v/>
      </c>
      <c r="D706" s="1117" t="str">
        <f t="shared" si="69"/>
        <v/>
      </c>
      <c r="E706" s="1117"/>
      <c r="F706" s="1117"/>
      <c r="G706" s="542" t="str">
        <f t="shared" si="70"/>
        <v/>
      </c>
      <c r="H706" s="543"/>
      <c r="I706" s="1123"/>
      <c r="J706" s="1123"/>
      <c r="K706" s="1123"/>
      <c r="L706" s="1123"/>
      <c r="M706" s="1123"/>
      <c r="N706" s="1123"/>
      <c r="O706" s="1123"/>
      <c r="P706" s="1123"/>
    </row>
    <row r="707" spans="3:16" s="481" customFormat="1" ht="18" hidden="1" customHeight="1" x14ac:dyDescent="0.25">
      <c r="C707" s="538" t="str">
        <f t="shared" si="68"/>
        <v/>
      </c>
      <c r="D707" s="1117" t="str">
        <f t="shared" si="69"/>
        <v/>
      </c>
      <c r="E707" s="1117"/>
      <c r="F707" s="1117"/>
      <c r="G707" s="542" t="str">
        <f t="shared" si="70"/>
        <v/>
      </c>
      <c r="H707" s="543"/>
      <c r="I707" s="1123"/>
      <c r="J707" s="1123"/>
      <c r="K707" s="1123"/>
      <c r="L707" s="1123"/>
      <c r="M707" s="1123"/>
      <c r="N707" s="1123"/>
      <c r="O707" s="1123"/>
      <c r="P707" s="1123"/>
    </row>
    <row r="708" spans="3:16" s="481" customFormat="1" ht="18" hidden="1" customHeight="1" x14ac:dyDescent="0.25">
      <c r="C708" s="538" t="str">
        <f t="shared" si="68"/>
        <v/>
      </c>
      <c r="D708" s="1117" t="str">
        <f t="shared" si="69"/>
        <v/>
      </c>
      <c r="E708" s="1117"/>
      <c r="F708" s="1117"/>
      <c r="G708" s="542" t="str">
        <f t="shared" si="70"/>
        <v/>
      </c>
      <c r="H708" s="543"/>
      <c r="I708" s="1123"/>
      <c r="J708" s="1123"/>
      <c r="K708" s="1123"/>
      <c r="L708" s="1123"/>
      <c r="M708" s="1123"/>
      <c r="N708" s="1123"/>
      <c r="O708" s="1123"/>
      <c r="P708" s="1123"/>
    </row>
    <row r="709" spans="3:16" s="481" customFormat="1" ht="18" hidden="1" customHeight="1" x14ac:dyDescent="0.25">
      <c r="C709" s="538" t="str">
        <f t="shared" si="68"/>
        <v/>
      </c>
      <c r="D709" s="1117" t="str">
        <f t="shared" si="69"/>
        <v/>
      </c>
      <c r="E709" s="1117"/>
      <c r="F709" s="1117"/>
      <c r="G709" s="542" t="str">
        <f t="shared" si="70"/>
        <v/>
      </c>
      <c r="H709" s="543"/>
      <c r="I709" s="1123"/>
      <c r="J709" s="1123"/>
      <c r="K709" s="1123"/>
      <c r="L709" s="1123"/>
      <c r="M709" s="1123"/>
      <c r="N709" s="1123"/>
      <c r="O709" s="1123"/>
      <c r="P709" s="1123"/>
    </row>
    <row r="710" spans="3:16" s="481" customFormat="1" ht="18" hidden="1" customHeight="1" x14ac:dyDescent="0.25">
      <c r="C710" s="538" t="str">
        <f t="shared" si="68"/>
        <v/>
      </c>
      <c r="D710" s="1117" t="str">
        <f t="shared" si="69"/>
        <v/>
      </c>
      <c r="E710" s="1117"/>
      <c r="F710" s="1117"/>
      <c r="G710" s="542" t="str">
        <f t="shared" si="70"/>
        <v/>
      </c>
      <c r="H710" s="543"/>
      <c r="I710" s="1123"/>
      <c r="J710" s="1123"/>
      <c r="K710" s="1123"/>
      <c r="L710" s="1123"/>
      <c r="M710" s="1123"/>
      <c r="N710" s="1123"/>
      <c r="O710" s="1123"/>
      <c r="P710" s="1123"/>
    </row>
    <row r="711" spans="3:16" s="481" customFormat="1" ht="18" hidden="1" customHeight="1" x14ac:dyDescent="0.25">
      <c r="C711" s="538" t="str">
        <f t="shared" si="68"/>
        <v/>
      </c>
      <c r="D711" s="1117" t="str">
        <f t="shared" si="69"/>
        <v/>
      </c>
      <c r="E711" s="1117"/>
      <c r="F711" s="1117"/>
      <c r="G711" s="542" t="str">
        <f t="shared" si="70"/>
        <v/>
      </c>
      <c r="H711" s="543"/>
      <c r="I711" s="1123"/>
      <c r="J711" s="1123"/>
      <c r="K711" s="1123"/>
      <c r="L711" s="1123"/>
      <c r="M711" s="1123"/>
      <c r="N711" s="1123"/>
      <c r="O711" s="1123"/>
      <c r="P711" s="1123"/>
    </row>
    <row r="712" spans="3:16" s="481" customFormat="1" ht="18" hidden="1" customHeight="1" x14ac:dyDescent="0.25">
      <c r="C712" s="538" t="str">
        <f t="shared" si="68"/>
        <v/>
      </c>
      <c r="D712" s="1117" t="str">
        <f t="shared" si="69"/>
        <v/>
      </c>
      <c r="E712" s="1117"/>
      <c r="F712" s="1117"/>
      <c r="G712" s="542" t="str">
        <f t="shared" si="70"/>
        <v/>
      </c>
      <c r="H712" s="543"/>
      <c r="I712" s="1123"/>
      <c r="J712" s="1123"/>
      <c r="K712" s="1123"/>
      <c r="L712" s="1123"/>
      <c r="M712" s="1123"/>
      <c r="N712" s="1123"/>
      <c r="O712" s="1123"/>
      <c r="P712" s="1123"/>
    </row>
    <row r="713" spans="3:16" s="481" customFormat="1" ht="18" hidden="1" customHeight="1" x14ac:dyDescent="0.25">
      <c r="C713" s="538" t="str">
        <f t="shared" si="68"/>
        <v/>
      </c>
      <c r="D713" s="1117" t="str">
        <f t="shared" si="69"/>
        <v/>
      </c>
      <c r="E713" s="1117"/>
      <c r="F713" s="1117"/>
      <c r="G713" s="542" t="str">
        <f t="shared" si="70"/>
        <v/>
      </c>
      <c r="H713" s="543"/>
      <c r="I713" s="1123"/>
      <c r="J713" s="1123"/>
      <c r="K713" s="1123"/>
      <c r="L713" s="1123"/>
      <c r="M713" s="1123"/>
      <c r="N713" s="1123"/>
      <c r="O713" s="1123"/>
      <c r="P713" s="1123"/>
    </row>
    <row r="714" spans="3:16" s="481" customFormat="1" ht="18" hidden="1" customHeight="1" x14ac:dyDescent="0.25">
      <c r="C714" s="538" t="str">
        <f t="shared" si="68"/>
        <v/>
      </c>
      <c r="D714" s="1117" t="str">
        <f t="shared" si="69"/>
        <v/>
      </c>
      <c r="E714" s="1117"/>
      <c r="F714" s="1117"/>
      <c r="G714" s="542" t="str">
        <f t="shared" si="70"/>
        <v/>
      </c>
      <c r="H714" s="543"/>
      <c r="I714" s="1123"/>
      <c r="J714" s="1123"/>
      <c r="K714" s="1123"/>
      <c r="L714" s="1123"/>
      <c r="M714" s="1123"/>
      <c r="N714" s="1123"/>
      <c r="O714" s="1123"/>
      <c r="P714" s="1123"/>
    </row>
    <row r="715" spans="3:16" s="481" customFormat="1" ht="18" hidden="1" customHeight="1" x14ac:dyDescent="0.25">
      <c r="C715" s="538" t="str">
        <f t="shared" si="68"/>
        <v/>
      </c>
      <c r="D715" s="1117" t="str">
        <f t="shared" si="69"/>
        <v/>
      </c>
      <c r="E715" s="1117"/>
      <c r="F715" s="1117"/>
      <c r="G715" s="542" t="str">
        <f t="shared" si="70"/>
        <v/>
      </c>
      <c r="H715" s="543"/>
      <c r="I715" s="1123"/>
      <c r="J715" s="1123"/>
      <c r="K715" s="1123"/>
      <c r="L715" s="1123"/>
      <c r="M715" s="1123"/>
      <c r="N715" s="1123"/>
      <c r="O715" s="1123"/>
      <c r="P715" s="1123"/>
    </row>
    <row r="716" spans="3:16" s="481" customFormat="1" ht="18" hidden="1" customHeight="1" x14ac:dyDescent="0.25">
      <c r="C716" s="538" t="str">
        <f t="shared" si="68"/>
        <v/>
      </c>
      <c r="D716" s="1117" t="str">
        <f t="shared" si="69"/>
        <v/>
      </c>
      <c r="E716" s="1117"/>
      <c r="F716" s="1117"/>
      <c r="G716" s="542" t="str">
        <f t="shared" si="70"/>
        <v/>
      </c>
      <c r="H716" s="543"/>
      <c r="I716" s="1123"/>
      <c r="J716" s="1123"/>
      <c r="K716" s="1123"/>
      <c r="L716" s="1123"/>
      <c r="M716" s="1123"/>
      <c r="N716" s="1123"/>
      <c r="O716" s="1123"/>
      <c r="P716" s="1123"/>
    </row>
    <row r="717" spans="3:16" s="481" customFormat="1" ht="18" hidden="1" customHeight="1" x14ac:dyDescent="0.25">
      <c r="C717" s="538" t="str">
        <f t="shared" si="68"/>
        <v/>
      </c>
      <c r="D717" s="1117" t="str">
        <f t="shared" si="69"/>
        <v/>
      </c>
      <c r="E717" s="1117"/>
      <c r="F717" s="1117"/>
      <c r="G717" s="542" t="str">
        <f t="shared" si="70"/>
        <v/>
      </c>
      <c r="H717" s="543"/>
      <c r="I717" s="1123"/>
      <c r="J717" s="1123"/>
      <c r="K717" s="1123"/>
      <c r="L717" s="1123"/>
      <c r="M717" s="1123"/>
      <c r="N717" s="1123"/>
      <c r="O717" s="1123"/>
      <c r="P717" s="1123"/>
    </row>
    <row r="718" spans="3:16" s="481" customFormat="1" ht="18" hidden="1" customHeight="1" x14ac:dyDescent="0.25">
      <c r="C718" s="538" t="str">
        <f t="shared" si="68"/>
        <v/>
      </c>
      <c r="D718" s="1117" t="str">
        <f t="shared" si="69"/>
        <v/>
      </c>
      <c r="E718" s="1117"/>
      <c r="F718" s="1117"/>
      <c r="G718" s="542" t="str">
        <f t="shared" si="70"/>
        <v/>
      </c>
      <c r="H718" s="543"/>
      <c r="I718" s="1123"/>
      <c r="J718" s="1123"/>
      <c r="K718" s="1123"/>
      <c r="L718" s="1123"/>
      <c r="M718" s="1123"/>
      <c r="N718" s="1123"/>
      <c r="O718" s="1123"/>
      <c r="P718" s="1123"/>
    </row>
    <row r="719" spans="3:16" s="481" customFormat="1" ht="18" hidden="1" customHeight="1" x14ac:dyDescent="0.25">
      <c r="C719" s="538" t="str">
        <f t="shared" si="68"/>
        <v/>
      </c>
      <c r="D719" s="1117" t="str">
        <f t="shared" si="69"/>
        <v/>
      </c>
      <c r="E719" s="1117"/>
      <c r="F719" s="1117"/>
      <c r="G719" s="542" t="str">
        <f t="shared" si="70"/>
        <v/>
      </c>
      <c r="H719" s="543"/>
      <c r="I719" s="1123"/>
      <c r="J719" s="1123"/>
      <c r="K719" s="1123"/>
      <c r="L719" s="1123"/>
      <c r="M719" s="1123"/>
      <c r="N719" s="1123"/>
      <c r="O719" s="1123"/>
      <c r="P719" s="1123"/>
    </row>
    <row r="720" spans="3:16" s="481" customFormat="1" ht="18" hidden="1" customHeight="1" x14ac:dyDescent="0.25">
      <c r="C720" s="538" t="str">
        <f t="shared" ref="C720:C783" si="71">IF(A463="Si",C463,"")</f>
        <v/>
      </c>
      <c r="D720" s="1117" t="str">
        <f t="shared" ref="D720:D783" si="72">IF(A463="Si",D463,"")</f>
        <v/>
      </c>
      <c r="E720" s="1117"/>
      <c r="F720" s="1117"/>
      <c r="G720" s="542" t="str">
        <f t="shared" ref="G720:G783" si="73">IF(A463="Si",M463,"")</f>
        <v/>
      </c>
      <c r="H720" s="543"/>
      <c r="I720" s="1123"/>
      <c r="J720" s="1123"/>
      <c r="K720" s="1123"/>
      <c r="L720" s="1123"/>
      <c r="M720" s="1123"/>
      <c r="N720" s="1123"/>
      <c r="O720" s="1123"/>
      <c r="P720" s="1123"/>
    </row>
    <row r="721" spans="3:16" s="481" customFormat="1" ht="18" hidden="1" customHeight="1" x14ac:dyDescent="0.25">
      <c r="C721" s="538" t="str">
        <f t="shared" si="71"/>
        <v/>
      </c>
      <c r="D721" s="1117" t="str">
        <f t="shared" si="72"/>
        <v/>
      </c>
      <c r="E721" s="1117"/>
      <c r="F721" s="1117"/>
      <c r="G721" s="542" t="str">
        <f t="shared" si="73"/>
        <v/>
      </c>
      <c r="H721" s="543"/>
      <c r="I721" s="1123"/>
      <c r="J721" s="1123"/>
      <c r="K721" s="1123"/>
      <c r="L721" s="1123"/>
      <c r="M721" s="1123"/>
      <c r="N721" s="1123"/>
      <c r="O721" s="1123"/>
      <c r="P721" s="1123"/>
    </row>
    <row r="722" spans="3:16" s="481" customFormat="1" ht="18" hidden="1" customHeight="1" x14ac:dyDescent="0.25">
      <c r="C722" s="538" t="str">
        <f t="shared" si="71"/>
        <v/>
      </c>
      <c r="D722" s="1117" t="str">
        <f t="shared" si="72"/>
        <v/>
      </c>
      <c r="E722" s="1117"/>
      <c r="F722" s="1117"/>
      <c r="G722" s="542" t="str">
        <f t="shared" si="73"/>
        <v/>
      </c>
      <c r="H722" s="543"/>
      <c r="I722" s="1123"/>
      <c r="J722" s="1123"/>
      <c r="K722" s="1123"/>
      <c r="L722" s="1123"/>
      <c r="M722" s="1123"/>
      <c r="N722" s="1123"/>
      <c r="O722" s="1123"/>
      <c r="P722" s="1123"/>
    </row>
    <row r="723" spans="3:16" s="481" customFormat="1" ht="18" hidden="1" customHeight="1" x14ac:dyDescent="0.25">
      <c r="C723" s="538" t="str">
        <f t="shared" si="71"/>
        <v/>
      </c>
      <c r="D723" s="1117" t="str">
        <f t="shared" si="72"/>
        <v/>
      </c>
      <c r="E723" s="1117"/>
      <c r="F723" s="1117"/>
      <c r="G723" s="542" t="str">
        <f t="shared" si="73"/>
        <v/>
      </c>
      <c r="H723" s="543"/>
      <c r="I723" s="1123"/>
      <c r="J723" s="1123"/>
      <c r="K723" s="1123"/>
      <c r="L723" s="1123"/>
      <c r="M723" s="1123"/>
      <c r="N723" s="1123"/>
      <c r="O723" s="1123"/>
      <c r="P723" s="1123"/>
    </row>
    <row r="724" spans="3:16" s="481" customFormat="1" ht="18" hidden="1" customHeight="1" x14ac:dyDescent="0.25">
      <c r="C724" s="538" t="str">
        <f t="shared" si="71"/>
        <v/>
      </c>
      <c r="D724" s="1117" t="str">
        <f t="shared" si="72"/>
        <v/>
      </c>
      <c r="E724" s="1117"/>
      <c r="F724" s="1117"/>
      <c r="G724" s="542" t="str">
        <f t="shared" si="73"/>
        <v/>
      </c>
      <c r="H724" s="543"/>
      <c r="I724" s="1123"/>
      <c r="J724" s="1123"/>
      <c r="K724" s="1123"/>
      <c r="L724" s="1123"/>
      <c r="M724" s="1123"/>
      <c r="N724" s="1123"/>
      <c r="O724" s="1123"/>
      <c r="P724" s="1123"/>
    </row>
    <row r="725" spans="3:16" s="481" customFormat="1" ht="18" hidden="1" customHeight="1" x14ac:dyDescent="0.25">
      <c r="C725" s="538" t="str">
        <f t="shared" si="71"/>
        <v/>
      </c>
      <c r="D725" s="1117" t="str">
        <f t="shared" si="72"/>
        <v/>
      </c>
      <c r="E725" s="1117"/>
      <c r="F725" s="1117"/>
      <c r="G725" s="542" t="str">
        <f t="shared" si="73"/>
        <v/>
      </c>
      <c r="H725" s="543"/>
      <c r="I725" s="1123"/>
      <c r="J725" s="1123"/>
      <c r="K725" s="1123"/>
      <c r="L725" s="1123"/>
      <c r="M725" s="1123"/>
      <c r="N725" s="1123"/>
      <c r="O725" s="1123"/>
      <c r="P725" s="1123"/>
    </row>
    <row r="726" spans="3:16" s="481" customFormat="1" ht="18" hidden="1" customHeight="1" x14ac:dyDescent="0.25">
      <c r="C726" s="538" t="str">
        <f t="shared" si="71"/>
        <v/>
      </c>
      <c r="D726" s="1117" t="str">
        <f t="shared" si="72"/>
        <v/>
      </c>
      <c r="E726" s="1117"/>
      <c r="F726" s="1117"/>
      <c r="G726" s="542" t="str">
        <f t="shared" si="73"/>
        <v/>
      </c>
      <c r="H726" s="543"/>
      <c r="I726" s="1123"/>
      <c r="J726" s="1123"/>
      <c r="K726" s="1123"/>
      <c r="L726" s="1123"/>
      <c r="M726" s="1123"/>
      <c r="N726" s="1123"/>
      <c r="O726" s="1123"/>
      <c r="P726" s="1123"/>
    </row>
    <row r="727" spans="3:16" s="481" customFormat="1" ht="18" hidden="1" customHeight="1" x14ac:dyDescent="0.25">
      <c r="C727" s="538" t="str">
        <f t="shared" si="71"/>
        <v/>
      </c>
      <c r="D727" s="1117" t="str">
        <f t="shared" si="72"/>
        <v/>
      </c>
      <c r="E727" s="1117"/>
      <c r="F727" s="1117"/>
      <c r="G727" s="542" t="str">
        <f t="shared" si="73"/>
        <v/>
      </c>
      <c r="H727" s="543"/>
      <c r="I727" s="1123"/>
      <c r="J727" s="1123"/>
      <c r="K727" s="1123"/>
      <c r="L727" s="1123"/>
      <c r="M727" s="1123"/>
      <c r="N727" s="1123"/>
      <c r="O727" s="1123"/>
      <c r="P727" s="1123"/>
    </row>
    <row r="728" spans="3:16" s="481" customFormat="1" ht="18" hidden="1" customHeight="1" x14ac:dyDescent="0.25">
      <c r="C728" s="538" t="str">
        <f t="shared" si="71"/>
        <v/>
      </c>
      <c r="D728" s="1117" t="str">
        <f t="shared" si="72"/>
        <v/>
      </c>
      <c r="E728" s="1117"/>
      <c r="F728" s="1117"/>
      <c r="G728" s="542" t="str">
        <f t="shared" si="73"/>
        <v/>
      </c>
      <c r="H728" s="543"/>
      <c r="I728" s="1123"/>
      <c r="J728" s="1123"/>
      <c r="K728" s="1123"/>
      <c r="L728" s="1123"/>
      <c r="M728" s="1123"/>
      <c r="N728" s="1123"/>
      <c r="O728" s="1123"/>
      <c r="P728" s="1123"/>
    </row>
    <row r="729" spans="3:16" s="481" customFormat="1" ht="18" hidden="1" customHeight="1" x14ac:dyDescent="0.25">
      <c r="C729" s="538" t="str">
        <f t="shared" si="71"/>
        <v/>
      </c>
      <c r="D729" s="1117" t="str">
        <f t="shared" si="72"/>
        <v/>
      </c>
      <c r="E729" s="1117"/>
      <c r="F729" s="1117"/>
      <c r="G729" s="542" t="str">
        <f t="shared" si="73"/>
        <v/>
      </c>
      <c r="H729" s="543"/>
      <c r="I729" s="1123"/>
      <c r="J729" s="1123"/>
      <c r="K729" s="1123"/>
      <c r="L729" s="1123"/>
      <c r="M729" s="1123"/>
      <c r="N729" s="1123"/>
      <c r="O729" s="1123"/>
      <c r="P729" s="1123"/>
    </row>
    <row r="730" spans="3:16" s="481" customFormat="1" ht="18" hidden="1" customHeight="1" x14ac:dyDescent="0.25">
      <c r="C730" s="538" t="str">
        <f t="shared" si="71"/>
        <v/>
      </c>
      <c r="D730" s="1117" t="str">
        <f t="shared" si="72"/>
        <v/>
      </c>
      <c r="E730" s="1117"/>
      <c r="F730" s="1117"/>
      <c r="G730" s="542" t="str">
        <f t="shared" si="73"/>
        <v/>
      </c>
      <c r="H730" s="543"/>
      <c r="I730" s="1123"/>
      <c r="J730" s="1123"/>
      <c r="K730" s="1123"/>
      <c r="L730" s="1123"/>
      <c r="M730" s="1123"/>
      <c r="N730" s="1123"/>
      <c r="O730" s="1123"/>
      <c r="P730" s="1123"/>
    </row>
    <row r="731" spans="3:16" s="481" customFormat="1" ht="18" hidden="1" customHeight="1" x14ac:dyDescent="0.25">
      <c r="C731" s="538" t="str">
        <f t="shared" si="71"/>
        <v/>
      </c>
      <c r="D731" s="1117" t="str">
        <f t="shared" si="72"/>
        <v/>
      </c>
      <c r="E731" s="1117"/>
      <c r="F731" s="1117"/>
      <c r="G731" s="542" t="str">
        <f t="shared" si="73"/>
        <v/>
      </c>
      <c r="H731" s="543"/>
      <c r="I731" s="1123"/>
      <c r="J731" s="1123"/>
      <c r="K731" s="1123"/>
      <c r="L731" s="1123"/>
      <c r="M731" s="1123"/>
      <c r="N731" s="1123"/>
      <c r="O731" s="1123"/>
      <c r="P731" s="1123"/>
    </row>
    <row r="732" spans="3:16" s="481" customFormat="1" ht="18" hidden="1" customHeight="1" x14ac:dyDescent="0.25">
      <c r="C732" s="538" t="str">
        <f t="shared" si="71"/>
        <v/>
      </c>
      <c r="D732" s="1117" t="str">
        <f t="shared" si="72"/>
        <v/>
      </c>
      <c r="E732" s="1117"/>
      <c r="F732" s="1117"/>
      <c r="G732" s="542" t="str">
        <f t="shared" si="73"/>
        <v/>
      </c>
      <c r="H732" s="543"/>
      <c r="I732" s="1123"/>
      <c r="J732" s="1123"/>
      <c r="K732" s="1123"/>
      <c r="L732" s="1123"/>
      <c r="M732" s="1123"/>
      <c r="N732" s="1123"/>
      <c r="O732" s="1123"/>
      <c r="P732" s="1123"/>
    </row>
    <row r="733" spans="3:16" s="481" customFormat="1" ht="18" hidden="1" customHeight="1" x14ac:dyDescent="0.25">
      <c r="C733" s="538" t="str">
        <f t="shared" si="71"/>
        <v/>
      </c>
      <c r="D733" s="1117" t="str">
        <f t="shared" si="72"/>
        <v/>
      </c>
      <c r="E733" s="1117"/>
      <c r="F733" s="1117"/>
      <c r="G733" s="542" t="str">
        <f t="shared" si="73"/>
        <v/>
      </c>
      <c r="H733" s="543"/>
      <c r="I733" s="1123"/>
      <c r="J733" s="1123"/>
      <c r="K733" s="1123"/>
      <c r="L733" s="1123"/>
      <c r="M733" s="1123"/>
      <c r="N733" s="1123"/>
      <c r="O733" s="1123"/>
      <c r="P733" s="1123"/>
    </row>
    <row r="734" spans="3:16" s="481" customFormat="1" ht="18" hidden="1" customHeight="1" x14ac:dyDescent="0.25">
      <c r="C734" s="538" t="str">
        <f t="shared" si="71"/>
        <v/>
      </c>
      <c r="D734" s="1117" t="str">
        <f t="shared" si="72"/>
        <v/>
      </c>
      <c r="E734" s="1117"/>
      <c r="F734" s="1117"/>
      <c r="G734" s="542" t="str">
        <f t="shared" si="73"/>
        <v/>
      </c>
      <c r="H734" s="543"/>
      <c r="I734" s="1123"/>
      <c r="J734" s="1123"/>
      <c r="K734" s="1123"/>
      <c r="L734" s="1123"/>
      <c r="M734" s="1123"/>
      <c r="N734" s="1123"/>
      <c r="O734" s="1123"/>
      <c r="P734" s="1123"/>
    </row>
    <row r="735" spans="3:16" s="481" customFormat="1" ht="18" hidden="1" customHeight="1" x14ac:dyDescent="0.25">
      <c r="C735" s="538" t="str">
        <f t="shared" si="71"/>
        <v/>
      </c>
      <c r="D735" s="1117" t="str">
        <f t="shared" si="72"/>
        <v/>
      </c>
      <c r="E735" s="1117"/>
      <c r="F735" s="1117"/>
      <c r="G735" s="542" t="str">
        <f t="shared" si="73"/>
        <v/>
      </c>
      <c r="H735" s="543"/>
      <c r="I735" s="1123"/>
      <c r="J735" s="1123"/>
      <c r="K735" s="1123"/>
      <c r="L735" s="1123"/>
      <c r="M735" s="1123"/>
      <c r="N735" s="1123"/>
      <c r="O735" s="1123"/>
      <c r="P735" s="1123"/>
    </row>
    <row r="736" spans="3:16" s="481" customFormat="1" ht="18" hidden="1" customHeight="1" x14ac:dyDescent="0.25">
      <c r="C736" s="538" t="str">
        <f t="shared" si="71"/>
        <v/>
      </c>
      <c r="D736" s="1117" t="str">
        <f t="shared" si="72"/>
        <v/>
      </c>
      <c r="E736" s="1117"/>
      <c r="F736" s="1117"/>
      <c r="G736" s="542" t="str">
        <f t="shared" si="73"/>
        <v/>
      </c>
      <c r="H736" s="543"/>
      <c r="I736" s="1123"/>
      <c r="J736" s="1123"/>
      <c r="K736" s="1123"/>
      <c r="L736" s="1123"/>
      <c r="M736" s="1123"/>
      <c r="N736" s="1123"/>
      <c r="O736" s="1123"/>
      <c r="P736" s="1123"/>
    </row>
    <row r="737" spans="3:16" s="481" customFormat="1" ht="18" hidden="1" customHeight="1" x14ac:dyDescent="0.25">
      <c r="C737" s="538" t="str">
        <f t="shared" si="71"/>
        <v/>
      </c>
      <c r="D737" s="1117" t="str">
        <f t="shared" si="72"/>
        <v/>
      </c>
      <c r="E737" s="1117"/>
      <c r="F737" s="1117"/>
      <c r="G737" s="542" t="str">
        <f t="shared" si="73"/>
        <v/>
      </c>
      <c r="H737" s="543"/>
      <c r="I737" s="1123"/>
      <c r="J737" s="1123"/>
      <c r="K737" s="1123"/>
      <c r="L737" s="1123"/>
      <c r="M737" s="1123"/>
      <c r="N737" s="1123"/>
      <c r="O737" s="1123"/>
      <c r="P737" s="1123"/>
    </row>
    <row r="738" spans="3:16" s="481" customFormat="1" ht="18" hidden="1" customHeight="1" x14ac:dyDescent="0.25">
      <c r="C738" s="538" t="str">
        <f t="shared" si="71"/>
        <v/>
      </c>
      <c r="D738" s="1117" t="str">
        <f t="shared" si="72"/>
        <v/>
      </c>
      <c r="E738" s="1117"/>
      <c r="F738" s="1117"/>
      <c r="G738" s="542" t="str">
        <f t="shared" si="73"/>
        <v/>
      </c>
      <c r="H738" s="543"/>
      <c r="I738" s="1123"/>
      <c r="J738" s="1123"/>
      <c r="K738" s="1123"/>
      <c r="L738" s="1123"/>
      <c r="M738" s="1123"/>
      <c r="N738" s="1123"/>
      <c r="O738" s="1123"/>
      <c r="P738" s="1123"/>
    </row>
    <row r="739" spans="3:16" s="481" customFormat="1" ht="18" hidden="1" customHeight="1" x14ac:dyDescent="0.25">
      <c r="C739" s="538" t="str">
        <f t="shared" si="71"/>
        <v/>
      </c>
      <c r="D739" s="1117" t="str">
        <f t="shared" si="72"/>
        <v/>
      </c>
      <c r="E739" s="1117"/>
      <c r="F739" s="1117"/>
      <c r="G739" s="542" t="str">
        <f t="shared" si="73"/>
        <v/>
      </c>
      <c r="H739" s="543"/>
      <c r="I739" s="1123"/>
      <c r="J739" s="1123"/>
      <c r="K739" s="1123"/>
      <c r="L739" s="1123"/>
      <c r="M739" s="1123"/>
      <c r="N739" s="1123"/>
      <c r="O739" s="1123"/>
      <c r="P739" s="1123"/>
    </row>
    <row r="740" spans="3:16" s="481" customFormat="1" ht="18" hidden="1" customHeight="1" x14ac:dyDescent="0.25">
      <c r="C740" s="538" t="str">
        <f t="shared" si="71"/>
        <v/>
      </c>
      <c r="D740" s="1117" t="str">
        <f t="shared" si="72"/>
        <v/>
      </c>
      <c r="E740" s="1117"/>
      <c r="F740" s="1117"/>
      <c r="G740" s="542" t="str">
        <f t="shared" si="73"/>
        <v/>
      </c>
      <c r="H740" s="543"/>
      <c r="I740" s="1123"/>
      <c r="J740" s="1123"/>
      <c r="K740" s="1123"/>
      <c r="L740" s="1123"/>
      <c r="M740" s="1123"/>
      <c r="N740" s="1123"/>
      <c r="O740" s="1123"/>
      <c r="P740" s="1123"/>
    </row>
    <row r="741" spans="3:16" s="481" customFormat="1" ht="18" hidden="1" customHeight="1" x14ac:dyDescent="0.25">
      <c r="C741" s="538" t="str">
        <f t="shared" si="71"/>
        <v/>
      </c>
      <c r="D741" s="1117" t="str">
        <f t="shared" si="72"/>
        <v/>
      </c>
      <c r="E741" s="1117"/>
      <c r="F741" s="1117"/>
      <c r="G741" s="542" t="str">
        <f t="shared" si="73"/>
        <v/>
      </c>
      <c r="H741" s="543"/>
      <c r="I741" s="1123"/>
      <c r="J741" s="1123"/>
      <c r="K741" s="1123"/>
      <c r="L741" s="1123"/>
      <c r="M741" s="1123"/>
      <c r="N741" s="1123"/>
      <c r="O741" s="1123"/>
      <c r="P741" s="1123"/>
    </row>
    <row r="742" spans="3:16" s="481" customFormat="1" ht="18" hidden="1" customHeight="1" x14ac:dyDescent="0.25">
      <c r="C742" s="538" t="str">
        <f t="shared" si="71"/>
        <v/>
      </c>
      <c r="D742" s="1117" t="str">
        <f t="shared" si="72"/>
        <v/>
      </c>
      <c r="E742" s="1117"/>
      <c r="F742" s="1117"/>
      <c r="G742" s="542" t="str">
        <f t="shared" si="73"/>
        <v/>
      </c>
      <c r="H742" s="543"/>
      <c r="I742" s="1123"/>
      <c r="J742" s="1123"/>
      <c r="K742" s="1123"/>
      <c r="L742" s="1123"/>
      <c r="M742" s="1123"/>
      <c r="N742" s="1123"/>
      <c r="O742" s="1123"/>
      <c r="P742" s="1123"/>
    </row>
    <row r="743" spans="3:16" s="481" customFormat="1" ht="18" hidden="1" customHeight="1" x14ac:dyDescent="0.25">
      <c r="C743" s="538" t="str">
        <f t="shared" si="71"/>
        <v/>
      </c>
      <c r="D743" s="1117" t="str">
        <f t="shared" si="72"/>
        <v/>
      </c>
      <c r="E743" s="1117"/>
      <c r="F743" s="1117"/>
      <c r="G743" s="542" t="str">
        <f t="shared" si="73"/>
        <v/>
      </c>
      <c r="H743" s="543"/>
      <c r="I743" s="1123"/>
      <c r="J743" s="1123"/>
      <c r="K743" s="1123"/>
      <c r="L743" s="1123"/>
      <c r="M743" s="1123"/>
      <c r="N743" s="1123"/>
      <c r="O743" s="1123"/>
      <c r="P743" s="1123"/>
    </row>
    <row r="744" spans="3:16" s="481" customFormat="1" ht="18" hidden="1" customHeight="1" x14ac:dyDescent="0.25">
      <c r="C744" s="538" t="str">
        <f t="shared" si="71"/>
        <v/>
      </c>
      <c r="D744" s="1117" t="str">
        <f t="shared" si="72"/>
        <v/>
      </c>
      <c r="E744" s="1117"/>
      <c r="F744" s="1117"/>
      <c r="G744" s="542" t="str">
        <f t="shared" si="73"/>
        <v/>
      </c>
      <c r="H744" s="543"/>
      <c r="I744" s="1123"/>
      <c r="J744" s="1123"/>
      <c r="K744" s="1123"/>
      <c r="L744" s="1123"/>
      <c r="M744" s="1123"/>
      <c r="N744" s="1123"/>
      <c r="O744" s="1123"/>
      <c r="P744" s="1123"/>
    </row>
    <row r="745" spans="3:16" s="481" customFormat="1" ht="18" hidden="1" customHeight="1" x14ac:dyDescent="0.25">
      <c r="C745" s="538" t="str">
        <f t="shared" si="71"/>
        <v/>
      </c>
      <c r="D745" s="1117" t="str">
        <f t="shared" si="72"/>
        <v/>
      </c>
      <c r="E745" s="1117"/>
      <c r="F745" s="1117"/>
      <c r="G745" s="542" t="str">
        <f t="shared" si="73"/>
        <v/>
      </c>
      <c r="H745" s="543"/>
      <c r="I745" s="1123"/>
      <c r="J745" s="1123"/>
      <c r="K745" s="1123"/>
      <c r="L745" s="1123"/>
      <c r="M745" s="1123"/>
      <c r="N745" s="1123"/>
      <c r="O745" s="1123"/>
      <c r="P745" s="1123"/>
    </row>
    <row r="746" spans="3:16" s="481" customFormat="1" ht="18" hidden="1" customHeight="1" x14ac:dyDescent="0.25">
      <c r="C746" s="538" t="str">
        <f t="shared" si="71"/>
        <v/>
      </c>
      <c r="D746" s="1117" t="str">
        <f t="shared" si="72"/>
        <v/>
      </c>
      <c r="E746" s="1117"/>
      <c r="F746" s="1117"/>
      <c r="G746" s="542" t="str">
        <f t="shared" si="73"/>
        <v/>
      </c>
      <c r="H746" s="543"/>
      <c r="I746" s="1123"/>
      <c r="J746" s="1123"/>
      <c r="K746" s="1123"/>
      <c r="L746" s="1123"/>
      <c r="M746" s="1123"/>
      <c r="N746" s="1123"/>
      <c r="O746" s="1123"/>
      <c r="P746" s="1123"/>
    </row>
    <row r="747" spans="3:16" s="481" customFormat="1" ht="18" hidden="1" customHeight="1" x14ac:dyDescent="0.25">
      <c r="C747" s="538" t="str">
        <f t="shared" si="71"/>
        <v/>
      </c>
      <c r="D747" s="1117" t="str">
        <f t="shared" si="72"/>
        <v/>
      </c>
      <c r="E747" s="1117"/>
      <c r="F747" s="1117"/>
      <c r="G747" s="542" t="str">
        <f t="shared" si="73"/>
        <v/>
      </c>
      <c r="H747" s="543"/>
      <c r="I747" s="1123"/>
      <c r="J747" s="1123"/>
      <c r="K747" s="1123"/>
      <c r="L747" s="1123"/>
      <c r="M747" s="1123"/>
      <c r="N747" s="1123"/>
      <c r="O747" s="1123"/>
      <c r="P747" s="1123"/>
    </row>
    <row r="748" spans="3:16" s="481" customFormat="1" ht="18" hidden="1" customHeight="1" x14ac:dyDescent="0.25">
      <c r="C748" s="538" t="str">
        <f t="shared" si="71"/>
        <v/>
      </c>
      <c r="D748" s="1117" t="str">
        <f t="shared" si="72"/>
        <v/>
      </c>
      <c r="E748" s="1117"/>
      <c r="F748" s="1117"/>
      <c r="G748" s="542" t="str">
        <f t="shared" si="73"/>
        <v/>
      </c>
      <c r="H748" s="543"/>
      <c r="I748" s="1123"/>
      <c r="J748" s="1123"/>
      <c r="K748" s="1123"/>
      <c r="L748" s="1123"/>
      <c r="M748" s="1123"/>
      <c r="N748" s="1123"/>
      <c r="O748" s="1123"/>
      <c r="P748" s="1123"/>
    </row>
    <row r="749" spans="3:16" s="481" customFormat="1" ht="18" hidden="1" customHeight="1" x14ac:dyDescent="0.25">
      <c r="C749" s="538" t="str">
        <f t="shared" si="71"/>
        <v/>
      </c>
      <c r="D749" s="1117" t="str">
        <f t="shared" si="72"/>
        <v/>
      </c>
      <c r="E749" s="1117"/>
      <c r="F749" s="1117"/>
      <c r="G749" s="542" t="str">
        <f t="shared" si="73"/>
        <v/>
      </c>
      <c r="H749" s="543"/>
      <c r="I749" s="1123"/>
      <c r="J749" s="1123"/>
      <c r="K749" s="1123"/>
      <c r="L749" s="1123"/>
      <c r="M749" s="1123"/>
      <c r="N749" s="1123"/>
      <c r="O749" s="1123"/>
      <c r="P749" s="1123"/>
    </row>
    <row r="750" spans="3:16" s="481" customFormat="1" ht="18" hidden="1" customHeight="1" x14ac:dyDescent="0.25">
      <c r="C750" s="538" t="str">
        <f t="shared" si="71"/>
        <v/>
      </c>
      <c r="D750" s="1117" t="str">
        <f t="shared" si="72"/>
        <v/>
      </c>
      <c r="E750" s="1117"/>
      <c r="F750" s="1117"/>
      <c r="G750" s="542" t="str">
        <f t="shared" si="73"/>
        <v/>
      </c>
      <c r="H750" s="543"/>
      <c r="I750" s="1123"/>
      <c r="J750" s="1123"/>
      <c r="K750" s="1123"/>
      <c r="L750" s="1123"/>
      <c r="M750" s="1123"/>
      <c r="N750" s="1123"/>
      <c r="O750" s="1123"/>
      <c r="P750" s="1123"/>
    </row>
    <row r="751" spans="3:16" s="481" customFormat="1" ht="18" hidden="1" customHeight="1" x14ac:dyDescent="0.25">
      <c r="C751" s="538" t="str">
        <f t="shared" si="71"/>
        <v/>
      </c>
      <c r="D751" s="1117" t="str">
        <f t="shared" si="72"/>
        <v/>
      </c>
      <c r="E751" s="1117"/>
      <c r="F751" s="1117"/>
      <c r="G751" s="542" t="str">
        <f t="shared" si="73"/>
        <v/>
      </c>
      <c r="H751" s="543"/>
      <c r="I751" s="1123"/>
      <c r="J751" s="1123"/>
      <c r="K751" s="1123"/>
      <c r="L751" s="1123"/>
      <c r="M751" s="1123"/>
      <c r="N751" s="1123"/>
      <c r="O751" s="1123"/>
      <c r="P751" s="1123"/>
    </row>
    <row r="752" spans="3:16" s="481" customFormat="1" ht="18" hidden="1" customHeight="1" x14ac:dyDescent="0.25">
      <c r="C752" s="538" t="str">
        <f t="shared" si="71"/>
        <v/>
      </c>
      <c r="D752" s="1117" t="str">
        <f t="shared" si="72"/>
        <v/>
      </c>
      <c r="E752" s="1117"/>
      <c r="F752" s="1117"/>
      <c r="G752" s="542" t="str">
        <f t="shared" si="73"/>
        <v/>
      </c>
      <c r="H752" s="543"/>
      <c r="I752" s="1123"/>
      <c r="J752" s="1123"/>
      <c r="K752" s="1123"/>
      <c r="L752" s="1123"/>
      <c r="M752" s="1123"/>
      <c r="N752" s="1123"/>
      <c r="O752" s="1123"/>
      <c r="P752" s="1123"/>
    </row>
    <row r="753" spans="3:16" s="481" customFormat="1" ht="18" hidden="1" customHeight="1" x14ac:dyDescent="0.25">
      <c r="C753" s="538" t="str">
        <f t="shared" si="71"/>
        <v/>
      </c>
      <c r="D753" s="1117" t="str">
        <f t="shared" si="72"/>
        <v/>
      </c>
      <c r="E753" s="1117"/>
      <c r="F753" s="1117"/>
      <c r="G753" s="542" t="str">
        <f t="shared" si="73"/>
        <v/>
      </c>
      <c r="H753" s="543"/>
      <c r="I753" s="1123"/>
      <c r="J753" s="1123"/>
      <c r="K753" s="1123"/>
      <c r="L753" s="1123"/>
      <c r="M753" s="1123"/>
      <c r="N753" s="1123"/>
      <c r="O753" s="1123"/>
      <c r="P753" s="1123"/>
    </row>
    <row r="754" spans="3:16" s="481" customFormat="1" ht="18" hidden="1" customHeight="1" x14ac:dyDescent="0.25">
      <c r="C754" s="538" t="str">
        <f t="shared" si="71"/>
        <v/>
      </c>
      <c r="D754" s="1117" t="str">
        <f t="shared" si="72"/>
        <v/>
      </c>
      <c r="E754" s="1117"/>
      <c r="F754" s="1117"/>
      <c r="G754" s="542" t="str">
        <f t="shared" si="73"/>
        <v/>
      </c>
      <c r="H754" s="543"/>
      <c r="I754" s="1123"/>
      <c r="J754" s="1123"/>
      <c r="K754" s="1123"/>
      <c r="L754" s="1123"/>
      <c r="M754" s="1123"/>
      <c r="N754" s="1123"/>
      <c r="O754" s="1123"/>
      <c r="P754" s="1123"/>
    </row>
    <row r="755" spans="3:16" s="481" customFormat="1" ht="18" hidden="1" customHeight="1" x14ac:dyDescent="0.25">
      <c r="C755" s="538" t="str">
        <f t="shared" si="71"/>
        <v/>
      </c>
      <c r="D755" s="1117" t="str">
        <f t="shared" si="72"/>
        <v/>
      </c>
      <c r="E755" s="1117"/>
      <c r="F755" s="1117"/>
      <c r="G755" s="542" t="str">
        <f t="shared" si="73"/>
        <v/>
      </c>
      <c r="H755" s="543"/>
      <c r="I755" s="1123"/>
      <c r="J755" s="1123"/>
      <c r="K755" s="1123"/>
      <c r="L755" s="1123"/>
      <c r="M755" s="1123"/>
      <c r="N755" s="1123"/>
      <c r="O755" s="1123"/>
      <c r="P755" s="1123"/>
    </row>
    <row r="756" spans="3:16" s="481" customFormat="1" ht="18" hidden="1" customHeight="1" x14ac:dyDescent="0.25">
      <c r="C756" s="538" t="str">
        <f t="shared" si="71"/>
        <v/>
      </c>
      <c r="D756" s="1117" t="str">
        <f t="shared" si="72"/>
        <v/>
      </c>
      <c r="E756" s="1117"/>
      <c r="F756" s="1117"/>
      <c r="G756" s="542" t="str">
        <f t="shared" si="73"/>
        <v/>
      </c>
      <c r="H756" s="543"/>
      <c r="I756" s="1123"/>
      <c r="J756" s="1123"/>
      <c r="K756" s="1123"/>
      <c r="L756" s="1123"/>
      <c r="M756" s="1123"/>
      <c r="N756" s="1123"/>
      <c r="O756" s="1123"/>
      <c r="P756" s="1123"/>
    </row>
    <row r="757" spans="3:16" s="481" customFormat="1" ht="18" hidden="1" customHeight="1" x14ac:dyDescent="0.25">
      <c r="C757" s="538" t="str">
        <f t="shared" si="71"/>
        <v/>
      </c>
      <c r="D757" s="1117" t="str">
        <f t="shared" si="72"/>
        <v/>
      </c>
      <c r="E757" s="1117"/>
      <c r="F757" s="1117"/>
      <c r="G757" s="542" t="str">
        <f t="shared" si="73"/>
        <v/>
      </c>
      <c r="H757" s="543"/>
      <c r="I757" s="1123"/>
      <c r="J757" s="1123"/>
      <c r="K757" s="1123"/>
      <c r="L757" s="1123"/>
      <c r="M757" s="1123"/>
      <c r="N757" s="1123"/>
      <c r="O757" s="1123"/>
      <c r="P757" s="1123"/>
    </row>
    <row r="758" spans="3:16" s="481" customFormat="1" ht="18" hidden="1" customHeight="1" x14ac:dyDescent="0.25">
      <c r="C758" s="538" t="str">
        <f t="shared" si="71"/>
        <v/>
      </c>
      <c r="D758" s="1117" t="str">
        <f t="shared" si="72"/>
        <v/>
      </c>
      <c r="E758" s="1117"/>
      <c r="F758" s="1117"/>
      <c r="G758" s="542" t="str">
        <f t="shared" si="73"/>
        <v/>
      </c>
      <c r="H758" s="543"/>
      <c r="I758" s="1123"/>
      <c r="J758" s="1123"/>
      <c r="K758" s="1123"/>
      <c r="L758" s="1123"/>
      <c r="M758" s="1123"/>
      <c r="N758" s="1123"/>
      <c r="O758" s="1123"/>
      <c r="P758" s="1123"/>
    </row>
    <row r="759" spans="3:16" s="481" customFormat="1" ht="18" hidden="1" customHeight="1" x14ac:dyDescent="0.25">
      <c r="C759" s="538" t="str">
        <f t="shared" si="71"/>
        <v/>
      </c>
      <c r="D759" s="1117" t="str">
        <f t="shared" si="72"/>
        <v/>
      </c>
      <c r="E759" s="1117"/>
      <c r="F759" s="1117"/>
      <c r="G759" s="542" t="str">
        <f t="shared" si="73"/>
        <v/>
      </c>
      <c r="H759" s="543"/>
      <c r="I759" s="1123"/>
      <c r="J759" s="1123"/>
      <c r="K759" s="1123"/>
      <c r="L759" s="1123"/>
      <c r="M759" s="1123"/>
      <c r="N759" s="1123"/>
      <c r="O759" s="1123"/>
      <c r="P759" s="1123"/>
    </row>
    <row r="760" spans="3:16" s="481" customFormat="1" ht="18" hidden="1" customHeight="1" x14ac:dyDescent="0.25">
      <c r="C760" s="538" t="str">
        <f t="shared" si="71"/>
        <v/>
      </c>
      <c r="D760" s="1117" t="str">
        <f t="shared" si="72"/>
        <v/>
      </c>
      <c r="E760" s="1117"/>
      <c r="F760" s="1117"/>
      <c r="G760" s="542" t="str">
        <f t="shared" si="73"/>
        <v/>
      </c>
      <c r="H760" s="543"/>
      <c r="I760" s="1123"/>
      <c r="J760" s="1123"/>
      <c r="K760" s="1123"/>
      <c r="L760" s="1123"/>
      <c r="M760" s="1123"/>
      <c r="N760" s="1123"/>
      <c r="O760" s="1123"/>
      <c r="P760" s="1123"/>
    </row>
    <row r="761" spans="3:16" s="481" customFormat="1" ht="18" hidden="1" customHeight="1" x14ac:dyDescent="0.25">
      <c r="C761" s="538" t="str">
        <f t="shared" si="71"/>
        <v/>
      </c>
      <c r="D761" s="1117" t="str">
        <f t="shared" si="72"/>
        <v/>
      </c>
      <c r="E761" s="1117"/>
      <c r="F761" s="1117"/>
      <c r="G761" s="542" t="str">
        <f t="shared" si="73"/>
        <v/>
      </c>
      <c r="H761" s="543"/>
      <c r="I761" s="1123"/>
      <c r="J761" s="1123"/>
      <c r="K761" s="1123"/>
      <c r="L761" s="1123"/>
      <c r="M761" s="1123"/>
      <c r="N761" s="1123"/>
      <c r="O761" s="1123"/>
      <c r="P761" s="1123"/>
    </row>
    <row r="762" spans="3:16" s="481" customFormat="1" ht="18" hidden="1" customHeight="1" x14ac:dyDescent="0.25">
      <c r="C762" s="538" t="str">
        <f t="shared" si="71"/>
        <v/>
      </c>
      <c r="D762" s="1117" t="str">
        <f t="shared" si="72"/>
        <v/>
      </c>
      <c r="E762" s="1117"/>
      <c r="F762" s="1117"/>
      <c r="G762" s="542" t="str">
        <f t="shared" si="73"/>
        <v/>
      </c>
      <c r="H762" s="543"/>
      <c r="I762" s="1123"/>
      <c r="J762" s="1123"/>
      <c r="K762" s="1123"/>
      <c r="L762" s="1123"/>
      <c r="M762" s="1123"/>
      <c r="N762" s="1123"/>
      <c r="O762" s="1123"/>
      <c r="P762" s="1123"/>
    </row>
    <row r="763" spans="3:16" s="481" customFormat="1" ht="18" hidden="1" customHeight="1" x14ac:dyDescent="0.25">
      <c r="C763" s="538" t="str">
        <f t="shared" si="71"/>
        <v/>
      </c>
      <c r="D763" s="1117" t="str">
        <f t="shared" si="72"/>
        <v/>
      </c>
      <c r="E763" s="1117"/>
      <c r="F763" s="1117"/>
      <c r="G763" s="542" t="str">
        <f t="shared" si="73"/>
        <v/>
      </c>
      <c r="H763" s="543"/>
      <c r="I763" s="1123"/>
      <c r="J763" s="1123"/>
      <c r="K763" s="1123"/>
      <c r="L763" s="1123"/>
      <c r="M763" s="1123"/>
      <c r="N763" s="1123"/>
      <c r="O763" s="1123"/>
      <c r="P763" s="1123"/>
    </row>
    <row r="764" spans="3:16" s="481" customFormat="1" ht="18" hidden="1" customHeight="1" x14ac:dyDescent="0.25">
      <c r="C764" s="538" t="str">
        <f t="shared" si="71"/>
        <v/>
      </c>
      <c r="D764" s="1117" t="str">
        <f t="shared" si="72"/>
        <v/>
      </c>
      <c r="E764" s="1117"/>
      <c r="F764" s="1117"/>
      <c r="G764" s="542" t="str">
        <f t="shared" si="73"/>
        <v/>
      </c>
      <c r="H764" s="543"/>
      <c r="I764" s="1123"/>
      <c r="J764" s="1123"/>
      <c r="K764" s="1123"/>
      <c r="L764" s="1123"/>
      <c r="M764" s="1123"/>
      <c r="N764" s="1123"/>
      <c r="O764" s="1123"/>
      <c r="P764" s="1123"/>
    </row>
    <row r="765" spans="3:16" s="481" customFormat="1" ht="18" hidden="1" customHeight="1" x14ac:dyDescent="0.25">
      <c r="C765" s="538" t="str">
        <f t="shared" si="71"/>
        <v/>
      </c>
      <c r="D765" s="1117" t="str">
        <f t="shared" si="72"/>
        <v/>
      </c>
      <c r="E765" s="1117"/>
      <c r="F765" s="1117"/>
      <c r="G765" s="542" t="str">
        <f t="shared" si="73"/>
        <v/>
      </c>
      <c r="H765" s="543"/>
      <c r="I765" s="1123"/>
      <c r="J765" s="1123"/>
      <c r="K765" s="1123"/>
      <c r="L765" s="1123"/>
      <c r="M765" s="1123"/>
      <c r="N765" s="1123"/>
      <c r="O765" s="1123"/>
      <c r="P765" s="1123"/>
    </row>
    <row r="766" spans="3:16" s="481" customFormat="1" ht="18" hidden="1" customHeight="1" x14ac:dyDescent="0.25">
      <c r="C766" s="538" t="str">
        <f t="shared" si="71"/>
        <v/>
      </c>
      <c r="D766" s="1117" t="str">
        <f t="shared" si="72"/>
        <v/>
      </c>
      <c r="E766" s="1117"/>
      <c r="F766" s="1117"/>
      <c r="G766" s="542" t="str">
        <f t="shared" si="73"/>
        <v/>
      </c>
      <c r="H766" s="543"/>
      <c r="I766" s="1123"/>
      <c r="J766" s="1123"/>
      <c r="K766" s="1123"/>
      <c r="L766" s="1123"/>
      <c r="M766" s="1123"/>
      <c r="N766" s="1123"/>
      <c r="O766" s="1123"/>
      <c r="P766" s="1123"/>
    </row>
    <row r="767" spans="3:16" s="481" customFormat="1" ht="18" hidden="1" customHeight="1" x14ac:dyDescent="0.25">
      <c r="C767" s="538" t="str">
        <f t="shared" si="71"/>
        <v/>
      </c>
      <c r="D767" s="1117" t="str">
        <f t="shared" si="72"/>
        <v/>
      </c>
      <c r="E767" s="1117"/>
      <c r="F767" s="1117"/>
      <c r="G767" s="542" t="str">
        <f t="shared" si="73"/>
        <v/>
      </c>
      <c r="H767" s="543"/>
      <c r="I767" s="1123"/>
      <c r="J767" s="1123"/>
      <c r="K767" s="1123"/>
      <c r="L767" s="1123"/>
      <c r="M767" s="1123"/>
      <c r="N767" s="1123"/>
      <c r="O767" s="1123"/>
      <c r="P767" s="1123"/>
    </row>
    <row r="768" spans="3:16" s="481" customFormat="1" ht="18" hidden="1" customHeight="1" x14ac:dyDescent="0.25">
      <c r="C768" s="538" t="str">
        <f t="shared" si="71"/>
        <v/>
      </c>
      <c r="D768" s="1117" t="str">
        <f t="shared" si="72"/>
        <v/>
      </c>
      <c r="E768" s="1117"/>
      <c r="F768" s="1117"/>
      <c r="G768" s="542" t="str">
        <f t="shared" si="73"/>
        <v/>
      </c>
      <c r="H768" s="543"/>
      <c r="I768" s="1123"/>
      <c r="J768" s="1123"/>
      <c r="K768" s="1123"/>
      <c r="L768" s="1123"/>
      <c r="M768" s="1123"/>
      <c r="N768" s="1123"/>
      <c r="O768" s="1123"/>
      <c r="P768" s="1123"/>
    </row>
    <row r="769" spans="3:16" s="481" customFormat="1" ht="18" hidden="1" customHeight="1" x14ac:dyDescent="0.25">
      <c r="C769" s="538" t="str">
        <f t="shared" si="71"/>
        <v/>
      </c>
      <c r="D769" s="1117" t="str">
        <f t="shared" si="72"/>
        <v/>
      </c>
      <c r="E769" s="1117"/>
      <c r="F769" s="1117"/>
      <c r="G769" s="542" t="str">
        <f t="shared" si="73"/>
        <v/>
      </c>
      <c r="H769" s="543"/>
      <c r="I769" s="1123"/>
      <c r="J769" s="1123"/>
      <c r="K769" s="1123"/>
      <c r="L769" s="1123"/>
      <c r="M769" s="1123"/>
      <c r="N769" s="1123"/>
      <c r="O769" s="1123"/>
      <c r="P769" s="1123"/>
    </row>
    <row r="770" spans="3:16" s="481" customFormat="1" ht="18" hidden="1" customHeight="1" x14ac:dyDescent="0.25">
      <c r="C770" s="538" t="str">
        <f t="shared" si="71"/>
        <v/>
      </c>
      <c r="D770" s="1117" t="str">
        <f t="shared" si="72"/>
        <v/>
      </c>
      <c r="E770" s="1117"/>
      <c r="F770" s="1117"/>
      <c r="G770" s="542" t="str">
        <f t="shared" si="73"/>
        <v/>
      </c>
      <c r="H770" s="543"/>
      <c r="I770" s="1123"/>
      <c r="J770" s="1123"/>
      <c r="K770" s="1123"/>
      <c r="L770" s="1123"/>
      <c r="M770" s="1123"/>
      <c r="N770" s="1123"/>
      <c r="O770" s="1123"/>
      <c r="P770" s="1123"/>
    </row>
    <row r="771" spans="3:16" s="481" customFormat="1" ht="18" hidden="1" customHeight="1" x14ac:dyDescent="0.25">
      <c r="C771" s="538" t="str">
        <f t="shared" si="71"/>
        <v/>
      </c>
      <c r="D771" s="1117" t="str">
        <f t="shared" si="72"/>
        <v/>
      </c>
      <c r="E771" s="1117"/>
      <c r="F771" s="1117"/>
      <c r="G771" s="542" t="str">
        <f t="shared" si="73"/>
        <v/>
      </c>
      <c r="H771" s="543"/>
      <c r="I771" s="1123"/>
      <c r="J771" s="1123"/>
      <c r="K771" s="1123"/>
      <c r="L771" s="1123"/>
      <c r="M771" s="1123"/>
      <c r="N771" s="1123"/>
      <c r="O771" s="1123"/>
      <c r="P771" s="1123"/>
    </row>
    <row r="772" spans="3:16" s="481" customFormat="1" ht="18" hidden="1" customHeight="1" x14ac:dyDescent="0.25">
      <c r="C772" s="538" t="str">
        <f t="shared" si="71"/>
        <v/>
      </c>
      <c r="D772" s="1117" t="str">
        <f t="shared" si="72"/>
        <v/>
      </c>
      <c r="E772" s="1117"/>
      <c r="F772" s="1117"/>
      <c r="G772" s="542" t="str">
        <f t="shared" si="73"/>
        <v/>
      </c>
      <c r="H772" s="543"/>
      <c r="I772" s="1123"/>
      <c r="J772" s="1123"/>
      <c r="K772" s="1123"/>
      <c r="L772" s="1123"/>
      <c r="M772" s="1123"/>
      <c r="N772" s="1123"/>
      <c r="O772" s="1123"/>
      <c r="P772" s="1123"/>
    </row>
    <row r="773" spans="3:16" s="481" customFormat="1" ht="18" hidden="1" customHeight="1" x14ac:dyDescent="0.25">
      <c r="C773" s="538" t="str">
        <f t="shared" si="71"/>
        <v/>
      </c>
      <c r="D773" s="1117" t="str">
        <f t="shared" si="72"/>
        <v/>
      </c>
      <c r="E773" s="1117"/>
      <c r="F773" s="1117"/>
      <c r="G773" s="542" t="str">
        <f t="shared" si="73"/>
        <v/>
      </c>
      <c r="H773" s="543"/>
      <c r="I773" s="1123"/>
      <c r="J773" s="1123"/>
      <c r="K773" s="1123"/>
      <c r="L773" s="1123"/>
      <c r="M773" s="1123"/>
      <c r="N773" s="1123"/>
      <c r="O773" s="1123"/>
      <c r="P773" s="1123"/>
    </row>
    <row r="774" spans="3:16" s="481" customFormat="1" ht="18" hidden="1" customHeight="1" x14ac:dyDescent="0.25">
      <c r="C774" s="538" t="str">
        <f t="shared" si="71"/>
        <v/>
      </c>
      <c r="D774" s="1117" t="str">
        <f t="shared" si="72"/>
        <v/>
      </c>
      <c r="E774" s="1117"/>
      <c r="F774" s="1117"/>
      <c r="G774" s="542" t="str">
        <f t="shared" si="73"/>
        <v/>
      </c>
      <c r="H774" s="543"/>
      <c r="I774" s="1123"/>
      <c r="J774" s="1123"/>
      <c r="K774" s="1123"/>
      <c r="L774" s="1123"/>
      <c r="M774" s="1123"/>
      <c r="N774" s="1123"/>
      <c r="O774" s="1123"/>
      <c r="P774" s="1123"/>
    </row>
    <row r="775" spans="3:16" s="481" customFormat="1" ht="18" hidden="1" customHeight="1" x14ac:dyDescent="0.25">
      <c r="C775" s="538" t="str">
        <f t="shared" si="71"/>
        <v/>
      </c>
      <c r="D775" s="1117" t="str">
        <f t="shared" si="72"/>
        <v/>
      </c>
      <c r="E775" s="1117"/>
      <c r="F775" s="1117"/>
      <c r="G775" s="542" t="str">
        <f t="shared" si="73"/>
        <v/>
      </c>
      <c r="H775" s="543"/>
      <c r="I775" s="1123"/>
      <c r="J775" s="1123"/>
      <c r="K775" s="1123"/>
      <c r="L775" s="1123"/>
      <c r="M775" s="1123"/>
      <c r="N775" s="1123"/>
      <c r="O775" s="1123"/>
      <c r="P775" s="1123"/>
    </row>
    <row r="776" spans="3:16" s="481" customFormat="1" ht="18" hidden="1" customHeight="1" x14ac:dyDescent="0.25">
      <c r="C776" s="538" t="str">
        <f t="shared" si="71"/>
        <v/>
      </c>
      <c r="D776" s="1117" t="str">
        <f t="shared" si="72"/>
        <v/>
      </c>
      <c r="E776" s="1117"/>
      <c r="F776" s="1117"/>
      <c r="G776" s="542" t="str">
        <f t="shared" si="73"/>
        <v/>
      </c>
      <c r="H776" s="543"/>
      <c r="I776" s="1123"/>
      <c r="J776" s="1123"/>
      <c r="K776" s="1123"/>
      <c r="L776" s="1123"/>
      <c r="M776" s="1123"/>
      <c r="N776" s="1123"/>
      <c r="O776" s="1123"/>
      <c r="P776" s="1123"/>
    </row>
    <row r="777" spans="3:16" s="481" customFormat="1" ht="18" hidden="1" customHeight="1" x14ac:dyDescent="0.25">
      <c r="C777" s="538" t="str">
        <f t="shared" si="71"/>
        <v/>
      </c>
      <c r="D777" s="1117" t="str">
        <f t="shared" si="72"/>
        <v/>
      </c>
      <c r="E777" s="1117"/>
      <c r="F777" s="1117"/>
      <c r="G777" s="542" t="str">
        <f t="shared" si="73"/>
        <v/>
      </c>
      <c r="H777" s="543"/>
      <c r="I777" s="1123"/>
      <c r="J777" s="1123"/>
      <c r="K777" s="1123"/>
      <c r="L777" s="1123"/>
      <c r="M777" s="1123"/>
      <c r="N777" s="1123"/>
      <c r="O777" s="1123"/>
      <c r="P777" s="1123"/>
    </row>
    <row r="778" spans="3:16" s="481" customFormat="1" ht="18" hidden="1" customHeight="1" x14ac:dyDescent="0.25">
      <c r="G778" s="482"/>
      <c r="H778" s="482"/>
      <c r="I778" s="483"/>
      <c r="J778" s="483"/>
      <c r="K778" s="483"/>
      <c r="L778" s="516"/>
      <c r="M778" s="483"/>
      <c r="N778" s="483"/>
      <c r="O778" s="483"/>
      <c r="P778" s="483"/>
    </row>
    <row r="779" spans="3:16" s="481" customFormat="1" ht="18" hidden="1" customHeight="1" x14ac:dyDescent="0.25">
      <c r="G779" s="482"/>
      <c r="H779" s="482"/>
      <c r="I779" s="483"/>
      <c r="J779" s="483"/>
      <c r="K779" s="483"/>
      <c r="L779" s="516"/>
      <c r="M779" s="483"/>
      <c r="N779" s="483"/>
      <c r="O779" s="483"/>
      <c r="P779" s="483"/>
    </row>
    <row r="780" spans="3:16" s="481" customFormat="1" ht="18" hidden="1" customHeight="1" x14ac:dyDescent="0.25">
      <c r="G780" s="482"/>
      <c r="H780" s="482"/>
      <c r="I780" s="483"/>
      <c r="J780" s="483"/>
      <c r="K780" s="483"/>
      <c r="L780" s="516"/>
      <c r="M780" s="483"/>
      <c r="N780" s="483"/>
      <c r="O780" s="483"/>
      <c r="P780" s="483"/>
    </row>
    <row r="781" spans="3:16" s="481" customFormat="1" ht="18" hidden="1" customHeight="1" x14ac:dyDescent="0.25">
      <c r="G781" s="482"/>
      <c r="H781" s="482"/>
      <c r="I781" s="483"/>
      <c r="J781" s="483"/>
      <c r="K781" s="483"/>
      <c r="L781" s="516"/>
      <c r="M781" s="483"/>
      <c r="N781" s="483"/>
      <c r="O781" s="483"/>
      <c r="P781" s="483"/>
    </row>
    <row r="782" spans="3:16" s="481" customFormat="1" ht="18" hidden="1" customHeight="1" x14ac:dyDescent="0.25">
      <c r="G782" s="482"/>
      <c r="H782" s="482"/>
      <c r="I782" s="483"/>
      <c r="J782" s="483"/>
      <c r="K782" s="483"/>
      <c r="L782" s="516"/>
      <c r="M782" s="483"/>
      <c r="N782" s="483"/>
      <c r="O782" s="483"/>
      <c r="P782" s="483"/>
    </row>
    <row r="783" spans="3:16" s="481" customFormat="1" ht="18" hidden="1" customHeight="1" x14ac:dyDescent="0.25">
      <c r="G783" s="482"/>
      <c r="H783" s="482"/>
      <c r="I783" s="483"/>
      <c r="J783" s="483"/>
      <c r="K783" s="483"/>
      <c r="L783" s="516"/>
      <c r="M783" s="483"/>
      <c r="N783" s="483"/>
      <c r="O783" s="483"/>
      <c r="P783" s="483"/>
    </row>
    <row r="784" spans="3:16" s="481" customFormat="1" ht="18" hidden="1" customHeight="1" x14ac:dyDescent="0.25">
      <c r="G784" s="482"/>
      <c r="H784" s="482"/>
      <c r="I784" s="483"/>
      <c r="J784" s="483"/>
      <c r="K784" s="483"/>
      <c r="L784" s="516"/>
      <c r="M784" s="483"/>
      <c r="N784" s="483"/>
      <c r="O784" s="483"/>
      <c r="P784" s="483"/>
    </row>
    <row r="785" spans="9:9" s="481" customFormat="1" ht="18" hidden="1" customHeight="1" x14ac:dyDescent="0.25">
      <c r="I785" s="483"/>
    </row>
    <row r="786" spans="9:9" s="481" customFormat="1" ht="18" hidden="1" customHeight="1" x14ac:dyDescent="0.25">
      <c r="I786" s="483"/>
    </row>
    <row r="787" spans="9:9" s="481" customFormat="1" ht="18" hidden="1" customHeight="1" x14ac:dyDescent="0.25">
      <c r="I787" s="483"/>
    </row>
    <row r="788" spans="9:9" s="481" customFormat="1" ht="18" hidden="1" customHeight="1" x14ac:dyDescent="0.25">
      <c r="I788" s="483"/>
    </row>
    <row r="789" spans="9:9" s="481" customFormat="1" ht="18" hidden="1" customHeight="1" x14ac:dyDescent="0.25">
      <c r="I789" s="483"/>
    </row>
    <row r="790" spans="9:9" s="481" customFormat="1" ht="18" hidden="1" customHeight="1" x14ac:dyDescent="0.25">
      <c r="I790" s="483"/>
    </row>
    <row r="791" spans="9:9" s="481" customFormat="1" ht="18" hidden="1" customHeight="1" x14ac:dyDescent="0.25">
      <c r="I791" s="483"/>
    </row>
    <row r="792" spans="9:9" s="481" customFormat="1" ht="18" hidden="1" customHeight="1" x14ac:dyDescent="0.25">
      <c r="I792" s="483"/>
    </row>
    <row r="793" spans="9:9" s="481" customFormat="1" ht="18" hidden="1" customHeight="1" x14ac:dyDescent="0.25">
      <c r="I793" s="483"/>
    </row>
    <row r="794" spans="9:9" s="481" customFormat="1" ht="18" hidden="1" customHeight="1" x14ac:dyDescent="0.25">
      <c r="I794" s="483"/>
    </row>
    <row r="795" spans="9:9" s="481" customFormat="1" ht="18" hidden="1" customHeight="1" x14ac:dyDescent="0.25">
      <c r="I795" s="483"/>
    </row>
    <row r="796" spans="9:9" s="481" customFormat="1" ht="18" hidden="1" customHeight="1" x14ac:dyDescent="0.25">
      <c r="I796" s="483"/>
    </row>
    <row r="797" spans="9:9" s="481" customFormat="1" ht="18" hidden="1" customHeight="1" x14ac:dyDescent="0.25">
      <c r="I797" s="483"/>
    </row>
    <row r="798" spans="9:9" s="481" customFormat="1" ht="18" hidden="1" customHeight="1" x14ac:dyDescent="0.25">
      <c r="I798" s="483"/>
    </row>
    <row r="799" spans="9:9" s="481" customFormat="1" ht="18" hidden="1" customHeight="1" x14ac:dyDescent="0.25">
      <c r="I799" s="483"/>
    </row>
    <row r="800" spans="9:9" s="481" customFormat="1" ht="18" hidden="1" customHeight="1" x14ac:dyDescent="0.25">
      <c r="I800" s="483"/>
    </row>
    <row r="801" spans="9:9" s="481" customFormat="1" ht="18" hidden="1" customHeight="1" x14ac:dyDescent="0.25">
      <c r="I801" s="483"/>
    </row>
    <row r="802" spans="9:9" s="481" customFormat="1" ht="18" hidden="1" customHeight="1" x14ac:dyDescent="0.25">
      <c r="I802" s="483"/>
    </row>
    <row r="803" spans="9:9" s="481" customFormat="1" ht="18" hidden="1" customHeight="1" x14ac:dyDescent="0.25">
      <c r="I803" s="483"/>
    </row>
    <row r="804" spans="9:9" s="481" customFormat="1" ht="18" hidden="1" customHeight="1" x14ac:dyDescent="0.25">
      <c r="I804" s="483"/>
    </row>
    <row r="805" spans="9:9" s="481" customFormat="1" ht="18" hidden="1" customHeight="1" x14ac:dyDescent="0.25">
      <c r="I805" s="483"/>
    </row>
    <row r="806" spans="9:9" s="481" customFormat="1" ht="18" hidden="1" customHeight="1" x14ac:dyDescent="0.25">
      <c r="I806" s="483"/>
    </row>
    <row r="807" spans="9:9" s="481" customFormat="1" ht="18" hidden="1" customHeight="1" x14ac:dyDescent="0.25">
      <c r="I807" s="483"/>
    </row>
    <row r="808" spans="9:9" s="481" customFormat="1" ht="18" hidden="1" customHeight="1" x14ac:dyDescent="0.25">
      <c r="I808" s="483"/>
    </row>
    <row r="809" spans="9:9" s="481" customFormat="1" ht="18" hidden="1" customHeight="1" x14ac:dyDescent="0.25">
      <c r="I809" s="483"/>
    </row>
    <row r="810" spans="9:9" s="481" customFormat="1" ht="18" hidden="1" customHeight="1" x14ac:dyDescent="0.25">
      <c r="I810" s="483"/>
    </row>
    <row r="811" spans="9:9" s="481" customFormat="1" ht="18" hidden="1" customHeight="1" x14ac:dyDescent="0.25">
      <c r="I811" s="483"/>
    </row>
    <row r="812" spans="9:9" s="481" customFormat="1" ht="18" hidden="1" customHeight="1" x14ac:dyDescent="0.25">
      <c r="I812" s="483"/>
    </row>
    <row r="813" spans="9:9" s="481" customFormat="1" ht="18" hidden="1" customHeight="1" x14ac:dyDescent="0.25">
      <c r="I813" s="483"/>
    </row>
    <row r="814" spans="9:9" s="481" customFormat="1" ht="18" hidden="1" customHeight="1" x14ac:dyDescent="0.25">
      <c r="I814" s="483"/>
    </row>
    <row r="815" spans="9:9" s="481" customFormat="1" ht="18" hidden="1" customHeight="1" x14ac:dyDescent="0.25">
      <c r="I815" s="483"/>
    </row>
    <row r="816" spans="9:9" s="481" customFormat="1" ht="18" hidden="1" customHeight="1" x14ac:dyDescent="0.25">
      <c r="I816" s="483"/>
    </row>
    <row r="817" spans="9:9" s="481" customFormat="1" ht="18" hidden="1" customHeight="1" x14ac:dyDescent="0.25">
      <c r="I817" s="483"/>
    </row>
    <row r="818" spans="9:9" s="481" customFormat="1" ht="18" hidden="1" customHeight="1" x14ac:dyDescent="0.25">
      <c r="I818" s="483"/>
    </row>
    <row r="819" spans="9:9" s="481" customFormat="1" ht="18" hidden="1" customHeight="1" x14ac:dyDescent="0.25">
      <c r="I819" s="483"/>
    </row>
    <row r="820" spans="9:9" s="481" customFormat="1" ht="18" hidden="1" customHeight="1" x14ac:dyDescent="0.25">
      <c r="I820" s="483"/>
    </row>
    <row r="821" spans="9:9" s="481" customFormat="1" ht="18" hidden="1" customHeight="1" x14ac:dyDescent="0.25">
      <c r="I821" s="483"/>
    </row>
    <row r="822" spans="9:9" s="481" customFormat="1" ht="18" hidden="1" customHeight="1" x14ac:dyDescent="0.25">
      <c r="I822" s="483"/>
    </row>
    <row r="823" spans="9:9" s="481" customFormat="1" ht="18" hidden="1" customHeight="1" x14ac:dyDescent="0.25">
      <c r="I823" s="483"/>
    </row>
    <row r="824" spans="9:9" s="481" customFormat="1" ht="18" hidden="1" customHeight="1" x14ac:dyDescent="0.25">
      <c r="I824" s="483"/>
    </row>
    <row r="825" spans="9:9" s="481" customFormat="1" ht="18" hidden="1" customHeight="1" x14ac:dyDescent="0.25">
      <c r="I825" s="483"/>
    </row>
    <row r="826" spans="9:9" s="481" customFormat="1" ht="18" hidden="1" customHeight="1" x14ac:dyDescent="0.25">
      <c r="I826" s="483"/>
    </row>
    <row r="827" spans="9:9" s="481" customFormat="1" ht="18" hidden="1" customHeight="1" x14ac:dyDescent="0.25">
      <c r="I827" s="483"/>
    </row>
    <row r="828" spans="9:9" s="481" customFormat="1" ht="18" hidden="1" customHeight="1" x14ac:dyDescent="0.25">
      <c r="I828" s="483"/>
    </row>
    <row r="829" spans="9:9" s="481" customFormat="1" ht="18" hidden="1" customHeight="1" x14ac:dyDescent="0.25">
      <c r="I829" s="483"/>
    </row>
    <row r="830" spans="9:9" s="481" customFormat="1" ht="18" hidden="1" customHeight="1" x14ac:dyDescent="0.25">
      <c r="I830" s="483"/>
    </row>
    <row r="831" spans="9:9" s="481" customFormat="1" ht="18" hidden="1" customHeight="1" x14ac:dyDescent="0.25">
      <c r="I831" s="483"/>
    </row>
    <row r="832" spans="9:9" s="481" customFormat="1" ht="18" hidden="1" customHeight="1" x14ac:dyDescent="0.25">
      <c r="I832" s="483"/>
    </row>
    <row r="833" spans="9:9" s="481" customFormat="1" ht="18" hidden="1" customHeight="1" x14ac:dyDescent="0.25">
      <c r="I833" s="483"/>
    </row>
    <row r="834" spans="9:9" s="481" customFormat="1" ht="18" hidden="1" customHeight="1" x14ac:dyDescent="0.25">
      <c r="I834" s="483"/>
    </row>
    <row r="835" spans="9:9" s="481" customFormat="1" ht="18" hidden="1" customHeight="1" x14ac:dyDescent="0.25">
      <c r="I835" s="483"/>
    </row>
    <row r="836" spans="9:9" s="481" customFormat="1" ht="18" hidden="1" customHeight="1" x14ac:dyDescent="0.25">
      <c r="I836" s="483"/>
    </row>
    <row r="837" spans="9:9" s="481" customFormat="1" ht="18" hidden="1" customHeight="1" x14ac:dyDescent="0.25">
      <c r="I837" s="483"/>
    </row>
    <row r="838" spans="9:9" s="481" customFormat="1" ht="18" hidden="1" customHeight="1" x14ac:dyDescent="0.25">
      <c r="I838" s="483"/>
    </row>
    <row r="839" spans="9:9" s="481" customFormat="1" ht="18" hidden="1" customHeight="1" x14ac:dyDescent="0.25">
      <c r="I839" s="483"/>
    </row>
    <row r="840" spans="9:9" s="481" customFormat="1" ht="18" hidden="1" customHeight="1" x14ac:dyDescent="0.25">
      <c r="I840" s="483"/>
    </row>
    <row r="841" spans="9:9" s="481" customFormat="1" ht="18" hidden="1" customHeight="1" x14ac:dyDescent="0.25">
      <c r="I841" s="483"/>
    </row>
    <row r="842" spans="9:9" s="481" customFormat="1" ht="18" hidden="1" customHeight="1" x14ac:dyDescent="0.25">
      <c r="I842" s="483"/>
    </row>
    <row r="843" spans="9:9" s="481" customFormat="1" ht="18" hidden="1" customHeight="1" x14ac:dyDescent="0.25">
      <c r="I843" s="483"/>
    </row>
    <row r="844" spans="9:9" s="481" customFormat="1" ht="18" hidden="1" customHeight="1" x14ac:dyDescent="0.25">
      <c r="I844" s="483"/>
    </row>
    <row r="845" spans="9:9" s="481" customFormat="1" ht="18" hidden="1" customHeight="1" x14ac:dyDescent="0.25">
      <c r="I845" s="483"/>
    </row>
    <row r="846" spans="9:9" s="481" customFormat="1" ht="18" hidden="1" customHeight="1" x14ac:dyDescent="0.25">
      <c r="I846" s="483"/>
    </row>
    <row r="847" spans="9:9" s="481" customFormat="1" ht="18" hidden="1" customHeight="1" x14ac:dyDescent="0.25">
      <c r="I847" s="483"/>
    </row>
    <row r="848" spans="9:9" s="481" customFormat="1" ht="18" hidden="1" customHeight="1" x14ac:dyDescent="0.25">
      <c r="I848" s="483"/>
    </row>
    <row r="849" spans="9:9" s="481" customFormat="1" ht="18" hidden="1" customHeight="1" x14ac:dyDescent="0.25">
      <c r="I849" s="483"/>
    </row>
    <row r="850" spans="9:9" s="481" customFormat="1" ht="18" hidden="1" customHeight="1" x14ac:dyDescent="0.25">
      <c r="I850" s="483"/>
    </row>
    <row r="851" spans="9:9" s="481" customFormat="1" ht="18" hidden="1" customHeight="1" x14ac:dyDescent="0.25">
      <c r="I851" s="483"/>
    </row>
    <row r="852" spans="9:9" s="481" customFormat="1" ht="18" hidden="1" customHeight="1" x14ac:dyDescent="0.25">
      <c r="I852" s="483"/>
    </row>
    <row r="853" spans="9:9" s="481" customFormat="1" ht="18" hidden="1" customHeight="1" x14ac:dyDescent="0.25">
      <c r="I853" s="483"/>
    </row>
    <row r="854" spans="9:9" s="481" customFormat="1" ht="18" hidden="1" customHeight="1" x14ac:dyDescent="0.25">
      <c r="I854" s="483"/>
    </row>
    <row r="855" spans="9:9" s="481" customFormat="1" ht="18" hidden="1" customHeight="1" x14ac:dyDescent="0.25">
      <c r="I855" s="483"/>
    </row>
    <row r="856" spans="9:9" s="481" customFormat="1" ht="18" hidden="1" customHeight="1" x14ac:dyDescent="0.25">
      <c r="I856" s="483"/>
    </row>
    <row r="857" spans="9:9" s="481" customFormat="1" ht="18" hidden="1" customHeight="1" x14ac:dyDescent="0.25">
      <c r="I857" s="483"/>
    </row>
    <row r="858" spans="9:9" s="481" customFormat="1" ht="18" hidden="1" customHeight="1" x14ac:dyDescent="0.25">
      <c r="I858" s="483"/>
    </row>
    <row r="859" spans="9:9" s="481" customFormat="1" ht="18" hidden="1" customHeight="1" x14ac:dyDescent="0.25">
      <c r="I859" s="483"/>
    </row>
    <row r="860" spans="9:9" s="481" customFormat="1" ht="18" hidden="1" customHeight="1" x14ac:dyDescent="0.25">
      <c r="I860" s="483"/>
    </row>
    <row r="861" spans="9:9" s="481" customFormat="1" ht="18" hidden="1" customHeight="1" x14ac:dyDescent="0.25">
      <c r="I861" s="483"/>
    </row>
    <row r="862" spans="9:9" s="481" customFormat="1" ht="18" hidden="1" customHeight="1" x14ac:dyDescent="0.25">
      <c r="I862" s="483"/>
    </row>
    <row r="863" spans="9:9" s="481" customFormat="1" ht="18" hidden="1" customHeight="1" x14ac:dyDescent="0.25">
      <c r="I863" s="483"/>
    </row>
    <row r="864" spans="9:9" s="481" customFormat="1" ht="18" hidden="1" customHeight="1" x14ac:dyDescent="0.25">
      <c r="I864" s="483"/>
    </row>
    <row r="865" spans="9:9" s="481" customFormat="1" ht="18" hidden="1" customHeight="1" x14ac:dyDescent="0.25">
      <c r="I865" s="483"/>
    </row>
    <row r="866" spans="9:9" s="481" customFormat="1" ht="18" hidden="1" customHeight="1" x14ac:dyDescent="0.25">
      <c r="I866" s="483"/>
    </row>
    <row r="867" spans="9:9" s="481" customFormat="1" ht="18" hidden="1" customHeight="1" x14ac:dyDescent="0.25">
      <c r="I867" s="483"/>
    </row>
    <row r="868" spans="9:9" s="481" customFormat="1" ht="18" hidden="1" customHeight="1" x14ac:dyDescent="0.25">
      <c r="I868" s="483"/>
    </row>
    <row r="869" spans="9:9" s="481" customFormat="1" ht="18" hidden="1" customHeight="1" x14ac:dyDescent="0.25">
      <c r="I869" s="483"/>
    </row>
    <row r="870" spans="9:9" s="481" customFormat="1" ht="18" hidden="1" customHeight="1" x14ac:dyDescent="0.25">
      <c r="I870" s="483"/>
    </row>
    <row r="871" spans="9:9" s="481" customFormat="1" ht="18" hidden="1" customHeight="1" x14ac:dyDescent="0.25">
      <c r="I871" s="483"/>
    </row>
    <row r="872" spans="9:9" s="481" customFormat="1" ht="18" hidden="1" customHeight="1" x14ac:dyDescent="0.25">
      <c r="I872" s="483"/>
    </row>
    <row r="873" spans="9:9" s="481" customFormat="1" ht="18" hidden="1" customHeight="1" x14ac:dyDescent="0.25">
      <c r="I873" s="483"/>
    </row>
    <row r="874" spans="9:9" s="481" customFormat="1" ht="18" hidden="1" customHeight="1" x14ac:dyDescent="0.25">
      <c r="I874" s="483"/>
    </row>
    <row r="875" spans="9:9" s="481" customFormat="1" ht="18" hidden="1" customHeight="1" x14ac:dyDescent="0.25">
      <c r="I875" s="483"/>
    </row>
    <row r="876" spans="9:9" s="481" customFormat="1" ht="18" hidden="1" customHeight="1" x14ac:dyDescent="0.25">
      <c r="I876" s="483"/>
    </row>
    <row r="877" spans="9:9" s="481" customFormat="1" ht="18" hidden="1" customHeight="1" x14ac:dyDescent="0.25">
      <c r="I877" s="483"/>
    </row>
    <row r="878" spans="9:9" s="481" customFormat="1" ht="18" hidden="1" customHeight="1" x14ac:dyDescent="0.25">
      <c r="I878" s="483"/>
    </row>
    <row r="879" spans="9:9" s="481" customFormat="1" ht="18" hidden="1" customHeight="1" x14ac:dyDescent="0.25">
      <c r="I879" s="483"/>
    </row>
    <row r="880" spans="9:9" s="481" customFormat="1" ht="18" hidden="1" customHeight="1" x14ac:dyDescent="0.25">
      <c r="I880" s="483"/>
    </row>
    <row r="881" spans="9:9" s="481" customFormat="1" ht="18" hidden="1" customHeight="1" x14ac:dyDescent="0.25">
      <c r="I881" s="483"/>
    </row>
    <row r="882" spans="9:9" s="481" customFormat="1" ht="18" hidden="1" customHeight="1" x14ac:dyDescent="0.25">
      <c r="I882" s="483"/>
    </row>
    <row r="883" spans="9:9" s="481" customFormat="1" ht="18" hidden="1" customHeight="1" x14ac:dyDescent="0.25">
      <c r="I883" s="483"/>
    </row>
    <row r="884" spans="9:9" s="481" customFormat="1" ht="18" hidden="1" customHeight="1" x14ac:dyDescent="0.25">
      <c r="I884" s="483"/>
    </row>
    <row r="885" spans="9:9" s="481" customFormat="1" ht="18" hidden="1" customHeight="1" x14ac:dyDescent="0.25">
      <c r="I885" s="483"/>
    </row>
    <row r="886" spans="9:9" s="481" customFormat="1" ht="18" hidden="1" customHeight="1" x14ac:dyDescent="0.25">
      <c r="I886" s="483"/>
    </row>
    <row r="887" spans="9:9" s="481" customFormat="1" ht="18" hidden="1" customHeight="1" x14ac:dyDescent="0.25">
      <c r="I887" s="483"/>
    </row>
    <row r="888" spans="9:9" s="481" customFormat="1" ht="18" hidden="1" customHeight="1" x14ac:dyDescent="0.25">
      <c r="I888" s="483"/>
    </row>
    <row r="889" spans="9:9" s="481" customFormat="1" ht="18" hidden="1" customHeight="1" x14ac:dyDescent="0.25">
      <c r="I889" s="483"/>
    </row>
    <row r="890" spans="9:9" s="481" customFormat="1" ht="18" hidden="1" customHeight="1" x14ac:dyDescent="0.25">
      <c r="I890" s="483"/>
    </row>
    <row r="891" spans="9:9" s="481" customFormat="1" ht="18" hidden="1" customHeight="1" x14ac:dyDescent="0.25">
      <c r="I891" s="483"/>
    </row>
    <row r="892" spans="9:9" s="481" customFormat="1" ht="18" hidden="1" customHeight="1" x14ac:dyDescent="0.25">
      <c r="I892" s="483"/>
    </row>
    <row r="893" spans="9:9" s="481" customFormat="1" ht="18" hidden="1" customHeight="1" x14ac:dyDescent="0.25">
      <c r="I893" s="483"/>
    </row>
    <row r="894" spans="9:9" s="481" customFormat="1" ht="18" hidden="1" customHeight="1" x14ac:dyDescent="0.25">
      <c r="I894" s="483"/>
    </row>
    <row r="895" spans="9:9" s="481" customFormat="1" ht="18" hidden="1" customHeight="1" x14ac:dyDescent="0.25">
      <c r="I895" s="483"/>
    </row>
    <row r="896" spans="9:9" s="481" customFormat="1" ht="18" hidden="1" customHeight="1" x14ac:dyDescent="0.25">
      <c r="I896" s="483"/>
    </row>
    <row r="897" spans="9:9" s="481" customFormat="1" ht="18" hidden="1" customHeight="1" x14ac:dyDescent="0.25">
      <c r="I897" s="483"/>
    </row>
    <row r="898" spans="9:9" s="481" customFormat="1" ht="18" hidden="1" customHeight="1" x14ac:dyDescent="0.25">
      <c r="I898" s="483"/>
    </row>
    <row r="899" spans="9:9" s="481" customFormat="1" ht="18" hidden="1" customHeight="1" x14ac:dyDescent="0.25">
      <c r="I899" s="483"/>
    </row>
    <row r="900" spans="9:9" s="481" customFormat="1" ht="18" hidden="1" customHeight="1" x14ac:dyDescent="0.25">
      <c r="I900" s="483"/>
    </row>
    <row r="901" spans="9:9" s="481" customFormat="1" ht="18" hidden="1" customHeight="1" x14ac:dyDescent="0.25">
      <c r="I901" s="483"/>
    </row>
    <row r="902" spans="9:9" s="481" customFormat="1" ht="18" hidden="1" customHeight="1" x14ac:dyDescent="0.25">
      <c r="I902" s="483"/>
    </row>
    <row r="903" spans="9:9" s="481" customFormat="1" ht="18" hidden="1" customHeight="1" x14ac:dyDescent="0.25">
      <c r="I903" s="483"/>
    </row>
    <row r="904" spans="9:9" s="481" customFormat="1" ht="18" hidden="1" customHeight="1" x14ac:dyDescent="0.25">
      <c r="I904" s="483"/>
    </row>
    <row r="905" spans="9:9" s="481" customFormat="1" ht="18" hidden="1" customHeight="1" x14ac:dyDescent="0.25">
      <c r="I905" s="483"/>
    </row>
    <row r="906" spans="9:9" s="481" customFormat="1" ht="18" hidden="1" customHeight="1" x14ac:dyDescent="0.25">
      <c r="I906" s="483"/>
    </row>
    <row r="907" spans="9:9" s="481" customFormat="1" ht="18" hidden="1" customHeight="1" x14ac:dyDescent="0.25">
      <c r="I907" s="483"/>
    </row>
    <row r="908" spans="9:9" s="481" customFormat="1" ht="18" hidden="1" customHeight="1" x14ac:dyDescent="0.25">
      <c r="I908" s="483"/>
    </row>
    <row r="909" spans="9:9" s="481" customFormat="1" ht="18" hidden="1" customHeight="1" x14ac:dyDescent="0.25">
      <c r="I909" s="483"/>
    </row>
    <row r="910" spans="9:9" s="481" customFormat="1" ht="18" hidden="1" customHeight="1" x14ac:dyDescent="0.25">
      <c r="I910" s="483"/>
    </row>
    <row r="911" spans="9:9" s="481" customFormat="1" ht="18" hidden="1" customHeight="1" x14ac:dyDescent="0.25">
      <c r="I911" s="483"/>
    </row>
    <row r="912" spans="9:9" s="481" customFormat="1" ht="18" hidden="1" customHeight="1" x14ac:dyDescent="0.25">
      <c r="I912" s="483"/>
    </row>
    <row r="913" spans="9:9" s="481" customFormat="1" ht="18" hidden="1" customHeight="1" x14ac:dyDescent="0.25">
      <c r="I913" s="483"/>
    </row>
    <row r="914" spans="9:9" s="481" customFormat="1" ht="18" hidden="1" customHeight="1" x14ac:dyDescent="0.25">
      <c r="I914" s="483"/>
    </row>
    <row r="915" spans="9:9" s="481" customFormat="1" ht="18" hidden="1" customHeight="1" x14ac:dyDescent="0.25">
      <c r="I915" s="483"/>
    </row>
    <row r="916" spans="9:9" s="481" customFormat="1" ht="18" hidden="1" customHeight="1" x14ac:dyDescent="0.25">
      <c r="I916" s="483"/>
    </row>
    <row r="917" spans="9:9" s="481" customFormat="1" ht="18" hidden="1" customHeight="1" x14ac:dyDescent="0.25">
      <c r="I917" s="483"/>
    </row>
    <row r="918" spans="9:9" s="481" customFormat="1" ht="18" hidden="1" customHeight="1" x14ac:dyDescent="0.25">
      <c r="I918" s="483"/>
    </row>
    <row r="919" spans="9:9" s="481" customFormat="1" ht="18" hidden="1" customHeight="1" x14ac:dyDescent="0.25">
      <c r="I919" s="483"/>
    </row>
    <row r="920" spans="9:9" s="481" customFormat="1" ht="18" hidden="1" customHeight="1" x14ac:dyDescent="0.25">
      <c r="I920" s="483"/>
    </row>
    <row r="921" spans="9:9" s="481" customFormat="1" ht="18" hidden="1" customHeight="1" x14ac:dyDescent="0.25">
      <c r="I921" s="483"/>
    </row>
    <row r="922" spans="9:9" s="481" customFormat="1" ht="18" hidden="1" customHeight="1" x14ac:dyDescent="0.25">
      <c r="I922" s="483"/>
    </row>
    <row r="923" spans="9:9" s="481" customFormat="1" ht="18" hidden="1" customHeight="1" x14ac:dyDescent="0.25">
      <c r="I923" s="483"/>
    </row>
    <row r="924" spans="9:9" s="481" customFormat="1" ht="18" hidden="1" customHeight="1" x14ac:dyDescent="0.25">
      <c r="I924" s="483"/>
    </row>
    <row r="925" spans="9:9" s="481" customFormat="1" ht="18" hidden="1" customHeight="1" x14ac:dyDescent="0.25">
      <c r="I925" s="483"/>
    </row>
    <row r="926" spans="9:9" s="481" customFormat="1" ht="18" hidden="1" customHeight="1" x14ac:dyDescent="0.25">
      <c r="I926" s="483"/>
    </row>
    <row r="927" spans="9:9" s="481" customFormat="1" ht="18" hidden="1" customHeight="1" x14ac:dyDescent="0.25">
      <c r="I927" s="483"/>
    </row>
    <row r="928" spans="9:9" s="481" customFormat="1" ht="18" hidden="1" customHeight="1" x14ac:dyDescent="0.25">
      <c r="I928" s="483"/>
    </row>
    <row r="929" spans="9:9" s="481" customFormat="1" ht="18" hidden="1" customHeight="1" x14ac:dyDescent="0.25">
      <c r="I929" s="483"/>
    </row>
    <row r="930" spans="9:9" s="481" customFormat="1" ht="18" hidden="1" customHeight="1" x14ac:dyDescent="0.25">
      <c r="I930" s="483"/>
    </row>
    <row r="931" spans="9:9" s="481" customFormat="1" ht="18" hidden="1" customHeight="1" x14ac:dyDescent="0.25">
      <c r="I931" s="483"/>
    </row>
    <row r="932" spans="9:9" s="481" customFormat="1" ht="18" hidden="1" customHeight="1" x14ac:dyDescent="0.25">
      <c r="I932" s="483"/>
    </row>
    <row r="933" spans="9:9" s="481" customFormat="1" ht="18" hidden="1" customHeight="1" x14ac:dyDescent="0.25">
      <c r="I933" s="483"/>
    </row>
    <row r="934" spans="9:9" s="481" customFormat="1" ht="18" hidden="1" customHeight="1" x14ac:dyDescent="0.25">
      <c r="I934" s="483"/>
    </row>
    <row r="935" spans="9:9" s="481" customFormat="1" ht="18" hidden="1" customHeight="1" x14ac:dyDescent="0.25">
      <c r="I935" s="483"/>
    </row>
    <row r="936" spans="9:9" s="481" customFormat="1" ht="18" hidden="1" customHeight="1" x14ac:dyDescent="0.25">
      <c r="I936" s="483"/>
    </row>
    <row r="937" spans="9:9" s="481" customFormat="1" ht="18" hidden="1" customHeight="1" x14ac:dyDescent="0.25">
      <c r="I937" s="483"/>
    </row>
    <row r="938" spans="9:9" s="481" customFormat="1" ht="18" hidden="1" customHeight="1" x14ac:dyDescent="0.25">
      <c r="I938" s="483"/>
    </row>
    <row r="939" spans="9:9" s="481" customFormat="1" ht="18" hidden="1" customHeight="1" x14ac:dyDescent="0.25">
      <c r="I939" s="483"/>
    </row>
    <row r="940" spans="9:9" s="481" customFormat="1" ht="18" hidden="1" customHeight="1" x14ac:dyDescent="0.25">
      <c r="I940" s="483"/>
    </row>
    <row r="941" spans="9:9" s="481" customFormat="1" ht="18" hidden="1" customHeight="1" x14ac:dyDescent="0.25">
      <c r="I941" s="483"/>
    </row>
    <row r="942" spans="9:9" s="481" customFormat="1" ht="18" hidden="1" customHeight="1" x14ac:dyDescent="0.25">
      <c r="I942" s="483"/>
    </row>
    <row r="943" spans="9:9" s="481" customFormat="1" ht="18" customHeight="1" x14ac:dyDescent="0.25">
      <c r="I943" s="483"/>
    </row>
    <row r="944" spans="9:9" s="481" customFormat="1" ht="18" customHeight="1" x14ac:dyDescent="0.25">
      <c r="I944" s="483"/>
    </row>
    <row r="945" spans="9:9" s="481" customFormat="1" ht="18" customHeight="1" x14ac:dyDescent="0.25">
      <c r="I945" s="483"/>
    </row>
    <row r="946" spans="9:9" s="481" customFormat="1" ht="18" customHeight="1" x14ac:dyDescent="0.25">
      <c r="I946" s="483"/>
    </row>
    <row r="947" spans="9:9" s="481" customFormat="1" ht="18" customHeight="1" x14ac:dyDescent="0.25">
      <c r="I947" s="483"/>
    </row>
    <row r="948" spans="9:9" s="481" customFormat="1" ht="18" customHeight="1" x14ac:dyDescent="0.25">
      <c r="I948" s="483"/>
    </row>
    <row r="949" spans="9:9" s="481" customFormat="1" ht="18" customHeight="1" x14ac:dyDescent="0.25">
      <c r="I949" s="483"/>
    </row>
    <row r="950" spans="9:9" s="481" customFormat="1" ht="18" customHeight="1" x14ac:dyDescent="0.25">
      <c r="I950" s="483"/>
    </row>
    <row r="951" spans="9:9" s="481" customFormat="1" ht="18" customHeight="1" x14ac:dyDescent="0.25">
      <c r="I951" s="483"/>
    </row>
    <row r="952" spans="9:9" s="481" customFormat="1" ht="18" customHeight="1" x14ac:dyDescent="0.25">
      <c r="I952" s="483"/>
    </row>
    <row r="953" spans="9:9" s="481" customFormat="1" ht="18" customHeight="1" x14ac:dyDescent="0.25">
      <c r="I953" s="483"/>
    </row>
    <row r="954" spans="9:9" s="481" customFormat="1" ht="18" customHeight="1" x14ac:dyDescent="0.25">
      <c r="I954" s="483"/>
    </row>
  </sheetData>
  <sheetProtection algorithmName="SHA-512" hashValue="QJqBFyetDkYZsM2pFkMF8aGb7P86NGQLZkWXi5bKOh6LMIjoho5l4aKxcof+8r8/cE0Xrytf/Hxf5WlOWdPM1Q==" saltValue="m9Bkn0BuYdvZ4JYRD4Oiuw==" spinCount="100000" sheet="1" formatCells="0" formatColumns="0" formatRows="0" insertRows="0" autoFilter="0" pivotTables="0"/>
  <mergeCells count="1526">
    <mergeCell ref="D770:F770"/>
    <mergeCell ref="I770:P770"/>
    <mergeCell ref="D771:F771"/>
    <mergeCell ref="I771:P771"/>
    <mergeCell ref="D772:F772"/>
    <mergeCell ref="I772:P772"/>
    <mergeCell ref="D773:F773"/>
    <mergeCell ref="I773:P773"/>
    <mergeCell ref="D774:F774"/>
    <mergeCell ref="I774:P774"/>
    <mergeCell ref="D775:F775"/>
    <mergeCell ref="I775:P775"/>
    <mergeCell ref="D776:F776"/>
    <mergeCell ref="I776:P776"/>
    <mergeCell ref="D777:F777"/>
    <mergeCell ref="I777:P777"/>
    <mergeCell ref="D761:F761"/>
    <mergeCell ref="I761:P761"/>
    <mergeCell ref="D762:F762"/>
    <mergeCell ref="I762:P762"/>
    <mergeCell ref="D763:F763"/>
    <mergeCell ref="I763:P763"/>
    <mergeCell ref="D764:F764"/>
    <mergeCell ref="I764:P764"/>
    <mergeCell ref="D765:F765"/>
    <mergeCell ref="I765:P765"/>
    <mergeCell ref="D766:F766"/>
    <mergeCell ref="I766:P766"/>
    <mergeCell ref="D767:F767"/>
    <mergeCell ref="I767:P767"/>
    <mergeCell ref="D768:F768"/>
    <mergeCell ref="I768:P768"/>
    <mergeCell ref="D769:F769"/>
    <mergeCell ref="I769:P769"/>
    <mergeCell ref="D752:F752"/>
    <mergeCell ref="I752:P752"/>
    <mergeCell ref="D753:F753"/>
    <mergeCell ref="I753:P753"/>
    <mergeCell ref="D754:F754"/>
    <mergeCell ref="I754:P754"/>
    <mergeCell ref="D755:F755"/>
    <mergeCell ref="I755:P755"/>
    <mergeCell ref="D756:F756"/>
    <mergeCell ref="I756:P756"/>
    <mergeCell ref="D757:F757"/>
    <mergeCell ref="I757:P757"/>
    <mergeCell ref="D758:F758"/>
    <mergeCell ref="I758:P758"/>
    <mergeCell ref="D759:F759"/>
    <mergeCell ref="I759:P759"/>
    <mergeCell ref="D760:F760"/>
    <mergeCell ref="I760:P760"/>
    <mergeCell ref="D743:F743"/>
    <mergeCell ref="I743:P743"/>
    <mergeCell ref="D744:F744"/>
    <mergeCell ref="I744:P744"/>
    <mergeCell ref="D745:F745"/>
    <mergeCell ref="I745:P745"/>
    <mergeCell ref="D746:F746"/>
    <mergeCell ref="I746:P746"/>
    <mergeCell ref="D747:F747"/>
    <mergeCell ref="I747:P747"/>
    <mergeCell ref="D748:F748"/>
    <mergeCell ref="I748:P748"/>
    <mergeCell ref="D749:F749"/>
    <mergeCell ref="I749:P749"/>
    <mergeCell ref="D750:F750"/>
    <mergeCell ref="I750:P750"/>
    <mergeCell ref="D751:F751"/>
    <mergeCell ref="I751:P751"/>
    <mergeCell ref="D734:F734"/>
    <mergeCell ref="I734:P734"/>
    <mergeCell ref="D735:F735"/>
    <mergeCell ref="I735:P735"/>
    <mergeCell ref="D736:F736"/>
    <mergeCell ref="I736:P736"/>
    <mergeCell ref="D737:F737"/>
    <mergeCell ref="I737:P737"/>
    <mergeCell ref="D738:F738"/>
    <mergeCell ref="I738:P738"/>
    <mergeCell ref="D739:F739"/>
    <mergeCell ref="I739:P739"/>
    <mergeCell ref="D740:F740"/>
    <mergeCell ref="I740:P740"/>
    <mergeCell ref="D741:F741"/>
    <mergeCell ref="I741:P741"/>
    <mergeCell ref="D742:F742"/>
    <mergeCell ref="I742:P742"/>
    <mergeCell ref="D725:F725"/>
    <mergeCell ref="I725:P725"/>
    <mergeCell ref="D726:F726"/>
    <mergeCell ref="I726:P726"/>
    <mergeCell ref="D727:F727"/>
    <mergeCell ref="I727:P727"/>
    <mergeCell ref="D728:F728"/>
    <mergeCell ref="I728:P728"/>
    <mergeCell ref="D729:F729"/>
    <mergeCell ref="I729:P729"/>
    <mergeCell ref="D730:F730"/>
    <mergeCell ref="I730:P730"/>
    <mergeCell ref="D731:F731"/>
    <mergeCell ref="I731:P731"/>
    <mergeCell ref="D732:F732"/>
    <mergeCell ref="I732:P732"/>
    <mergeCell ref="D733:F733"/>
    <mergeCell ref="I733:P733"/>
    <mergeCell ref="D716:F716"/>
    <mergeCell ref="I716:P716"/>
    <mergeCell ref="D717:F717"/>
    <mergeCell ref="I717:P717"/>
    <mergeCell ref="D718:F718"/>
    <mergeCell ref="I718:P718"/>
    <mergeCell ref="D719:F719"/>
    <mergeCell ref="I719:P719"/>
    <mergeCell ref="D720:F720"/>
    <mergeCell ref="I720:P720"/>
    <mergeCell ref="D721:F721"/>
    <mergeCell ref="I721:P721"/>
    <mergeCell ref="D722:F722"/>
    <mergeCell ref="I722:P722"/>
    <mergeCell ref="D723:F723"/>
    <mergeCell ref="I723:P723"/>
    <mergeCell ref="D724:F724"/>
    <mergeCell ref="I724:P724"/>
    <mergeCell ref="D707:F707"/>
    <mergeCell ref="I707:P707"/>
    <mergeCell ref="D708:F708"/>
    <mergeCell ref="I708:P708"/>
    <mergeCell ref="D709:F709"/>
    <mergeCell ref="I709:P709"/>
    <mergeCell ref="D710:F710"/>
    <mergeCell ref="I710:P710"/>
    <mergeCell ref="D711:F711"/>
    <mergeCell ref="I711:P711"/>
    <mergeCell ref="D712:F712"/>
    <mergeCell ref="I712:P712"/>
    <mergeCell ref="D713:F713"/>
    <mergeCell ref="I713:P713"/>
    <mergeCell ref="D714:F714"/>
    <mergeCell ref="I714:P714"/>
    <mergeCell ref="D715:F715"/>
    <mergeCell ref="I715:P715"/>
    <mergeCell ref="D698:F698"/>
    <mergeCell ref="I698:P698"/>
    <mergeCell ref="D699:F699"/>
    <mergeCell ref="I699:P699"/>
    <mergeCell ref="D700:F700"/>
    <mergeCell ref="I700:P700"/>
    <mergeCell ref="D701:F701"/>
    <mergeCell ref="I701:P701"/>
    <mergeCell ref="D702:F702"/>
    <mergeCell ref="I702:P702"/>
    <mergeCell ref="D703:F703"/>
    <mergeCell ref="I703:P703"/>
    <mergeCell ref="D704:F704"/>
    <mergeCell ref="I704:P704"/>
    <mergeCell ref="D705:F705"/>
    <mergeCell ref="I705:P705"/>
    <mergeCell ref="D706:F706"/>
    <mergeCell ref="I706:P706"/>
    <mergeCell ref="D689:F689"/>
    <mergeCell ref="I689:P689"/>
    <mergeCell ref="D690:F690"/>
    <mergeCell ref="I690:P690"/>
    <mergeCell ref="D691:F691"/>
    <mergeCell ref="I691:P691"/>
    <mergeCell ref="D692:F692"/>
    <mergeCell ref="I692:P692"/>
    <mergeCell ref="D693:F693"/>
    <mergeCell ref="I693:P693"/>
    <mergeCell ref="D694:F694"/>
    <mergeCell ref="I694:P694"/>
    <mergeCell ref="D695:F695"/>
    <mergeCell ref="I695:P695"/>
    <mergeCell ref="D696:F696"/>
    <mergeCell ref="I696:P696"/>
    <mergeCell ref="D697:F697"/>
    <mergeCell ref="I697:P697"/>
    <mergeCell ref="D680:F680"/>
    <mergeCell ref="I680:P680"/>
    <mergeCell ref="D681:F681"/>
    <mergeCell ref="I681:P681"/>
    <mergeCell ref="D682:F682"/>
    <mergeCell ref="I682:P682"/>
    <mergeCell ref="D683:F683"/>
    <mergeCell ref="I683:P683"/>
    <mergeCell ref="D684:F684"/>
    <mergeCell ref="I684:P684"/>
    <mergeCell ref="D685:F685"/>
    <mergeCell ref="I685:P685"/>
    <mergeCell ref="D686:F686"/>
    <mergeCell ref="I686:P686"/>
    <mergeCell ref="D687:F687"/>
    <mergeCell ref="I687:P687"/>
    <mergeCell ref="D688:F688"/>
    <mergeCell ref="I688:P688"/>
    <mergeCell ref="D671:F671"/>
    <mergeCell ref="I671:P671"/>
    <mergeCell ref="D672:F672"/>
    <mergeCell ref="I672:P672"/>
    <mergeCell ref="D673:F673"/>
    <mergeCell ref="I673:P673"/>
    <mergeCell ref="D674:F674"/>
    <mergeCell ref="I674:P674"/>
    <mergeCell ref="D675:F675"/>
    <mergeCell ref="I675:P675"/>
    <mergeCell ref="D676:F676"/>
    <mergeCell ref="I676:P676"/>
    <mergeCell ref="D677:F677"/>
    <mergeCell ref="I677:P677"/>
    <mergeCell ref="D678:F678"/>
    <mergeCell ref="I678:P678"/>
    <mergeCell ref="D679:F679"/>
    <mergeCell ref="I679:P679"/>
    <mergeCell ref="D662:F662"/>
    <mergeCell ref="I662:P662"/>
    <mergeCell ref="D663:F663"/>
    <mergeCell ref="I663:P663"/>
    <mergeCell ref="D664:F664"/>
    <mergeCell ref="I664:P664"/>
    <mergeCell ref="D665:F665"/>
    <mergeCell ref="I665:P665"/>
    <mergeCell ref="D666:F666"/>
    <mergeCell ref="I666:P666"/>
    <mergeCell ref="D667:F667"/>
    <mergeCell ref="I667:P667"/>
    <mergeCell ref="D668:F668"/>
    <mergeCell ref="I668:P668"/>
    <mergeCell ref="D669:F669"/>
    <mergeCell ref="I669:P669"/>
    <mergeCell ref="D670:F670"/>
    <mergeCell ref="I670:P670"/>
    <mergeCell ref="D653:F653"/>
    <mergeCell ref="I653:P653"/>
    <mergeCell ref="D654:F654"/>
    <mergeCell ref="I654:P654"/>
    <mergeCell ref="D655:F655"/>
    <mergeCell ref="I655:P655"/>
    <mergeCell ref="D656:F656"/>
    <mergeCell ref="I656:P656"/>
    <mergeCell ref="D657:F657"/>
    <mergeCell ref="I657:P657"/>
    <mergeCell ref="D658:F658"/>
    <mergeCell ref="I658:P658"/>
    <mergeCell ref="D659:F659"/>
    <mergeCell ref="I659:P659"/>
    <mergeCell ref="D660:F660"/>
    <mergeCell ref="I660:P660"/>
    <mergeCell ref="D661:F661"/>
    <mergeCell ref="I661:P661"/>
    <mergeCell ref="D644:F644"/>
    <mergeCell ref="I644:P644"/>
    <mergeCell ref="D645:F645"/>
    <mergeCell ref="I645:P645"/>
    <mergeCell ref="D646:F646"/>
    <mergeCell ref="I646:P646"/>
    <mergeCell ref="D647:F647"/>
    <mergeCell ref="I647:P647"/>
    <mergeCell ref="D648:F648"/>
    <mergeCell ref="I648:P648"/>
    <mergeCell ref="D649:F649"/>
    <mergeCell ref="I649:P649"/>
    <mergeCell ref="D650:F650"/>
    <mergeCell ref="I650:P650"/>
    <mergeCell ref="D651:F651"/>
    <mergeCell ref="I651:P651"/>
    <mergeCell ref="D652:F652"/>
    <mergeCell ref="I652:P652"/>
    <mergeCell ref="D635:F635"/>
    <mergeCell ref="I635:P635"/>
    <mergeCell ref="D636:F636"/>
    <mergeCell ref="I636:P636"/>
    <mergeCell ref="D637:F637"/>
    <mergeCell ref="I637:P637"/>
    <mergeCell ref="D638:F638"/>
    <mergeCell ref="I638:P638"/>
    <mergeCell ref="D639:F639"/>
    <mergeCell ref="I639:P639"/>
    <mergeCell ref="D640:F640"/>
    <mergeCell ref="I640:P640"/>
    <mergeCell ref="D641:F641"/>
    <mergeCell ref="I641:P641"/>
    <mergeCell ref="D642:F642"/>
    <mergeCell ref="I642:P642"/>
    <mergeCell ref="D643:F643"/>
    <mergeCell ref="I643:P643"/>
    <mergeCell ref="D626:F626"/>
    <mergeCell ref="I626:P626"/>
    <mergeCell ref="D627:F627"/>
    <mergeCell ref="I627:P627"/>
    <mergeCell ref="D628:F628"/>
    <mergeCell ref="I628:P628"/>
    <mergeCell ref="D629:F629"/>
    <mergeCell ref="I629:P629"/>
    <mergeCell ref="D630:F630"/>
    <mergeCell ref="I630:P630"/>
    <mergeCell ref="D631:F631"/>
    <mergeCell ref="I631:P631"/>
    <mergeCell ref="D632:F632"/>
    <mergeCell ref="I632:P632"/>
    <mergeCell ref="D633:F633"/>
    <mergeCell ref="I633:P633"/>
    <mergeCell ref="D634:F634"/>
    <mergeCell ref="I634:P634"/>
    <mergeCell ref="D617:F617"/>
    <mergeCell ref="I617:P617"/>
    <mergeCell ref="D618:F618"/>
    <mergeCell ref="I618:P618"/>
    <mergeCell ref="D619:F619"/>
    <mergeCell ref="I619:P619"/>
    <mergeCell ref="D620:F620"/>
    <mergeCell ref="I620:P620"/>
    <mergeCell ref="D621:F621"/>
    <mergeCell ref="I621:P621"/>
    <mergeCell ref="D622:F622"/>
    <mergeCell ref="I622:P622"/>
    <mergeCell ref="D623:F623"/>
    <mergeCell ref="I623:P623"/>
    <mergeCell ref="D624:F624"/>
    <mergeCell ref="I624:P624"/>
    <mergeCell ref="D625:F625"/>
    <mergeCell ref="I625:P625"/>
    <mergeCell ref="D608:F608"/>
    <mergeCell ref="I608:P608"/>
    <mergeCell ref="D609:F609"/>
    <mergeCell ref="I609:P609"/>
    <mergeCell ref="D610:F610"/>
    <mergeCell ref="I610:P610"/>
    <mergeCell ref="D611:F611"/>
    <mergeCell ref="I611:P611"/>
    <mergeCell ref="D612:F612"/>
    <mergeCell ref="I612:P612"/>
    <mergeCell ref="D613:F613"/>
    <mergeCell ref="I613:P613"/>
    <mergeCell ref="D614:F614"/>
    <mergeCell ref="I614:P614"/>
    <mergeCell ref="D615:F615"/>
    <mergeCell ref="I615:P615"/>
    <mergeCell ref="D616:F616"/>
    <mergeCell ref="I616:P616"/>
    <mergeCell ref="D599:F599"/>
    <mergeCell ref="I599:P599"/>
    <mergeCell ref="D600:F600"/>
    <mergeCell ref="I600:P600"/>
    <mergeCell ref="D601:F601"/>
    <mergeCell ref="I601:P601"/>
    <mergeCell ref="D602:F602"/>
    <mergeCell ref="I602:P602"/>
    <mergeCell ref="D603:F603"/>
    <mergeCell ref="I603:P603"/>
    <mergeCell ref="D604:F604"/>
    <mergeCell ref="I604:P604"/>
    <mergeCell ref="D605:F605"/>
    <mergeCell ref="I605:P605"/>
    <mergeCell ref="D606:F606"/>
    <mergeCell ref="I606:P606"/>
    <mergeCell ref="D607:F607"/>
    <mergeCell ref="I607:P607"/>
    <mergeCell ref="D590:F590"/>
    <mergeCell ref="I590:P590"/>
    <mergeCell ref="D591:F591"/>
    <mergeCell ref="I591:P591"/>
    <mergeCell ref="D592:F592"/>
    <mergeCell ref="I592:P592"/>
    <mergeCell ref="D593:F593"/>
    <mergeCell ref="I593:P593"/>
    <mergeCell ref="D594:F594"/>
    <mergeCell ref="I594:P594"/>
    <mergeCell ref="D595:F595"/>
    <mergeCell ref="I595:P595"/>
    <mergeCell ref="D596:F596"/>
    <mergeCell ref="I596:P596"/>
    <mergeCell ref="D597:F597"/>
    <mergeCell ref="I597:P597"/>
    <mergeCell ref="D598:F598"/>
    <mergeCell ref="I598:P598"/>
    <mergeCell ref="D581:F581"/>
    <mergeCell ref="I581:P581"/>
    <mergeCell ref="D582:F582"/>
    <mergeCell ref="I582:P582"/>
    <mergeCell ref="D583:F583"/>
    <mergeCell ref="I583:P583"/>
    <mergeCell ref="D584:F584"/>
    <mergeCell ref="I584:P584"/>
    <mergeCell ref="D585:F585"/>
    <mergeCell ref="I585:P585"/>
    <mergeCell ref="D586:F586"/>
    <mergeCell ref="I586:P586"/>
    <mergeCell ref="D587:F587"/>
    <mergeCell ref="I587:P587"/>
    <mergeCell ref="D588:F588"/>
    <mergeCell ref="I588:P588"/>
    <mergeCell ref="D589:F589"/>
    <mergeCell ref="I589:P589"/>
    <mergeCell ref="D572:F572"/>
    <mergeCell ref="I572:P572"/>
    <mergeCell ref="D573:F573"/>
    <mergeCell ref="I573:P573"/>
    <mergeCell ref="D574:F574"/>
    <mergeCell ref="I574:P574"/>
    <mergeCell ref="D575:F575"/>
    <mergeCell ref="I575:P575"/>
    <mergeCell ref="D576:F576"/>
    <mergeCell ref="I576:P576"/>
    <mergeCell ref="D577:F577"/>
    <mergeCell ref="I577:P577"/>
    <mergeCell ref="D578:F578"/>
    <mergeCell ref="I578:P578"/>
    <mergeCell ref="D579:F579"/>
    <mergeCell ref="I579:P579"/>
    <mergeCell ref="D580:F580"/>
    <mergeCell ref="I580:P580"/>
    <mergeCell ref="D563:F563"/>
    <mergeCell ref="I563:P563"/>
    <mergeCell ref="D564:F564"/>
    <mergeCell ref="I564:P564"/>
    <mergeCell ref="D565:F565"/>
    <mergeCell ref="I565:P565"/>
    <mergeCell ref="D566:F566"/>
    <mergeCell ref="I566:P566"/>
    <mergeCell ref="D567:F567"/>
    <mergeCell ref="I567:P567"/>
    <mergeCell ref="D568:F568"/>
    <mergeCell ref="I568:P568"/>
    <mergeCell ref="D569:F569"/>
    <mergeCell ref="I569:P569"/>
    <mergeCell ref="D570:F570"/>
    <mergeCell ref="I570:P570"/>
    <mergeCell ref="D571:F571"/>
    <mergeCell ref="I571:P571"/>
    <mergeCell ref="D554:F554"/>
    <mergeCell ref="I554:P554"/>
    <mergeCell ref="D555:F555"/>
    <mergeCell ref="I555:P555"/>
    <mergeCell ref="D556:F556"/>
    <mergeCell ref="I556:P556"/>
    <mergeCell ref="D557:F557"/>
    <mergeCell ref="I557:P557"/>
    <mergeCell ref="D558:F558"/>
    <mergeCell ref="I558:P558"/>
    <mergeCell ref="D559:F559"/>
    <mergeCell ref="I559:P559"/>
    <mergeCell ref="D560:F560"/>
    <mergeCell ref="I560:P560"/>
    <mergeCell ref="D561:F561"/>
    <mergeCell ref="I561:P561"/>
    <mergeCell ref="D562:F562"/>
    <mergeCell ref="I562:P562"/>
    <mergeCell ref="D545:F545"/>
    <mergeCell ref="I545:P545"/>
    <mergeCell ref="D546:F546"/>
    <mergeCell ref="I546:P546"/>
    <mergeCell ref="D547:F547"/>
    <mergeCell ref="I547:P547"/>
    <mergeCell ref="D548:F548"/>
    <mergeCell ref="I548:P548"/>
    <mergeCell ref="D549:F549"/>
    <mergeCell ref="I549:P549"/>
    <mergeCell ref="D550:F550"/>
    <mergeCell ref="I550:P550"/>
    <mergeCell ref="D551:F551"/>
    <mergeCell ref="I551:P551"/>
    <mergeCell ref="D552:F552"/>
    <mergeCell ref="I552:P552"/>
    <mergeCell ref="D553:F553"/>
    <mergeCell ref="I553:P553"/>
    <mergeCell ref="D536:F536"/>
    <mergeCell ref="I536:P536"/>
    <mergeCell ref="D537:F537"/>
    <mergeCell ref="I537:P537"/>
    <mergeCell ref="D538:F538"/>
    <mergeCell ref="I538:P538"/>
    <mergeCell ref="D539:F539"/>
    <mergeCell ref="I539:P539"/>
    <mergeCell ref="D540:F540"/>
    <mergeCell ref="I540:P540"/>
    <mergeCell ref="D541:F541"/>
    <mergeCell ref="I541:P541"/>
    <mergeCell ref="D542:F542"/>
    <mergeCell ref="I542:P542"/>
    <mergeCell ref="D543:F543"/>
    <mergeCell ref="I543:P543"/>
    <mergeCell ref="D544:F544"/>
    <mergeCell ref="I544:P544"/>
    <mergeCell ref="D527:F527"/>
    <mergeCell ref="I527:P527"/>
    <mergeCell ref="D528:F528"/>
    <mergeCell ref="I528:P528"/>
    <mergeCell ref="D529:F529"/>
    <mergeCell ref="I529:P529"/>
    <mergeCell ref="D530:F530"/>
    <mergeCell ref="I530:P530"/>
    <mergeCell ref="D531:F531"/>
    <mergeCell ref="I531:P531"/>
    <mergeCell ref="D532:F532"/>
    <mergeCell ref="I532:P532"/>
    <mergeCell ref="D533:F533"/>
    <mergeCell ref="I533:P533"/>
    <mergeCell ref="D534:F534"/>
    <mergeCell ref="I534:P534"/>
    <mergeCell ref="D535:F535"/>
    <mergeCell ref="I535:P535"/>
    <mergeCell ref="D515:F515"/>
    <mergeCell ref="I515:J515"/>
    <mergeCell ref="D516:F516"/>
    <mergeCell ref="I516:J516"/>
    <mergeCell ref="D517:F517"/>
    <mergeCell ref="I517:J517"/>
    <mergeCell ref="D518:F518"/>
    <mergeCell ref="I518:J518"/>
    <mergeCell ref="D519:F519"/>
    <mergeCell ref="I519:J519"/>
    <mergeCell ref="D520:F520"/>
    <mergeCell ref="I520:J520"/>
    <mergeCell ref="C521:L521"/>
    <mergeCell ref="N521:P521"/>
    <mergeCell ref="C523:P523"/>
    <mergeCell ref="C525:P525"/>
    <mergeCell ref="C526:D526"/>
    <mergeCell ref="E526:P526"/>
    <mergeCell ref="D506:F506"/>
    <mergeCell ref="I506:J506"/>
    <mergeCell ref="D507:F507"/>
    <mergeCell ref="I507:J507"/>
    <mergeCell ref="D508:F508"/>
    <mergeCell ref="I508:J508"/>
    <mergeCell ref="D509:F509"/>
    <mergeCell ref="I509:J509"/>
    <mergeCell ref="D510:F510"/>
    <mergeCell ref="I510:J510"/>
    <mergeCell ref="D511:F511"/>
    <mergeCell ref="I511:J511"/>
    <mergeCell ref="D512:F512"/>
    <mergeCell ref="I512:J512"/>
    <mergeCell ref="D513:F513"/>
    <mergeCell ref="I513:J513"/>
    <mergeCell ref="D514:F514"/>
    <mergeCell ref="I514:J514"/>
    <mergeCell ref="D497:F497"/>
    <mergeCell ref="I497:J497"/>
    <mergeCell ref="D498:F498"/>
    <mergeCell ref="I498:J498"/>
    <mergeCell ref="D499:F499"/>
    <mergeCell ref="I499:J499"/>
    <mergeCell ref="D500:F500"/>
    <mergeCell ref="I500:J500"/>
    <mergeCell ref="D501:F501"/>
    <mergeCell ref="I501:J501"/>
    <mergeCell ref="D502:F502"/>
    <mergeCell ref="I502:J502"/>
    <mergeCell ref="D503:F503"/>
    <mergeCell ref="I503:J503"/>
    <mergeCell ref="D504:F504"/>
    <mergeCell ref="I504:J504"/>
    <mergeCell ref="D505:F505"/>
    <mergeCell ref="I505:J505"/>
    <mergeCell ref="D488:F488"/>
    <mergeCell ref="I488:J488"/>
    <mergeCell ref="D489:F489"/>
    <mergeCell ref="I489:J489"/>
    <mergeCell ref="D490:F490"/>
    <mergeCell ref="I490:J490"/>
    <mergeCell ref="D491:F491"/>
    <mergeCell ref="I491:J491"/>
    <mergeCell ref="D492:F492"/>
    <mergeCell ref="I492:J492"/>
    <mergeCell ref="D493:F493"/>
    <mergeCell ref="I493:J493"/>
    <mergeCell ref="D494:F494"/>
    <mergeCell ref="I494:J494"/>
    <mergeCell ref="D495:F495"/>
    <mergeCell ref="I495:J495"/>
    <mergeCell ref="D496:F496"/>
    <mergeCell ref="I496:J496"/>
    <mergeCell ref="D479:F479"/>
    <mergeCell ref="I479:J479"/>
    <mergeCell ref="D480:F480"/>
    <mergeCell ref="I480:J480"/>
    <mergeCell ref="D481:F481"/>
    <mergeCell ref="I481:J481"/>
    <mergeCell ref="D482:F482"/>
    <mergeCell ref="I482:J482"/>
    <mergeCell ref="D483:F483"/>
    <mergeCell ref="I483:J483"/>
    <mergeCell ref="D484:F484"/>
    <mergeCell ref="I484:J484"/>
    <mergeCell ref="D485:F485"/>
    <mergeCell ref="I485:J485"/>
    <mergeCell ref="D486:F486"/>
    <mergeCell ref="I486:J486"/>
    <mergeCell ref="D487:F487"/>
    <mergeCell ref="I487:J487"/>
    <mergeCell ref="D470:F470"/>
    <mergeCell ref="I470:J470"/>
    <mergeCell ref="D471:F471"/>
    <mergeCell ref="I471:J471"/>
    <mergeCell ref="D472:F472"/>
    <mergeCell ref="I472:J472"/>
    <mergeCell ref="D473:F473"/>
    <mergeCell ref="I473:J473"/>
    <mergeCell ref="D474:F474"/>
    <mergeCell ref="I474:J474"/>
    <mergeCell ref="D475:F475"/>
    <mergeCell ref="I475:J475"/>
    <mergeCell ref="D476:F476"/>
    <mergeCell ref="I476:J476"/>
    <mergeCell ref="D477:F477"/>
    <mergeCell ref="I477:J477"/>
    <mergeCell ref="D478:F478"/>
    <mergeCell ref="I478:J478"/>
    <mergeCell ref="D461:F461"/>
    <mergeCell ref="I461:J461"/>
    <mergeCell ref="D462:F462"/>
    <mergeCell ref="I462:J462"/>
    <mergeCell ref="D463:F463"/>
    <mergeCell ref="I463:J463"/>
    <mergeCell ref="D464:F464"/>
    <mergeCell ref="I464:J464"/>
    <mergeCell ref="D465:F465"/>
    <mergeCell ref="I465:J465"/>
    <mergeCell ref="D466:F466"/>
    <mergeCell ref="I466:J466"/>
    <mergeCell ref="D467:F467"/>
    <mergeCell ref="I467:J467"/>
    <mergeCell ref="D468:F468"/>
    <mergeCell ref="I468:J468"/>
    <mergeCell ref="D469:F469"/>
    <mergeCell ref="I469:J469"/>
    <mergeCell ref="D452:F452"/>
    <mergeCell ref="I452:J452"/>
    <mergeCell ref="D453:F453"/>
    <mergeCell ref="I453:J453"/>
    <mergeCell ref="D454:F454"/>
    <mergeCell ref="I454:J454"/>
    <mergeCell ref="D455:F455"/>
    <mergeCell ref="I455:J455"/>
    <mergeCell ref="D456:F456"/>
    <mergeCell ref="I456:J456"/>
    <mergeCell ref="D457:F457"/>
    <mergeCell ref="I457:J457"/>
    <mergeCell ref="D458:F458"/>
    <mergeCell ref="I458:J458"/>
    <mergeCell ref="D459:F459"/>
    <mergeCell ref="I459:J459"/>
    <mergeCell ref="D460:F460"/>
    <mergeCell ref="I460:J460"/>
    <mergeCell ref="D443:F443"/>
    <mergeCell ref="I443:J443"/>
    <mergeCell ref="D444:F444"/>
    <mergeCell ref="I444:J444"/>
    <mergeCell ref="D445:F445"/>
    <mergeCell ref="I445:J445"/>
    <mergeCell ref="D446:F446"/>
    <mergeCell ref="I446:J446"/>
    <mergeCell ref="D447:F447"/>
    <mergeCell ref="I447:J447"/>
    <mergeCell ref="D448:F448"/>
    <mergeCell ref="I448:J448"/>
    <mergeCell ref="D449:F449"/>
    <mergeCell ref="I449:J449"/>
    <mergeCell ref="D450:F450"/>
    <mergeCell ref="I450:J450"/>
    <mergeCell ref="D451:F451"/>
    <mergeCell ref="I451:J451"/>
    <mergeCell ref="D434:F434"/>
    <mergeCell ref="I434:J434"/>
    <mergeCell ref="D435:F435"/>
    <mergeCell ref="I435:J435"/>
    <mergeCell ref="D436:F436"/>
    <mergeCell ref="I436:J436"/>
    <mergeCell ref="D437:F437"/>
    <mergeCell ref="I437:J437"/>
    <mergeCell ref="D438:F438"/>
    <mergeCell ref="I438:J438"/>
    <mergeCell ref="D439:F439"/>
    <mergeCell ref="I439:J439"/>
    <mergeCell ref="D440:F440"/>
    <mergeCell ref="I440:J440"/>
    <mergeCell ref="D441:F441"/>
    <mergeCell ref="I441:J441"/>
    <mergeCell ref="D442:F442"/>
    <mergeCell ref="I442:J442"/>
    <mergeCell ref="D425:F425"/>
    <mergeCell ref="I425:J425"/>
    <mergeCell ref="D426:F426"/>
    <mergeCell ref="I426:J426"/>
    <mergeCell ref="D427:F427"/>
    <mergeCell ref="I427:J427"/>
    <mergeCell ref="D428:F428"/>
    <mergeCell ref="I428:J428"/>
    <mergeCell ref="D429:F429"/>
    <mergeCell ref="I429:J429"/>
    <mergeCell ref="D430:F430"/>
    <mergeCell ref="I430:J430"/>
    <mergeCell ref="D431:F431"/>
    <mergeCell ref="I431:J431"/>
    <mergeCell ref="D432:F432"/>
    <mergeCell ref="I432:J432"/>
    <mergeCell ref="D433:F433"/>
    <mergeCell ref="I433:J433"/>
    <mergeCell ref="D416:F416"/>
    <mergeCell ref="I416:J416"/>
    <mergeCell ref="D417:F417"/>
    <mergeCell ref="I417:J417"/>
    <mergeCell ref="D418:F418"/>
    <mergeCell ref="I418:J418"/>
    <mergeCell ref="D419:F419"/>
    <mergeCell ref="I419:J419"/>
    <mergeCell ref="D420:F420"/>
    <mergeCell ref="I420:J420"/>
    <mergeCell ref="D421:F421"/>
    <mergeCell ref="I421:J421"/>
    <mergeCell ref="D422:F422"/>
    <mergeCell ref="I422:J422"/>
    <mergeCell ref="D423:F423"/>
    <mergeCell ref="I423:J423"/>
    <mergeCell ref="D424:F424"/>
    <mergeCell ref="I424:J424"/>
    <mergeCell ref="D407:F407"/>
    <mergeCell ref="I407:J407"/>
    <mergeCell ref="D408:F408"/>
    <mergeCell ref="I408:J408"/>
    <mergeCell ref="D409:F409"/>
    <mergeCell ref="I409:J409"/>
    <mergeCell ref="D410:F410"/>
    <mergeCell ref="I410:J410"/>
    <mergeCell ref="D411:F411"/>
    <mergeCell ref="I411:J411"/>
    <mergeCell ref="D412:F412"/>
    <mergeCell ref="I412:J412"/>
    <mergeCell ref="D413:F413"/>
    <mergeCell ref="I413:J413"/>
    <mergeCell ref="D414:F414"/>
    <mergeCell ref="I414:J414"/>
    <mergeCell ref="D415:F415"/>
    <mergeCell ref="I415:J415"/>
    <mergeCell ref="D398:F398"/>
    <mergeCell ref="I398:J398"/>
    <mergeCell ref="D399:F399"/>
    <mergeCell ref="I399:J399"/>
    <mergeCell ref="D400:F400"/>
    <mergeCell ref="I400:J400"/>
    <mergeCell ref="D401:F401"/>
    <mergeCell ref="I401:J401"/>
    <mergeCell ref="D402:F402"/>
    <mergeCell ref="I402:J402"/>
    <mergeCell ref="D403:F403"/>
    <mergeCell ref="I403:J403"/>
    <mergeCell ref="D404:F404"/>
    <mergeCell ref="I404:J404"/>
    <mergeCell ref="D405:F405"/>
    <mergeCell ref="I405:J405"/>
    <mergeCell ref="D406:F406"/>
    <mergeCell ref="I406:J406"/>
    <mergeCell ref="D389:F389"/>
    <mergeCell ref="I389:J389"/>
    <mergeCell ref="D390:F390"/>
    <mergeCell ref="I390:J390"/>
    <mergeCell ref="D391:F391"/>
    <mergeCell ref="I391:J391"/>
    <mergeCell ref="D392:F392"/>
    <mergeCell ref="I392:J392"/>
    <mergeCell ref="D393:F393"/>
    <mergeCell ref="I393:J393"/>
    <mergeCell ref="D394:F394"/>
    <mergeCell ref="I394:J394"/>
    <mergeCell ref="D395:F395"/>
    <mergeCell ref="I395:J395"/>
    <mergeCell ref="D396:F396"/>
    <mergeCell ref="I396:J396"/>
    <mergeCell ref="D397:F397"/>
    <mergeCell ref="I397:J397"/>
    <mergeCell ref="D380:F380"/>
    <mergeCell ref="I380:J380"/>
    <mergeCell ref="D381:F381"/>
    <mergeCell ref="I381:J381"/>
    <mergeCell ref="D382:F382"/>
    <mergeCell ref="I382:J382"/>
    <mergeCell ref="D383:F383"/>
    <mergeCell ref="I383:J383"/>
    <mergeCell ref="D384:F384"/>
    <mergeCell ref="I384:J384"/>
    <mergeCell ref="D385:F385"/>
    <mergeCell ref="I385:J385"/>
    <mergeCell ref="D386:F386"/>
    <mergeCell ref="I386:J386"/>
    <mergeCell ref="D387:F387"/>
    <mergeCell ref="I387:J387"/>
    <mergeCell ref="D388:F388"/>
    <mergeCell ref="I388:J388"/>
    <mergeCell ref="D371:F371"/>
    <mergeCell ref="I371:J371"/>
    <mergeCell ref="D372:F372"/>
    <mergeCell ref="I372:J372"/>
    <mergeCell ref="D373:F373"/>
    <mergeCell ref="I373:J373"/>
    <mergeCell ref="D374:F374"/>
    <mergeCell ref="I374:J374"/>
    <mergeCell ref="D375:F375"/>
    <mergeCell ref="I375:J375"/>
    <mergeCell ref="D376:F376"/>
    <mergeCell ref="I376:J376"/>
    <mergeCell ref="D377:F377"/>
    <mergeCell ref="I377:J377"/>
    <mergeCell ref="D378:F378"/>
    <mergeCell ref="I378:J378"/>
    <mergeCell ref="D379:F379"/>
    <mergeCell ref="I379:J379"/>
    <mergeCell ref="D362:F362"/>
    <mergeCell ref="I362:J362"/>
    <mergeCell ref="D363:F363"/>
    <mergeCell ref="I363:J363"/>
    <mergeCell ref="D364:F364"/>
    <mergeCell ref="I364:J364"/>
    <mergeCell ref="D365:F365"/>
    <mergeCell ref="I365:J365"/>
    <mergeCell ref="D366:F366"/>
    <mergeCell ref="I366:J366"/>
    <mergeCell ref="D367:F367"/>
    <mergeCell ref="I367:J367"/>
    <mergeCell ref="D368:F368"/>
    <mergeCell ref="I368:J368"/>
    <mergeCell ref="D369:F369"/>
    <mergeCell ref="I369:J369"/>
    <mergeCell ref="D370:F370"/>
    <mergeCell ref="I370:J370"/>
    <mergeCell ref="D353:F353"/>
    <mergeCell ref="I353:J353"/>
    <mergeCell ref="D354:F354"/>
    <mergeCell ref="I354:J354"/>
    <mergeCell ref="D355:F355"/>
    <mergeCell ref="I355:J355"/>
    <mergeCell ref="D356:F356"/>
    <mergeCell ref="I356:J356"/>
    <mergeCell ref="D357:F357"/>
    <mergeCell ref="I357:J357"/>
    <mergeCell ref="D358:F358"/>
    <mergeCell ref="I358:J358"/>
    <mergeCell ref="D359:F359"/>
    <mergeCell ref="I359:J359"/>
    <mergeCell ref="D360:F360"/>
    <mergeCell ref="I360:J360"/>
    <mergeCell ref="D361:F361"/>
    <mergeCell ref="I361:J361"/>
    <mergeCell ref="D344:F344"/>
    <mergeCell ref="I344:J344"/>
    <mergeCell ref="D345:F345"/>
    <mergeCell ref="I345:J345"/>
    <mergeCell ref="D346:F346"/>
    <mergeCell ref="I346:J346"/>
    <mergeCell ref="D347:F347"/>
    <mergeCell ref="I347:J347"/>
    <mergeCell ref="D348:F348"/>
    <mergeCell ref="I348:J348"/>
    <mergeCell ref="D349:F349"/>
    <mergeCell ref="I349:J349"/>
    <mergeCell ref="D350:F350"/>
    <mergeCell ref="I350:J350"/>
    <mergeCell ref="D351:F351"/>
    <mergeCell ref="I351:J351"/>
    <mergeCell ref="D352:F352"/>
    <mergeCell ref="I352:J352"/>
    <mergeCell ref="D335:F335"/>
    <mergeCell ref="I335:J335"/>
    <mergeCell ref="D336:F336"/>
    <mergeCell ref="I336:J336"/>
    <mergeCell ref="D337:F337"/>
    <mergeCell ref="I337:J337"/>
    <mergeCell ref="D338:F338"/>
    <mergeCell ref="I338:J338"/>
    <mergeCell ref="D339:F339"/>
    <mergeCell ref="I339:J339"/>
    <mergeCell ref="D340:F340"/>
    <mergeCell ref="I340:J340"/>
    <mergeCell ref="D341:F341"/>
    <mergeCell ref="I341:J341"/>
    <mergeCell ref="D342:F342"/>
    <mergeCell ref="I342:J342"/>
    <mergeCell ref="D343:F343"/>
    <mergeCell ref="I343:J343"/>
    <mergeCell ref="D326:F326"/>
    <mergeCell ref="I326:J326"/>
    <mergeCell ref="D327:F327"/>
    <mergeCell ref="I327:J327"/>
    <mergeCell ref="D328:F328"/>
    <mergeCell ref="I328:J328"/>
    <mergeCell ref="D329:F329"/>
    <mergeCell ref="I329:J329"/>
    <mergeCell ref="D330:F330"/>
    <mergeCell ref="I330:J330"/>
    <mergeCell ref="D331:F331"/>
    <mergeCell ref="I331:J331"/>
    <mergeCell ref="D332:F332"/>
    <mergeCell ref="I332:J332"/>
    <mergeCell ref="D333:F333"/>
    <mergeCell ref="I333:J333"/>
    <mergeCell ref="D334:F334"/>
    <mergeCell ref="I334:J334"/>
    <mergeCell ref="D317:F317"/>
    <mergeCell ref="I317:J317"/>
    <mergeCell ref="D318:F318"/>
    <mergeCell ref="I318:J318"/>
    <mergeCell ref="D319:F319"/>
    <mergeCell ref="I319:J319"/>
    <mergeCell ref="D320:F320"/>
    <mergeCell ref="I320:J320"/>
    <mergeCell ref="D321:F321"/>
    <mergeCell ref="I321:J321"/>
    <mergeCell ref="D322:F322"/>
    <mergeCell ref="I322:J322"/>
    <mergeCell ref="D323:F323"/>
    <mergeCell ref="I323:J323"/>
    <mergeCell ref="D324:F324"/>
    <mergeCell ref="I324:J324"/>
    <mergeCell ref="D325:F325"/>
    <mergeCell ref="I325:J325"/>
    <mergeCell ref="D308:F308"/>
    <mergeCell ref="I308:J308"/>
    <mergeCell ref="D309:F309"/>
    <mergeCell ref="I309:J309"/>
    <mergeCell ref="D310:F310"/>
    <mergeCell ref="I310:J310"/>
    <mergeCell ref="D311:F311"/>
    <mergeCell ref="I311:J311"/>
    <mergeCell ref="D312:F312"/>
    <mergeCell ref="I312:J312"/>
    <mergeCell ref="D313:F313"/>
    <mergeCell ref="I313:J313"/>
    <mergeCell ref="D314:F314"/>
    <mergeCell ref="I314:J314"/>
    <mergeCell ref="D315:F315"/>
    <mergeCell ref="I315:J315"/>
    <mergeCell ref="D316:F316"/>
    <mergeCell ref="I316:J316"/>
    <mergeCell ref="D299:F299"/>
    <mergeCell ref="I299:J299"/>
    <mergeCell ref="D300:F300"/>
    <mergeCell ref="I300:J300"/>
    <mergeCell ref="D301:F301"/>
    <mergeCell ref="I301:J301"/>
    <mergeCell ref="D302:F302"/>
    <mergeCell ref="I302:J302"/>
    <mergeCell ref="D303:F303"/>
    <mergeCell ref="I303:J303"/>
    <mergeCell ref="D304:F304"/>
    <mergeCell ref="I304:J304"/>
    <mergeCell ref="D305:F305"/>
    <mergeCell ref="I305:J305"/>
    <mergeCell ref="D306:F306"/>
    <mergeCell ref="I306:J306"/>
    <mergeCell ref="D307:F307"/>
    <mergeCell ref="I307:J307"/>
    <mergeCell ref="D290:F290"/>
    <mergeCell ref="I290:J290"/>
    <mergeCell ref="D291:F291"/>
    <mergeCell ref="I291:J291"/>
    <mergeCell ref="D292:F292"/>
    <mergeCell ref="I292:J292"/>
    <mergeCell ref="D293:F293"/>
    <mergeCell ref="I293:J293"/>
    <mergeCell ref="D294:F294"/>
    <mergeCell ref="I294:J294"/>
    <mergeCell ref="D295:F295"/>
    <mergeCell ref="I295:J295"/>
    <mergeCell ref="D296:F296"/>
    <mergeCell ref="I296:J296"/>
    <mergeCell ref="D297:F297"/>
    <mergeCell ref="I297:J297"/>
    <mergeCell ref="D298:F298"/>
    <mergeCell ref="I298:J298"/>
    <mergeCell ref="D281:F281"/>
    <mergeCell ref="I281:J281"/>
    <mergeCell ref="D282:F282"/>
    <mergeCell ref="I282:J282"/>
    <mergeCell ref="D283:F283"/>
    <mergeCell ref="I283:J283"/>
    <mergeCell ref="D284:F284"/>
    <mergeCell ref="I284:J284"/>
    <mergeCell ref="D285:F285"/>
    <mergeCell ref="I285:J285"/>
    <mergeCell ref="D286:F286"/>
    <mergeCell ref="I286:J286"/>
    <mergeCell ref="D287:F287"/>
    <mergeCell ref="I287:J287"/>
    <mergeCell ref="D288:F288"/>
    <mergeCell ref="I288:J288"/>
    <mergeCell ref="D289:F289"/>
    <mergeCell ref="I289:J289"/>
    <mergeCell ref="D272:F272"/>
    <mergeCell ref="I272:J272"/>
    <mergeCell ref="D273:F273"/>
    <mergeCell ref="I273:J273"/>
    <mergeCell ref="D274:F274"/>
    <mergeCell ref="I274:J274"/>
    <mergeCell ref="D275:F275"/>
    <mergeCell ref="I275:J275"/>
    <mergeCell ref="D276:F276"/>
    <mergeCell ref="I276:J276"/>
    <mergeCell ref="D277:F277"/>
    <mergeCell ref="I277:J277"/>
    <mergeCell ref="D278:F278"/>
    <mergeCell ref="I278:J278"/>
    <mergeCell ref="D279:F279"/>
    <mergeCell ref="I279:J279"/>
    <mergeCell ref="D280:F280"/>
    <mergeCell ref="I280:J280"/>
    <mergeCell ref="D260:F260"/>
    <mergeCell ref="I260:J260"/>
    <mergeCell ref="D261:F261"/>
    <mergeCell ref="I261:J261"/>
    <mergeCell ref="D262:F262"/>
    <mergeCell ref="I262:J262"/>
    <mergeCell ref="D263:F263"/>
    <mergeCell ref="I263:J263"/>
    <mergeCell ref="D264:F264"/>
    <mergeCell ref="I264:J264"/>
    <mergeCell ref="C265:J265"/>
    <mergeCell ref="C267:P267"/>
    <mergeCell ref="C269:P269"/>
    <mergeCell ref="D270:F270"/>
    <mergeCell ref="I270:J270"/>
    <mergeCell ref="D271:F271"/>
    <mergeCell ref="I271:J271"/>
    <mergeCell ref="D251:F251"/>
    <mergeCell ref="I251:J251"/>
    <mergeCell ref="D252:F252"/>
    <mergeCell ref="I252:J252"/>
    <mergeCell ref="D253:F253"/>
    <mergeCell ref="I253:J253"/>
    <mergeCell ref="D254:F254"/>
    <mergeCell ref="I254:J254"/>
    <mergeCell ref="D255:F255"/>
    <mergeCell ref="I255:J255"/>
    <mergeCell ref="D256:F256"/>
    <mergeCell ref="I256:J256"/>
    <mergeCell ref="D257:F257"/>
    <mergeCell ref="I257:J257"/>
    <mergeCell ref="D258:F258"/>
    <mergeCell ref="I258:J258"/>
    <mergeCell ref="D259:F259"/>
    <mergeCell ref="I259:J259"/>
    <mergeCell ref="D242:F242"/>
    <mergeCell ref="I242:J242"/>
    <mergeCell ref="D243:F243"/>
    <mergeCell ref="I243:J243"/>
    <mergeCell ref="D244:F244"/>
    <mergeCell ref="I244:J244"/>
    <mergeCell ref="D245:F245"/>
    <mergeCell ref="I245:J245"/>
    <mergeCell ref="D246:F246"/>
    <mergeCell ref="I246:J246"/>
    <mergeCell ref="D247:F247"/>
    <mergeCell ref="I247:J247"/>
    <mergeCell ref="D248:F248"/>
    <mergeCell ref="I248:J248"/>
    <mergeCell ref="D249:F249"/>
    <mergeCell ref="I249:J249"/>
    <mergeCell ref="D250:F250"/>
    <mergeCell ref="I250:J250"/>
    <mergeCell ref="D233:F233"/>
    <mergeCell ref="I233:J233"/>
    <mergeCell ref="D234:F234"/>
    <mergeCell ref="I234:J234"/>
    <mergeCell ref="D235:F235"/>
    <mergeCell ref="I235:J235"/>
    <mergeCell ref="D236:F236"/>
    <mergeCell ref="I236:J236"/>
    <mergeCell ref="D237:F237"/>
    <mergeCell ref="I237:J237"/>
    <mergeCell ref="D238:F238"/>
    <mergeCell ref="I238:J238"/>
    <mergeCell ref="D239:F239"/>
    <mergeCell ref="I239:J239"/>
    <mergeCell ref="D240:F240"/>
    <mergeCell ref="I240:J240"/>
    <mergeCell ref="D241:F241"/>
    <mergeCell ref="I241:J241"/>
    <mergeCell ref="D224:F224"/>
    <mergeCell ref="I224:J224"/>
    <mergeCell ref="D225:F225"/>
    <mergeCell ref="I225:J225"/>
    <mergeCell ref="D226:F226"/>
    <mergeCell ref="I226:J226"/>
    <mergeCell ref="D227:F227"/>
    <mergeCell ref="I227:J227"/>
    <mergeCell ref="D228:F228"/>
    <mergeCell ref="I228:J228"/>
    <mergeCell ref="D229:F229"/>
    <mergeCell ref="I229:J229"/>
    <mergeCell ref="D230:F230"/>
    <mergeCell ref="I230:J230"/>
    <mergeCell ref="D231:F231"/>
    <mergeCell ref="I231:J231"/>
    <mergeCell ref="D232:F232"/>
    <mergeCell ref="I232:J232"/>
    <mergeCell ref="D215:F215"/>
    <mergeCell ref="I215:J215"/>
    <mergeCell ref="D216:F216"/>
    <mergeCell ref="I216:J216"/>
    <mergeCell ref="D217:F217"/>
    <mergeCell ref="I217:J217"/>
    <mergeCell ref="D218:F218"/>
    <mergeCell ref="I218:J218"/>
    <mergeCell ref="D219:F219"/>
    <mergeCell ref="I219:J219"/>
    <mergeCell ref="D220:F220"/>
    <mergeCell ref="I220:J220"/>
    <mergeCell ref="D221:F221"/>
    <mergeCell ref="I221:J221"/>
    <mergeCell ref="D222:F222"/>
    <mergeCell ref="I222:J222"/>
    <mergeCell ref="D223:F223"/>
    <mergeCell ref="I223:J223"/>
    <mergeCell ref="D206:F206"/>
    <mergeCell ref="I206:J206"/>
    <mergeCell ref="D207:F207"/>
    <mergeCell ref="I207:J207"/>
    <mergeCell ref="D208:F208"/>
    <mergeCell ref="I208:J208"/>
    <mergeCell ref="D209:F209"/>
    <mergeCell ref="I209:J209"/>
    <mergeCell ref="D210:F210"/>
    <mergeCell ref="I210:J210"/>
    <mergeCell ref="D211:F211"/>
    <mergeCell ref="I211:J211"/>
    <mergeCell ref="D212:F212"/>
    <mergeCell ref="I212:J212"/>
    <mergeCell ref="D213:F213"/>
    <mergeCell ref="I213:J213"/>
    <mergeCell ref="D214:F214"/>
    <mergeCell ref="I214:J214"/>
    <mergeCell ref="D197:F197"/>
    <mergeCell ref="I197:J197"/>
    <mergeCell ref="D198:F198"/>
    <mergeCell ref="I198:J198"/>
    <mergeCell ref="D199:F199"/>
    <mergeCell ref="I199:J199"/>
    <mergeCell ref="D200:F200"/>
    <mergeCell ref="I200:J200"/>
    <mergeCell ref="D201:F201"/>
    <mergeCell ref="I201:J201"/>
    <mergeCell ref="D202:F202"/>
    <mergeCell ref="I202:J202"/>
    <mergeCell ref="D203:F203"/>
    <mergeCell ref="I203:J203"/>
    <mergeCell ref="D204:F204"/>
    <mergeCell ref="I204:J204"/>
    <mergeCell ref="D205:F205"/>
    <mergeCell ref="I205:J205"/>
    <mergeCell ref="D188:F188"/>
    <mergeCell ref="I188:J188"/>
    <mergeCell ref="D189:F189"/>
    <mergeCell ref="I189:J189"/>
    <mergeCell ref="D190:F190"/>
    <mergeCell ref="I190:J190"/>
    <mergeCell ref="D191:F191"/>
    <mergeCell ref="I191:J191"/>
    <mergeCell ref="D192:F192"/>
    <mergeCell ref="I192:J192"/>
    <mergeCell ref="D193:F193"/>
    <mergeCell ref="I193:J193"/>
    <mergeCell ref="D194:F194"/>
    <mergeCell ref="I194:J194"/>
    <mergeCell ref="D195:F195"/>
    <mergeCell ref="I195:J195"/>
    <mergeCell ref="D196:F196"/>
    <mergeCell ref="I196:J196"/>
    <mergeCell ref="D179:F179"/>
    <mergeCell ref="I179:J179"/>
    <mergeCell ref="D180:F180"/>
    <mergeCell ref="I180:J180"/>
    <mergeCell ref="D181:F181"/>
    <mergeCell ref="I181:J181"/>
    <mergeCell ref="D182:F182"/>
    <mergeCell ref="I182:J182"/>
    <mergeCell ref="D183:F183"/>
    <mergeCell ref="I183:J183"/>
    <mergeCell ref="D184:F184"/>
    <mergeCell ref="I184:J184"/>
    <mergeCell ref="D185:F185"/>
    <mergeCell ref="I185:J185"/>
    <mergeCell ref="D186:F186"/>
    <mergeCell ref="I186:J186"/>
    <mergeCell ref="D187:F187"/>
    <mergeCell ref="I187:J187"/>
    <mergeCell ref="D170:F170"/>
    <mergeCell ref="I170:J170"/>
    <mergeCell ref="D171:F171"/>
    <mergeCell ref="I171:J171"/>
    <mergeCell ref="D172:F172"/>
    <mergeCell ref="I172:J172"/>
    <mergeCell ref="D173:F173"/>
    <mergeCell ref="I173:J173"/>
    <mergeCell ref="D174:F174"/>
    <mergeCell ref="I174:J174"/>
    <mergeCell ref="D175:F175"/>
    <mergeCell ref="I175:J175"/>
    <mergeCell ref="D176:F176"/>
    <mergeCell ref="I176:J176"/>
    <mergeCell ref="D177:F177"/>
    <mergeCell ref="I177:J177"/>
    <mergeCell ref="D178:F178"/>
    <mergeCell ref="I178:J178"/>
    <mergeCell ref="D161:F161"/>
    <mergeCell ref="I161:J161"/>
    <mergeCell ref="D162:F162"/>
    <mergeCell ref="I162:J162"/>
    <mergeCell ref="D163:F163"/>
    <mergeCell ref="I163:J163"/>
    <mergeCell ref="D164:F164"/>
    <mergeCell ref="I164:J164"/>
    <mergeCell ref="D165:F165"/>
    <mergeCell ref="I165:J165"/>
    <mergeCell ref="D166:F166"/>
    <mergeCell ref="I166:J166"/>
    <mergeCell ref="D167:F167"/>
    <mergeCell ref="I167:J167"/>
    <mergeCell ref="D168:F168"/>
    <mergeCell ref="I168:J168"/>
    <mergeCell ref="D169:F169"/>
    <mergeCell ref="I169:J169"/>
    <mergeCell ref="D152:F152"/>
    <mergeCell ref="I152:J152"/>
    <mergeCell ref="D153:F153"/>
    <mergeCell ref="I153:J153"/>
    <mergeCell ref="D154:F154"/>
    <mergeCell ref="I154:J154"/>
    <mergeCell ref="D155:F155"/>
    <mergeCell ref="I155:J155"/>
    <mergeCell ref="D156:F156"/>
    <mergeCell ref="I156:J156"/>
    <mergeCell ref="D157:F157"/>
    <mergeCell ref="I157:J157"/>
    <mergeCell ref="D158:F158"/>
    <mergeCell ref="I158:J158"/>
    <mergeCell ref="D159:F159"/>
    <mergeCell ref="I159:J159"/>
    <mergeCell ref="D160:F160"/>
    <mergeCell ref="I160:J160"/>
    <mergeCell ref="D143:F143"/>
    <mergeCell ref="I143:J143"/>
    <mergeCell ref="D144:F144"/>
    <mergeCell ref="I144:J144"/>
    <mergeCell ref="D145:F145"/>
    <mergeCell ref="I145:J145"/>
    <mergeCell ref="D146:F146"/>
    <mergeCell ref="I146:J146"/>
    <mergeCell ref="D147:F147"/>
    <mergeCell ref="I147:J147"/>
    <mergeCell ref="D148:F148"/>
    <mergeCell ref="I148:J148"/>
    <mergeCell ref="D149:F149"/>
    <mergeCell ref="I149:J149"/>
    <mergeCell ref="D150:F150"/>
    <mergeCell ref="I150:J150"/>
    <mergeCell ref="D151:F151"/>
    <mergeCell ref="I151:J151"/>
    <mergeCell ref="D134:F134"/>
    <mergeCell ref="I134:J134"/>
    <mergeCell ref="D135:F135"/>
    <mergeCell ref="I135:J135"/>
    <mergeCell ref="D136:F136"/>
    <mergeCell ref="I136:J136"/>
    <mergeCell ref="D137:F137"/>
    <mergeCell ref="I137:J137"/>
    <mergeCell ref="D138:F138"/>
    <mergeCell ref="I138:J138"/>
    <mergeCell ref="D139:F139"/>
    <mergeCell ref="I139:J139"/>
    <mergeCell ref="D140:F140"/>
    <mergeCell ref="I140:J140"/>
    <mergeCell ref="D141:F141"/>
    <mergeCell ref="I141:J141"/>
    <mergeCell ref="D142:F142"/>
    <mergeCell ref="I142:J142"/>
    <mergeCell ref="D125:F125"/>
    <mergeCell ref="I125:J125"/>
    <mergeCell ref="D126:F126"/>
    <mergeCell ref="I126:J126"/>
    <mergeCell ref="D127:F127"/>
    <mergeCell ref="I127:J127"/>
    <mergeCell ref="D128:F128"/>
    <mergeCell ref="I128:J128"/>
    <mergeCell ref="D129:F129"/>
    <mergeCell ref="I129:J129"/>
    <mergeCell ref="D130:F130"/>
    <mergeCell ref="I130:J130"/>
    <mergeCell ref="D131:F131"/>
    <mergeCell ref="I131:J131"/>
    <mergeCell ref="D132:F132"/>
    <mergeCell ref="I132:J132"/>
    <mergeCell ref="D133:F133"/>
    <mergeCell ref="I133:J133"/>
    <mergeCell ref="D116:F116"/>
    <mergeCell ref="I116:J116"/>
    <mergeCell ref="D117:F117"/>
    <mergeCell ref="I117:J117"/>
    <mergeCell ref="D118:F118"/>
    <mergeCell ref="I118:J118"/>
    <mergeCell ref="D119:F119"/>
    <mergeCell ref="I119:J119"/>
    <mergeCell ref="D120:F120"/>
    <mergeCell ref="I120:J120"/>
    <mergeCell ref="D121:F121"/>
    <mergeCell ref="I121:J121"/>
    <mergeCell ref="D122:F122"/>
    <mergeCell ref="I122:J122"/>
    <mergeCell ref="D123:F123"/>
    <mergeCell ref="I123:J123"/>
    <mergeCell ref="D124:F124"/>
    <mergeCell ref="I124:J124"/>
    <mergeCell ref="D107:F107"/>
    <mergeCell ref="I107:J107"/>
    <mergeCell ref="D108:F108"/>
    <mergeCell ref="I108:J108"/>
    <mergeCell ref="D109:F109"/>
    <mergeCell ref="I109:J109"/>
    <mergeCell ref="D110:F110"/>
    <mergeCell ref="I110:J110"/>
    <mergeCell ref="D111:F111"/>
    <mergeCell ref="I111:J111"/>
    <mergeCell ref="D112:F112"/>
    <mergeCell ref="I112:J112"/>
    <mergeCell ref="D113:F113"/>
    <mergeCell ref="I113:J113"/>
    <mergeCell ref="D114:F114"/>
    <mergeCell ref="I114:J114"/>
    <mergeCell ref="D115:F115"/>
    <mergeCell ref="I115:J115"/>
    <mergeCell ref="D98:F98"/>
    <mergeCell ref="I98:J98"/>
    <mergeCell ref="D99:F99"/>
    <mergeCell ref="I99:J99"/>
    <mergeCell ref="D100:F100"/>
    <mergeCell ref="I100:J100"/>
    <mergeCell ref="D101:F101"/>
    <mergeCell ref="I101:J101"/>
    <mergeCell ref="D102:F102"/>
    <mergeCell ref="I102:J102"/>
    <mergeCell ref="D103:F103"/>
    <mergeCell ref="I103:J103"/>
    <mergeCell ref="D104:F104"/>
    <mergeCell ref="I104:J104"/>
    <mergeCell ref="D105:F105"/>
    <mergeCell ref="I105:J105"/>
    <mergeCell ref="D106:F106"/>
    <mergeCell ref="I106:J106"/>
    <mergeCell ref="D89:F89"/>
    <mergeCell ref="I89:J89"/>
    <mergeCell ref="D90:F90"/>
    <mergeCell ref="I90:J90"/>
    <mergeCell ref="D91:F91"/>
    <mergeCell ref="I91:J91"/>
    <mergeCell ref="D92:F92"/>
    <mergeCell ref="I92:J92"/>
    <mergeCell ref="D93:F93"/>
    <mergeCell ref="I93:J93"/>
    <mergeCell ref="D94:F94"/>
    <mergeCell ref="I94:J94"/>
    <mergeCell ref="D95:F95"/>
    <mergeCell ref="I95:J95"/>
    <mergeCell ref="D96:F96"/>
    <mergeCell ref="I96:J96"/>
    <mergeCell ref="D97:F97"/>
    <mergeCell ref="I97:J97"/>
    <mergeCell ref="D80:F80"/>
    <mergeCell ref="I80:J80"/>
    <mergeCell ref="D81:F81"/>
    <mergeCell ref="I81:J81"/>
    <mergeCell ref="D82:F82"/>
    <mergeCell ref="I82:J82"/>
    <mergeCell ref="D83:F83"/>
    <mergeCell ref="I83:J83"/>
    <mergeCell ref="D84:F84"/>
    <mergeCell ref="I84:J84"/>
    <mergeCell ref="D85:F85"/>
    <mergeCell ref="I85:J85"/>
    <mergeCell ref="D86:F86"/>
    <mergeCell ref="I86:J86"/>
    <mergeCell ref="D87:F87"/>
    <mergeCell ref="I87:J87"/>
    <mergeCell ref="D88:F88"/>
    <mergeCell ref="I88:J88"/>
    <mergeCell ref="D71:F71"/>
    <mergeCell ref="I71:J71"/>
    <mergeCell ref="D72:F72"/>
    <mergeCell ref="I72:J72"/>
    <mergeCell ref="D73:F73"/>
    <mergeCell ref="I73:J73"/>
    <mergeCell ref="D74:F74"/>
    <mergeCell ref="I74:J74"/>
    <mergeCell ref="D75:F75"/>
    <mergeCell ref="I75:J75"/>
    <mergeCell ref="D76:F76"/>
    <mergeCell ref="I76:J76"/>
    <mergeCell ref="D77:F77"/>
    <mergeCell ref="I77:J77"/>
    <mergeCell ref="D78:F78"/>
    <mergeCell ref="I78:J78"/>
    <mergeCell ref="D79:F79"/>
    <mergeCell ref="I79:J79"/>
    <mergeCell ref="D62:F62"/>
    <mergeCell ref="I62:J62"/>
    <mergeCell ref="D63:F63"/>
    <mergeCell ref="I63:J63"/>
    <mergeCell ref="D64:F64"/>
    <mergeCell ref="I64:J64"/>
    <mergeCell ref="D65:F65"/>
    <mergeCell ref="I65:J65"/>
    <mergeCell ref="D66:F66"/>
    <mergeCell ref="I66:J66"/>
    <mergeCell ref="D67:F67"/>
    <mergeCell ref="I67:J67"/>
    <mergeCell ref="D68:F68"/>
    <mergeCell ref="I68:J68"/>
    <mergeCell ref="D69:F69"/>
    <mergeCell ref="I69:J69"/>
    <mergeCell ref="D70:F70"/>
    <mergeCell ref="I70:J70"/>
    <mergeCell ref="D53:F53"/>
    <mergeCell ref="I53:J53"/>
    <mergeCell ref="D54:F54"/>
    <mergeCell ref="I54:J54"/>
    <mergeCell ref="D55:F55"/>
    <mergeCell ref="I55:J55"/>
    <mergeCell ref="D56:F56"/>
    <mergeCell ref="I56:J56"/>
    <mergeCell ref="D57:F57"/>
    <mergeCell ref="I57:J57"/>
    <mergeCell ref="D58:F58"/>
    <mergeCell ref="I58:J58"/>
    <mergeCell ref="D59:F59"/>
    <mergeCell ref="I59:J59"/>
    <mergeCell ref="D60:F60"/>
    <mergeCell ref="I60:J60"/>
    <mergeCell ref="D61:F61"/>
    <mergeCell ref="I61:J61"/>
    <mergeCell ref="D44:F44"/>
    <mergeCell ref="I44:J44"/>
    <mergeCell ref="D45:F45"/>
    <mergeCell ref="I45:J45"/>
    <mergeCell ref="D46:F46"/>
    <mergeCell ref="I46:J46"/>
    <mergeCell ref="D47:F47"/>
    <mergeCell ref="I47:J47"/>
    <mergeCell ref="D48:F48"/>
    <mergeCell ref="I48:J48"/>
    <mergeCell ref="D49:F49"/>
    <mergeCell ref="I49:J49"/>
    <mergeCell ref="D50:F50"/>
    <mergeCell ref="I50:J50"/>
    <mergeCell ref="D51:F51"/>
    <mergeCell ref="I51:J51"/>
    <mergeCell ref="D52:F52"/>
    <mergeCell ref="I52:J52"/>
    <mergeCell ref="D35:F35"/>
    <mergeCell ref="I35:J35"/>
    <mergeCell ref="D36:F36"/>
    <mergeCell ref="I36:J36"/>
    <mergeCell ref="D37:F37"/>
    <mergeCell ref="I37:J37"/>
    <mergeCell ref="D38:F38"/>
    <mergeCell ref="I38:J38"/>
    <mergeCell ref="D39:F39"/>
    <mergeCell ref="I39:J39"/>
    <mergeCell ref="D40:F40"/>
    <mergeCell ref="I40:J40"/>
    <mergeCell ref="D41:F41"/>
    <mergeCell ref="I41:J41"/>
    <mergeCell ref="D42:F42"/>
    <mergeCell ref="I42:J42"/>
    <mergeCell ref="D43:F43"/>
    <mergeCell ref="I43:J43"/>
    <mergeCell ref="D26:F26"/>
    <mergeCell ref="I26:J26"/>
    <mergeCell ref="D27:F27"/>
    <mergeCell ref="I27:J27"/>
    <mergeCell ref="D28:F28"/>
    <mergeCell ref="I28:J28"/>
    <mergeCell ref="D29:F29"/>
    <mergeCell ref="I29:J29"/>
    <mergeCell ref="D30:F30"/>
    <mergeCell ref="I30:J30"/>
    <mergeCell ref="D31:F31"/>
    <mergeCell ref="I31:J31"/>
    <mergeCell ref="D32:F32"/>
    <mergeCell ref="I32:J32"/>
    <mergeCell ref="D33:F33"/>
    <mergeCell ref="I33:J33"/>
    <mergeCell ref="D34:F34"/>
    <mergeCell ref="I34:J34"/>
    <mergeCell ref="D17:F17"/>
    <mergeCell ref="I17:J17"/>
    <mergeCell ref="D18:F18"/>
    <mergeCell ref="I18:J18"/>
    <mergeCell ref="D19:F19"/>
    <mergeCell ref="I19:J19"/>
    <mergeCell ref="D20:F20"/>
    <mergeCell ref="I20:J20"/>
    <mergeCell ref="D21:F21"/>
    <mergeCell ref="I21:J21"/>
    <mergeCell ref="D22:F22"/>
    <mergeCell ref="I22:J22"/>
    <mergeCell ref="D23:F23"/>
    <mergeCell ref="I23:J23"/>
    <mergeCell ref="D24:F24"/>
    <mergeCell ref="I24:J24"/>
    <mergeCell ref="D25:F25"/>
    <mergeCell ref="I25:J25"/>
    <mergeCell ref="E1:H1"/>
    <mergeCell ref="E2:H2"/>
    <mergeCell ref="C5:D5"/>
    <mergeCell ref="E5:P5"/>
    <mergeCell ref="C6:D6"/>
    <mergeCell ref="E6:P6"/>
    <mergeCell ref="C8:P8"/>
    <mergeCell ref="C9:P9"/>
    <mergeCell ref="D10:I10"/>
    <mergeCell ref="C11:P11"/>
    <mergeCell ref="C13:K13"/>
    <mergeCell ref="D14:F14"/>
    <mergeCell ref="I14:J14"/>
    <mergeCell ref="D15:F15"/>
    <mergeCell ref="I15:J15"/>
    <mergeCell ref="D16:F16"/>
    <mergeCell ref="I16:J16"/>
  </mergeCells>
  <conditionalFormatting sqref="P271:P520">
    <cfRule type="containsText" dxfId="41" priority="2" operator="containsText" text="Si">
      <formula>NOT(ISERROR(SEARCH("Si",P271)))</formula>
    </cfRule>
  </conditionalFormatting>
  <dataValidations count="1">
    <dataValidation type="list" allowBlank="1" showInputMessage="1" showErrorMessage="1" sqref="H528:H777" xr:uid="{00000000-0002-0000-0B00-000000000000}">
      <formula1>"Si,No"</formula1>
      <formula2>0</formula2>
    </dataValidation>
  </dataValidations>
  <printOptions horizontalCentered="1"/>
  <pageMargins left="0" right="0" top="0" bottom="0" header="0.511811023622047" footer="0.511811023622047"/>
  <pageSetup fitToHeight="0" orientation="landscape" horizontalDpi="300" verticalDpi="300"/>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K41"/>
  <sheetViews>
    <sheetView showGridLines="0" zoomScaleNormal="100" workbookViewId="0">
      <selection activeCell="G7" sqref="G7"/>
    </sheetView>
  </sheetViews>
  <sheetFormatPr baseColWidth="10" defaultColWidth="13.33203125" defaultRowHeight="19.5" customHeight="1" x14ac:dyDescent="0.25"/>
  <cols>
    <col min="1" max="1" width="47.109375" style="544" customWidth="1"/>
    <col min="2" max="2" width="17.109375" style="544" customWidth="1"/>
    <col min="3" max="3" width="14.77734375" style="544" customWidth="1"/>
    <col min="4" max="4" width="21.6640625" style="545" customWidth="1"/>
    <col min="5" max="5" width="21.77734375" style="544" customWidth="1"/>
    <col min="6" max="6" width="25.33203125" style="544" customWidth="1"/>
    <col min="7" max="7" width="26.33203125" style="544" customWidth="1"/>
    <col min="8" max="8" width="8" style="544" customWidth="1"/>
    <col min="9" max="9" width="13.33203125" style="544"/>
    <col min="10" max="10" width="33" style="544" customWidth="1"/>
    <col min="11" max="16384" width="13.33203125" style="544"/>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18" customHeight="1" x14ac:dyDescent="0.25">
      <c r="E2" s="1086" t="s">
        <v>514</v>
      </c>
      <c r="F2" s="1086"/>
      <c r="G2" s="1086"/>
      <c r="H2" s="1086"/>
      <c r="I2" s="441"/>
      <c r="J2" s="546" t="s">
        <v>29</v>
      </c>
      <c r="K2" s="378"/>
    </row>
    <row r="3" spans="1:11" ht="6.75" customHeight="1" x14ac:dyDescent="0.25"/>
    <row r="4" spans="1:11" ht="6.75" customHeight="1" x14ac:dyDescent="0.25"/>
    <row r="5" spans="1:11" ht="19.5" customHeight="1" x14ac:dyDescent="0.25">
      <c r="A5" s="133" t="s">
        <v>515</v>
      </c>
      <c r="B5" s="11"/>
      <c r="C5" s="11"/>
      <c r="D5" s="11"/>
      <c r="E5" s="11"/>
      <c r="F5" s="11"/>
    </row>
    <row r="6" spans="1:11" ht="19.5" customHeight="1" x14ac:dyDescent="0.25">
      <c r="A6" s="133" t="s">
        <v>104</v>
      </c>
      <c r="B6" s="1011">
        <f>'Plan Ejecución'!AE4</f>
        <v>0</v>
      </c>
      <c r="C6" s="1011"/>
      <c r="D6" s="1011"/>
      <c r="E6" s="1011"/>
      <c r="F6" s="1011"/>
    </row>
    <row r="7" spans="1:11" ht="31.5" customHeight="1" x14ac:dyDescent="0.25">
      <c r="A7" s="133" t="s">
        <v>105</v>
      </c>
      <c r="B7" s="1011">
        <f>'Plan Ejecución'!AE5</f>
        <v>0</v>
      </c>
      <c r="C7" s="1011"/>
      <c r="D7" s="1011"/>
      <c r="E7" s="1011"/>
      <c r="F7" s="1011"/>
    </row>
    <row r="8" spans="1:11" ht="20.25" customHeight="1" x14ac:dyDescent="0.25">
      <c r="A8" s="406"/>
      <c r="B8" s="407"/>
      <c r="C8" s="407"/>
      <c r="D8" s="407"/>
      <c r="E8" s="407"/>
      <c r="F8" s="407"/>
    </row>
    <row r="9" spans="1:11" ht="19.5" customHeight="1" x14ac:dyDescent="0.25">
      <c r="A9" s="1124" t="s">
        <v>516</v>
      </c>
      <c r="B9" s="1124"/>
      <c r="C9" s="1124"/>
      <c r="D9" s="1124"/>
      <c r="E9" s="1124"/>
      <c r="F9" s="1124"/>
    </row>
    <row r="10" spans="1:11" ht="53.25" customHeight="1" x14ac:dyDescent="0.25">
      <c r="A10" s="411" t="s">
        <v>380</v>
      </c>
      <c r="B10" s="411" t="s">
        <v>113</v>
      </c>
      <c r="C10" s="411" t="s">
        <v>383</v>
      </c>
      <c r="D10" s="411" t="s">
        <v>517</v>
      </c>
      <c r="E10" s="411" t="s">
        <v>518</v>
      </c>
      <c r="F10" s="411" t="s">
        <v>451</v>
      </c>
    </row>
    <row r="11" spans="1:11" ht="18" customHeight="1" x14ac:dyDescent="0.25">
      <c r="A11" s="547"/>
      <c r="B11" s="548"/>
      <c r="C11" s="547"/>
      <c r="D11" s="549"/>
      <c r="E11" s="550">
        <v>0</v>
      </c>
      <c r="F11" s="550">
        <f t="shared" ref="F11:F16" si="0">C11*E11</f>
        <v>0</v>
      </c>
    </row>
    <row r="12" spans="1:11" ht="19.5" customHeight="1" x14ac:dyDescent="0.25">
      <c r="A12" s="547"/>
      <c r="B12" s="548"/>
      <c r="C12" s="547"/>
      <c r="D12" s="549"/>
      <c r="E12" s="550">
        <v>0</v>
      </c>
      <c r="F12" s="550">
        <f t="shared" si="0"/>
        <v>0</v>
      </c>
    </row>
    <row r="13" spans="1:11" ht="19.5" customHeight="1" x14ac:dyDescent="0.25">
      <c r="A13" s="547"/>
      <c r="B13" s="548"/>
      <c r="C13" s="547"/>
      <c r="D13" s="549"/>
      <c r="E13" s="550">
        <v>0</v>
      </c>
      <c r="F13" s="550">
        <f t="shared" si="0"/>
        <v>0</v>
      </c>
    </row>
    <row r="14" spans="1:11" ht="19.5" customHeight="1" x14ac:dyDescent="0.25">
      <c r="A14" s="551"/>
      <c r="B14" s="552"/>
      <c r="C14" s="551"/>
      <c r="D14" s="553"/>
      <c r="E14" s="550">
        <v>0</v>
      </c>
      <c r="F14" s="550">
        <f t="shared" si="0"/>
        <v>0</v>
      </c>
    </row>
    <row r="15" spans="1:11" ht="19.5" customHeight="1" x14ac:dyDescent="0.25">
      <c r="A15" s="551"/>
      <c r="B15" s="552"/>
      <c r="C15" s="551"/>
      <c r="D15" s="553"/>
      <c r="E15" s="550">
        <v>0</v>
      </c>
      <c r="F15" s="550">
        <f t="shared" si="0"/>
        <v>0</v>
      </c>
    </row>
    <row r="16" spans="1:11" ht="30.75" customHeight="1" x14ac:dyDescent="0.25">
      <c r="A16" s="551"/>
      <c r="B16" s="552"/>
      <c r="C16" s="551"/>
      <c r="D16" s="553"/>
      <c r="E16" s="550">
        <v>0</v>
      </c>
      <c r="F16" s="550">
        <f t="shared" si="0"/>
        <v>0</v>
      </c>
    </row>
    <row r="17" spans="1:6" ht="19.5" customHeight="1" x14ac:dyDescent="0.25">
      <c r="A17" s="1125" t="s">
        <v>519</v>
      </c>
      <c r="B17" s="1125"/>
      <c r="C17" s="1125"/>
      <c r="D17" s="1125"/>
      <c r="E17" s="1125"/>
      <c r="F17" s="554">
        <f>SUM(F11:F16)</f>
        <v>0</v>
      </c>
    </row>
    <row r="18" spans="1:6" ht="19.5" customHeight="1" x14ac:dyDescent="0.25">
      <c r="A18" s="1125" t="s">
        <v>520</v>
      </c>
      <c r="B18" s="1125"/>
      <c r="C18" s="1125"/>
      <c r="D18" s="1125"/>
      <c r="E18" s="1125"/>
      <c r="F18" s="554">
        <f>F17*19%</f>
        <v>0</v>
      </c>
    </row>
    <row r="19" spans="1:6" ht="19.5" customHeight="1" x14ac:dyDescent="0.25">
      <c r="A19" s="1126" t="s">
        <v>521</v>
      </c>
      <c r="B19" s="1126"/>
      <c r="C19" s="1126"/>
      <c r="D19" s="1126"/>
      <c r="E19" s="1126"/>
      <c r="F19" s="555">
        <f>F17+F18</f>
        <v>0</v>
      </c>
    </row>
    <row r="20" spans="1:6" ht="19.5" customHeight="1" x14ac:dyDescent="0.25">
      <c r="A20" s="556"/>
      <c r="B20" s="556"/>
      <c r="C20" s="556"/>
      <c r="D20" s="557"/>
      <c r="E20" s="556"/>
      <c r="F20" s="556"/>
    </row>
    <row r="21" spans="1:6" ht="19.5" customHeight="1" x14ac:dyDescent="0.25">
      <c r="A21" s="556"/>
      <c r="B21" s="556"/>
      <c r="C21" s="556"/>
      <c r="D21" s="557"/>
      <c r="E21" s="556"/>
      <c r="F21" s="556"/>
    </row>
    <row r="22" spans="1:6" ht="79.5" customHeight="1" x14ac:dyDescent="0.25">
      <c r="A22" s="1127" t="s">
        <v>522</v>
      </c>
      <c r="B22" s="1127"/>
      <c r="C22" s="1127"/>
      <c r="D22" s="1127"/>
      <c r="E22" s="1127"/>
      <c r="F22" s="1127"/>
    </row>
    <row r="23" spans="1:6" ht="19.5" customHeight="1" x14ac:dyDescent="0.25">
      <c r="A23" s="558"/>
      <c r="B23" s="558"/>
      <c r="C23" s="558"/>
      <c r="D23" s="559"/>
      <c r="E23" s="558"/>
    </row>
    <row r="24" spans="1:6" ht="17.25" customHeight="1" x14ac:dyDescent="0.25">
      <c r="A24" s="1128" t="s">
        <v>523</v>
      </c>
      <c r="B24" s="1128"/>
      <c r="C24" s="1128"/>
      <c r="D24" s="1128"/>
      <c r="E24" s="1128"/>
      <c r="F24" s="1128"/>
    </row>
    <row r="35" spans="2:2" ht="19.5" customHeight="1" x14ac:dyDescent="0.25">
      <c r="B35" s="560"/>
    </row>
    <row r="36" spans="2:2" ht="19.5" customHeight="1" x14ac:dyDescent="0.25">
      <c r="B36" s="560"/>
    </row>
    <row r="37" spans="2:2" ht="19.5" customHeight="1" x14ac:dyDescent="0.25">
      <c r="B37" s="560"/>
    </row>
    <row r="38" spans="2:2" ht="19.5" customHeight="1" x14ac:dyDescent="0.25">
      <c r="B38" s="560"/>
    </row>
    <row r="39" spans="2:2" ht="19.5" customHeight="1" x14ac:dyDescent="0.25">
      <c r="B39" s="560"/>
    </row>
    <row r="40" spans="2:2" ht="19.5" customHeight="1" x14ac:dyDescent="0.25">
      <c r="B40" s="560"/>
    </row>
    <row r="41" spans="2:2" ht="19.5" customHeight="1" x14ac:dyDescent="0.25">
      <c r="B41" s="560"/>
    </row>
  </sheetData>
  <sheetProtection algorithmName="SHA-512" hashValue="I7eFl4YLKopYiHQEhI020WTpWqiZQTq4LS6gTVIeqdK0/842iOQUTCAlGWS1CiJmt9SRH1dJZ5GZ1RREesUfiA==" saltValue="zEbSic7BMj/fG6ytev26eA==" spinCount="100000" sheet="1" formatCells="0" formatColumns="0" formatRows="0" insertRows="0" autoFilter="0" pivotTables="0"/>
  <mergeCells count="11">
    <mergeCell ref="A24:F24"/>
    <mergeCell ref="A9:F9"/>
    <mergeCell ref="A17:E17"/>
    <mergeCell ref="A18:E18"/>
    <mergeCell ref="A19:E19"/>
    <mergeCell ref="A22:F22"/>
    <mergeCell ref="E1:H1"/>
    <mergeCell ref="E2:H2"/>
    <mergeCell ref="B5:F5"/>
    <mergeCell ref="B6:F6"/>
    <mergeCell ref="B7:F7"/>
  </mergeCells>
  <hyperlinks>
    <hyperlink ref="J1" location="ins" display="Instructivo" xr:uid="{00000000-0004-0000-0C00-000000000000}"/>
    <hyperlink ref="J2" location="NPE" display="Notas propuesta económica" xr:uid="{00000000-0004-0000-0C00-000001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K50"/>
  <sheetViews>
    <sheetView showGridLines="0" zoomScaleNormal="100" workbookViewId="0"/>
  </sheetViews>
  <sheetFormatPr baseColWidth="10" defaultColWidth="11.33203125" defaultRowHeight="18" customHeight="1" x14ac:dyDescent="0.25"/>
  <cols>
    <col min="1" max="1" width="28" style="375" customWidth="1"/>
    <col min="2" max="2" width="11.77734375" style="375" customWidth="1"/>
    <col min="3" max="3" width="12.77734375" style="375" customWidth="1"/>
    <col min="4" max="4" width="11.77734375" style="375" customWidth="1"/>
    <col min="5" max="5" width="13.33203125" style="375" customWidth="1"/>
    <col min="6" max="6" width="18.33203125" style="401" customWidth="1"/>
    <col min="7" max="7" width="14.77734375" style="375" customWidth="1"/>
    <col min="8" max="8" width="21.33203125" style="375" customWidth="1"/>
    <col min="9" max="9" width="22.109375" style="402" customWidth="1"/>
    <col min="10" max="10" width="30.33203125" style="140" customWidth="1"/>
    <col min="11" max="16384" width="11.33203125" style="140"/>
  </cols>
  <sheetData>
    <row r="1" spans="1:11" s="15" customFormat="1" ht="39" customHeight="1" x14ac:dyDescent="0.25">
      <c r="E1" s="1129" t="str">
        <f>Instructivo!F1</f>
        <v>Sistema de Gestión Integral (SGI)
Instructivo - Componente Financiero EP
Código: F-PGC-21. Versión: 05</v>
      </c>
      <c r="F1" s="1129"/>
      <c r="G1" s="1129"/>
      <c r="H1" s="1129"/>
      <c r="J1" s="132" t="s">
        <v>102</v>
      </c>
    </row>
    <row r="2" spans="1:11" s="15" customFormat="1" ht="18" customHeight="1" x14ac:dyDescent="0.25">
      <c r="E2" s="1086" t="s">
        <v>524</v>
      </c>
      <c r="F2" s="1086"/>
      <c r="G2" s="1086"/>
      <c r="H2" s="1086"/>
      <c r="I2" s="441"/>
      <c r="J2" s="546" t="s">
        <v>29</v>
      </c>
      <c r="K2" s="378"/>
    </row>
    <row r="3" spans="1:11" ht="4.5" customHeight="1" x14ac:dyDescent="0.25"/>
    <row r="4" spans="1:11" s="136" customFormat="1" ht="4.5" customHeight="1" x14ac:dyDescent="0.25">
      <c r="A4" s="375"/>
      <c r="B4" s="375"/>
      <c r="C4" s="375"/>
      <c r="D4" s="375"/>
      <c r="E4" s="375"/>
      <c r="F4" s="401"/>
      <c r="G4" s="375"/>
      <c r="H4" s="375"/>
      <c r="I4" s="402"/>
      <c r="J4" s="140"/>
    </row>
    <row r="5" spans="1:11" s="136" customFormat="1" ht="18" customHeight="1" x14ac:dyDescent="0.25">
      <c r="A5" s="1071" t="s">
        <v>515</v>
      </c>
      <c r="B5" s="1071"/>
      <c r="C5" s="1071"/>
      <c r="D5" s="1071"/>
      <c r="E5" s="11"/>
      <c r="F5" s="11"/>
      <c r="G5" s="11"/>
      <c r="H5" s="11"/>
      <c r="I5" s="11"/>
    </row>
    <row r="6" spans="1:11" s="136" customFormat="1" ht="18" customHeight="1" x14ac:dyDescent="0.25">
      <c r="A6" s="1071" t="s">
        <v>104</v>
      </c>
      <c r="B6" s="1071"/>
      <c r="C6" s="1071"/>
      <c r="D6" s="1071"/>
      <c r="E6" s="1011">
        <f>'Plan Ejecución'!AE4</f>
        <v>0</v>
      </c>
      <c r="F6" s="1011"/>
      <c r="G6" s="1011"/>
      <c r="H6" s="1011"/>
      <c r="I6" s="1011"/>
    </row>
    <row r="7" spans="1:11" ht="45" customHeight="1" x14ac:dyDescent="0.25">
      <c r="A7" s="1071" t="s">
        <v>105</v>
      </c>
      <c r="B7" s="1071"/>
      <c r="C7" s="1071"/>
      <c r="D7" s="1071"/>
      <c r="E7" s="1011">
        <f>'Plan Ejecución'!AE5</f>
        <v>0</v>
      </c>
      <c r="F7" s="1011"/>
      <c r="G7" s="1011"/>
      <c r="H7" s="1011"/>
      <c r="I7" s="1011"/>
    </row>
    <row r="8" spans="1:11" ht="18" customHeight="1" x14ac:dyDescent="0.25">
      <c r="A8" s="406"/>
      <c r="B8" s="407"/>
      <c r="C8" s="407"/>
      <c r="D8" s="407"/>
      <c r="E8" s="407"/>
      <c r="F8" s="407"/>
      <c r="G8" s="442"/>
      <c r="H8" s="442"/>
      <c r="I8" s="408"/>
    </row>
    <row r="9" spans="1:11" ht="18" customHeight="1" x14ac:dyDescent="0.25">
      <c r="A9" s="1124" t="s">
        <v>516</v>
      </c>
      <c r="B9" s="1124"/>
      <c r="C9" s="1124"/>
      <c r="D9" s="1124"/>
      <c r="E9" s="1124"/>
      <c r="F9" s="1124"/>
      <c r="G9" s="1124"/>
      <c r="H9" s="1124"/>
      <c r="I9" s="1124"/>
    </row>
    <row r="10" spans="1:11" ht="54.75" customHeight="1" x14ac:dyDescent="0.25">
      <c r="A10" s="308" t="s">
        <v>380</v>
      </c>
      <c r="B10" s="308" t="s">
        <v>381</v>
      </c>
      <c r="C10" s="308" t="s">
        <v>382</v>
      </c>
      <c r="D10" s="308" t="s">
        <v>113</v>
      </c>
      <c r="E10" s="308" t="s">
        <v>383</v>
      </c>
      <c r="F10" s="410" t="s">
        <v>517</v>
      </c>
      <c r="G10" s="308" t="s">
        <v>415</v>
      </c>
      <c r="H10" s="411" t="s">
        <v>518</v>
      </c>
      <c r="I10" s="411" t="s">
        <v>451</v>
      </c>
    </row>
    <row r="11" spans="1:11" ht="18" customHeight="1" x14ac:dyDescent="0.25">
      <c r="A11" s="1074" t="s">
        <v>378</v>
      </c>
      <c r="B11" s="1074"/>
      <c r="C11" s="1074"/>
      <c r="D11" s="1074"/>
      <c r="E11" s="1074"/>
      <c r="F11" s="1074"/>
      <c r="G11" s="1074"/>
      <c r="H11" s="1074"/>
      <c r="I11" s="1074"/>
    </row>
    <row r="12" spans="1:11" ht="18" customHeight="1" x14ac:dyDescent="0.25">
      <c r="A12" s="412"/>
      <c r="B12" s="412"/>
      <c r="C12" s="413"/>
      <c r="D12" s="412"/>
      <c r="E12" s="412"/>
      <c r="F12" s="414"/>
      <c r="G12" s="561"/>
      <c r="H12" s="561"/>
      <c r="I12" s="414">
        <f>B12*C12*E12*G12*H12</f>
        <v>0</v>
      </c>
    </row>
    <row r="13" spans="1:11" ht="18" customHeight="1" x14ac:dyDescent="0.25">
      <c r="A13" s="412"/>
      <c r="B13" s="412"/>
      <c r="C13" s="413"/>
      <c r="D13" s="412"/>
      <c r="E13" s="412"/>
      <c r="F13" s="414"/>
      <c r="G13" s="561"/>
      <c r="H13" s="561"/>
      <c r="I13" s="414">
        <f>B13*C13*E13*G13*H13</f>
        <v>0</v>
      </c>
    </row>
    <row r="14" spans="1:11" ht="18" customHeight="1" x14ac:dyDescent="0.25">
      <c r="A14" s="415"/>
      <c r="B14" s="415"/>
      <c r="C14" s="413"/>
      <c r="D14" s="415"/>
      <c r="E14" s="415"/>
      <c r="F14" s="414"/>
      <c r="G14" s="562"/>
      <c r="H14" s="562"/>
      <c r="I14" s="414">
        <f>B14*C14*E14*G14*H14</f>
        <v>0</v>
      </c>
    </row>
    <row r="15" spans="1:11" ht="18" customHeight="1" x14ac:dyDescent="0.25">
      <c r="A15" s="415"/>
      <c r="B15" s="415"/>
      <c r="C15" s="413"/>
      <c r="D15" s="415"/>
      <c r="E15" s="415"/>
      <c r="F15" s="414"/>
      <c r="G15" s="562"/>
      <c r="H15" s="562"/>
      <c r="I15" s="414">
        <f>B15*C15*E15*G15*H15</f>
        <v>0</v>
      </c>
    </row>
    <row r="16" spans="1:11" ht="18" customHeight="1" x14ac:dyDescent="0.25">
      <c r="A16" s="415"/>
      <c r="B16" s="415"/>
      <c r="C16" s="413"/>
      <c r="D16" s="415"/>
      <c r="E16" s="415"/>
      <c r="F16" s="414"/>
      <c r="G16" s="415"/>
      <c r="H16" s="415"/>
      <c r="I16" s="414">
        <f>B16*C16*E16*G16*H16</f>
        <v>0</v>
      </c>
    </row>
    <row r="17" spans="1:9" ht="18" customHeight="1" x14ac:dyDescent="0.25">
      <c r="A17" s="1075" t="s">
        <v>450</v>
      </c>
      <c r="B17" s="1075"/>
      <c r="C17" s="1075"/>
      <c r="D17" s="1075"/>
      <c r="E17" s="1075"/>
      <c r="F17" s="1075"/>
      <c r="G17" s="1075"/>
      <c r="H17" s="1075"/>
      <c r="I17" s="416">
        <f>SUM(I12:I16)</f>
        <v>0</v>
      </c>
    </row>
    <row r="18" spans="1:9" ht="41.25" customHeight="1" x14ac:dyDescent="0.25">
      <c r="A18" s="1045" t="s">
        <v>380</v>
      </c>
      <c r="B18" s="1045"/>
      <c r="C18" s="1045"/>
      <c r="D18" s="333" t="s">
        <v>113</v>
      </c>
      <c r="E18" s="333" t="s">
        <v>383</v>
      </c>
      <c r="F18" s="1045" t="s">
        <v>525</v>
      </c>
      <c r="G18" s="1045"/>
      <c r="H18" s="411" t="s">
        <v>518</v>
      </c>
      <c r="I18" s="411" t="s">
        <v>451</v>
      </c>
    </row>
    <row r="19" spans="1:9" ht="18" customHeight="1" x14ac:dyDescent="0.25">
      <c r="A19" s="1074" t="s">
        <v>452</v>
      </c>
      <c r="B19" s="1074"/>
      <c r="C19" s="1074"/>
      <c r="D19" s="1074"/>
      <c r="E19" s="1074"/>
      <c r="F19" s="1074"/>
      <c r="G19" s="1074"/>
      <c r="H19" s="1074"/>
      <c r="I19" s="1074"/>
    </row>
    <row r="20" spans="1:9" ht="18" customHeight="1" x14ac:dyDescent="0.25">
      <c r="A20" s="1076"/>
      <c r="B20" s="1076"/>
      <c r="C20" s="1076"/>
      <c r="D20" s="412"/>
      <c r="E20" s="412"/>
      <c r="F20" s="1130"/>
      <c r="G20" s="1130"/>
      <c r="H20" s="417"/>
      <c r="I20" s="417">
        <f t="shared" ref="I20:I27" si="0">E20*H20</f>
        <v>0</v>
      </c>
    </row>
    <row r="21" spans="1:9" ht="18" customHeight="1" x14ac:dyDescent="0.25">
      <c r="A21" s="1076"/>
      <c r="B21" s="1076"/>
      <c r="C21" s="1076"/>
      <c r="D21" s="412"/>
      <c r="E21" s="412"/>
      <c r="F21" s="1130"/>
      <c r="G21" s="1130"/>
      <c r="H21" s="417"/>
      <c r="I21" s="417">
        <f t="shared" si="0"/>
        <v>0</v>
      </c>
    </row>
    <row r="22" spans="1:9" ht="18" customHeight="1" x14ac:dyDescent="0.25">
      <c r="A22" s="1076"/>
      <c r="B22" s="1076"/>
      <c r="C22" s="1076"/>
      <c r="D22" s="412"/>
      <c r="E22" s="412"/>
      <c r="F22" s="1130"/>
      <c r="G22" s="1130"/>
      <c r="H22" s="417"/>
      <c r="I22" s="417">
        <f t="shared" si="0"/>
        <v>0</v>
      </c>
    </row>
    <row r="23" spans="1:9" ht="18" hidden="1" customHeight="1" x14ac:dyDescent="0.25">
      <c r="A23" s="1076"/>
      <c r="B23" s="1076"/>
      <c r="C23" s="1076"/>
      <c r="D23" s="412"/>
      <c r="E23" s="412"/>
      <c r="F23" s="1130"/>
      <c r="G23" s="1130"/>
      <c r="H23" s="417"/>
      <c r="I23" s="417">
        <f t="shared" si="0"/>
        <v>0</v>
      </c>
    </row>
    <row r="24" spans="1:9" ht="18" hidden="1" customHeight="1" x14ac:dyDescent="0.25">
      <c r="A24" s="1076"/>
      <c r="B24" s="1076"/>
      <c r="C24" s="1076"/>
      <c r="D24" s="412"/>
      <c r="E24" s="412"/>
      <c r="F24" s="1131"/>
      <c r="G24" s="1131"/>
      <c r="H24" s="417"/>
      <c r="I24" s="417">
        <f t="shared" si="0"/>
        <v>0</v>
      </c>
    </row>
    <row r="25" spans="1:9" ht="18" hidden="1" customHeight="1" x14ac:dyDescent="0.25">
      <c r="A25" s="1076"/>
      <c r="B25" s="1076"/>
      <c r="C25" s="1076"/>
      <c r="D25" s="412"/>
      <c r="E25" s="412"/>
      <c r="F25" s="1131"/>
      <c r="G25" s="1131"/>
      <c r="H25" s="417"/>
      <c r="I25" s="417">
        <f t="shared" si="0"/>
        <v>0</v>
      </c>
    </row>
    <row r="26" spans="1:9" ht="18" hidden="1" customHeight="1" x14ac:dyDescent="0.25">
      <c r="A26" s="1076"/>
      <c r="B26" s="1076"/>
      <c r="C26" s="1076"/>
      <c r="D26" s="412"/>
      <c r="E26" s="412"/>
      <c r="F26" s="1131"/>
      <c r="G26" s="1131"/>
      <c r="H26" s="417"/>
      <c r="I26" s="417">
        <f t="shared" si="0"/>
        <v>0</v>
      </c>
    </row>
    <row r="27" spans="1:9" ht="18" hidden="1" customHeight="1" x14ac:dyDescent="0.25">
      <c r="A27" s="1076"/>
      <c r="B27" s="1076"/>
      <c r="C27" s="1076"/>
      <c r="D27" s="412"/>
      <c r="E27" s="412"/>
      <c r="F27" s="1131"/>
      <c r="G27" s="1131"/>
      <c r="H27" s="417"/>
      <c r="I27" s="417">
        <f t="shared" si="0"/>
        <v>0</v>
      </c>
    </row>
    <row r="28" spans="1:9" ht="18" customHeight="1" x14ac:dyDescent="0.25">
      <c r="A28" s="1075" t="s">
        <v>453</v>
      </c>
      <c r="B28" s="1075"/>
      <c r="C28" s="1075"/>
      <c r="D28" s="1075"/>
      <c r="E28" s="1075"/>
      <c r="F28" s="1075"/>
      <c r="G28" s="1075"/>
      <c r="H28" s="1075"/>
      <c r="I28" s="419">
        <f>SUM(I20:I27)</f>
        <v>0</v>
      </c>
    </row>
    <row r="29" spans="1:9" ht="18" customHeight="1" x14ac:dyDescent="0.25">
      <c r="A29" s="1074" t="s">
        <v>454</v>
      </c>
      <c r="B29" s="1074"/>
      <c r="C29" s="1074"/>
      <c r="D29" s="1074"/>
      <c r="E29" s="1074"/>
      <c r="F29" s="1074"/>
      <c r="G29" s="1074"/>
      <c r="H29" s="1074"/>
      <c r="I29" s="1074"/>
    </row>
    <row r="30" spans="1:9" ht="18" customHeight="1" x14ac:dyDescent="0.25">
      <c r="A30" s="1076"/>
      <c r="B30" s="1076"/>
      <c r="C30" s="1076"/>
      <c r="D30" s="412"/>
      <c r="E30" s="412"/>
      <c r="F30" s="1130"/>
      <c r="G30" s="1130"/>
      <c r="H30" s="417"/>
      <c r="I30" s="417">
        <f>E30*H30</f>
        <v>0</v>
      </c>
    </row>
    <row r="31" spans="1:9" ht="18" customHeight="1" x14ac:dyDescent="0.25">
      <c r="A31" s="1076"/>
      <c r="B31" s="1076"/>
      <c r="C31" s="1076"/>
      <c r="D31" s="412"/>
      <c r="E31" s="412"/>
      <c r="F31" s="1130"/>
      <c r="G31" s="1130"/>
      <c r="H31" s="417"/>
      <c r="I31" s="417">
        <f>E31*H31</f>
        <v>0</v>
      </c>
    </row>
    <row r="32" spans="1:9" ht="18" customHeight="1" x14ac:dyDescent="0.25">
      <c r="A32" s="1076"/>
      <c r="B32" s="1076"/>
      <c r="C32" s="1076"/>
      <c r="D32" s="412"/>
      <c r="E32" s="412"/>
      <c r="F32" s="1130"/>
      <c r="G32" s="1130"/>
      <c r="H32" s="417"/>
      <c r="I32" s="417">
        <f>E32*H32</f>
        <v>0</v>
      </c>
    </row>
    <row r="33" spans="1:9" ht="18" customHeight="1" x14ac:dyDescent="0.25">
      <c r="A33" s="1076"/>
      <c r="B33" s="1076"/>
      <c r="C33" s="1076"/>
      <c r="D33" s="412"/>
      <c r="E33" s="412"/>
      <c r="F33" s="1130"/>
      <c r="G33" s="1130"/>
      <c r="H33" s="417"/>
      <c r="I33" s="417">
        <f>E33*H33</f>
        <v>0</v>
      </c>
    </row>
    <row r="34" spans="1:9" ht="18" customHeight="1" x14ac:dyDescent="0.25">
      <c r="A34" s="1075" t="s">
        <v>455</v>
      </c>
      <c r="B34" s="1075"/>
      <c r="C34" s="1075"/>
      <c r="D34" s="1075"/>
      <c r="E34" s="1075"/>
      <c r="F34" s="1075"/>
      <c r="G34" s="1075"/>
      <c r="H34" s="1075"/>
      <c r="I34" s="419">
        <f>SUM(I30:I33)</f>
        <v>0</v>
      </c>
    </row>
    <row r="35" spans="1:9" ht="18" customHeight="1" x14ac:dyDescent="0.25">
      <c r="A35" s="1074" t="s">
        <v>456</v>
      </c>
      <c r="B35" s="1074"/>
      <c r="C35" s="1074"/>
      <c r="D35" s="1074"/>
      <c r="E35" s="1074"/>
      <c r="F35" s="1074"/>
      <c r="G35" s="1074"/>
      <c r="H35" s="1074"/>
      <c r="I35" s="1074"/>
    </row>
    <row r="36" spans="1:9" ht="18" customHeight="1" x14ac:dyDescent="0.25">
      <c r="A36" s="1076"/>
      <c r="B36" s="1076"/>
      <c r="C36" s="1076"/>
      <c r="D36" s="314"/>
      <c r="E36" s="314"/>
      <c r="F36" s="1130"/>
      <c r="G36" s="1130"/>
      <c r="H36" s="417"/>
      <c r="I36" s="417">
        <f>E36*H36</f>
        <v>0</v>
      </c>
    </row>
    <row r="37" spans="1:9" ht="18" customHeight="1" x14ac:dyDescent="0.25">
      <c r="A37" s="1076"/>
      <c r="B37" s="1076"/>
      <c r="C37" s="1076"/>
      <c r="D37" s="314"/>
      <c r="E37" s="314"/>
      <c r="F37" s="1130"/>
      <c r="G37" s="1130"/>
      <c r="H37" s="417"/>
      <c r="I37" s="417">
        <f>E37*H37</f>
        <v>0</v>
      </c>
    </row>
    <row r="38" spans="1:9" ht="18" customHeight="1" x14ac:dyDescent="0.25">
      <c r="A38" s="1076"/>
      <c r="B38" s="1076"/>
      <c r="C38" s="1076"/>
      <c r="D38" s="314"/>
      <c r="E38" s="314"/>
      <c r="F38" s="1130"/>
      <c r="G38" s="1130"/>
      <c r="H38" s="417"/>
      <c r="I38" s="417">
        <f>E38*H38</f>
        <v>0</v>
      </c>
    </row>
    <row r="39" spans="1:9" ht="18" customHeight="1" x14ac:dyDescent="0.25">
      <c r="A39" s="1076"/>
      <c r="B39" s="1076"/>
      <c r="C39" s="1076"/>
      <c r="D39" s="314"/>
      <c r="E39" s="314"/>
      <c r="F39" s="1130"/>
      <c r="G39" s="1130"/>
      <c r="H39" s="417"/>
      <c r="I39" s="417">
        <f>E39*H39</f>
        <v>0</v>
      </c>
    </row>
    <row r="40" spans="1:9" ht="18" customHeight="1" x14ac:dyDescent="0.25">
      <c r="A40" s="1075" t="s">
        <v>457</v>
      </c>
      <c r="B40" s="1075"/>
      <c r="C40" s="1075"/>
      <c r="D40" s="1075"/>
      <c r="E40" s="1075"/>
      <c r="F40" s="1075"/>
      <c r="G40" s="1075"/>
      <c r="H40" s="1075"/>
      <c r="I40" s="419">
        <f>SUM(I36:I39)</f>
        <v>0</v>
      </c>
    </row>
    <row r="41" spans="1:9" ht="18" customHeight="1" x14ac:dyDescent="0.25">
      <c r="A41" s="1132"/>
      <c r="B41" s="1132"/>
      <c r="C41" s="1132"/>
      <c r="D41" s="1132"/>
      <c r="E41" s="1132"/>
      <c r="F41" s="1132"/>
      <c r="G41" s="1132"/>
      <c r="H41" s="1132"/>
      <c r="I41" s="1132"/>
    </row>
    <row r="42" spans="1:9" ht="18" customHeight="1" x14ac:dyDescent="0.25">
      <c r="A42" s="1133" t="s">
        <v>395</v>
      </c>
      <c r="B42" s="1133"/>
      <c r="C42" s="1133"/>
      <c r="D42" s="1133"/>
      <c r="E42" s="1133"/>
      <c r="F42" s="1133"/>
      <c r="G42" s="1133"/>
      <c r="H42" s="1133"/>
      <c r="I42" s="563">
        <f>I17+I28+I34+I40</f>
        <v>0</v>
      </c>
    </row>
    <row r="43" spans="1:9" ht="18" customHeight="1" x14ac:dyDescent="0.25">
      <c r="A43" s="1133" t="s">
        <v>396</v>
      </c>
      <c r="B43" s="1133"/>
      <c r="C43" s="1133"/>
      <c r="D43" s="1133"/>
      <c r="E43" s="1133"/>
      <c r="F43" s="1133"/>
      <c r="G43" s="1133"/>
      <c r="H43" s="424"/>
      <c r="I43" s="564">
        <f>I42*H43</f>
        <v>0</v>
      </c>
    </row>
    <row r="44" spans="1:9" ht="18" customHeight="1" x14ac:dyDescent="0.25">
      <c r="A44" s="1133" t="s">
        <v>398</v>
      </c>
      <c r="B44" s="1133"/>
      <c r="C44" s="1133"/>
      <c r="D44" s="1133"/>
      <c r="E44" s="1133"/>
      <c r="F44" s="1133"/>
      <c r="G44" s="1133"/>
      <c r="H44" s="424"/>
      <c r="I44" s="564">
        <f>I42*H44</f>
        <v>0</v>
      </c>
    </row>
    <row r="45" spans="1:9" ht="18" customHeight="1" x14ac:dyDescent="0.25">
      <c r="A45" s="1133" t="s">
        <v>399</v>
      </c>
      <c r="B45" s="1133"/>
      <c r="C45" s="1133"/>
      <c r="D45" s="1133"/>
      <c r="E45" s="1133"/>
      <c r="F45" s="1133"/>
      <c r="G45" s="1133"/>
      <c r="H45" s="424"/>
      <c r="I45" s="564">
        <f>I44*H45</f>
        <v>0</v>
      </c>
    </row>
    <row r="46" spans="1:9" ht="18" customHeight="1" x14ac:dyDescent="0.25">
      <c r="A46" s="1134" t="s">
        <v>401</v>
      </c>
      <c r="B46" s="1134"/>
      <c r="C46" s="1134"/>
      <c r="D46" s="1134"/>
      <c r="E46" s="1134"/>
      <c r="F46" s="1134"/>
      <c r="G46" s="1134"/>
      <c r="H46" s="1134"/>
      <c r="I46" s="565">
        <f>SUM(I42:I45)</f>
        <v>0</v>
      </c>
    </row>
    <row r="48" spans="1:9" ht="116.25" customHeight="1" x14ac:dyDescent="0.25">
      <c r="A48" s="1127" t="s">
        <v>522</v>
      </c>
      <c r="B48" s="1127"/>
      <c r="C48" s="1127"/>
      <c r="D48" s="1127"/>
      <c r="E48" s="1127"/>
      <c r="F48" s="1127"/>
      <c r="G48" s="1127"/>
      <c r="H48" s="1127"/>
      <c r="I48" s="1127"/>
    </row>
    <row r="49" spans="1:9" ht="26.25" customHeight="1" x14ac:dyDescent="0.25">
      <c r="A49" s="558"/>
      <c r="B49" s="558"/>
      <c r="C49" s="558"/>
      <c r="D49" s="559"/>
      <c r="E49" s="558"/>
      <c r="F49" s="544"/>
    </row>
    <row r="50" spans="1:9" ht="18" customHeight="1" x14ac:dyDescent="0.25">
      <c r="A50" s="1135" t="s">
        <v>523</v>
      </c>
      <c r="B50" s="1135"/>
      <c r="C50" s="1135"/>
      <c r="D50" s="1135"/>
      <c r="E50" s="1135"/>
      <c r="F50" s="1135"/>
      <c r="G50" s="1135"/>
      <c r="H50" s="1135"/>
      <c r="I50" s="1135"/>
    </row>
  </sheetData>
  <sheetProtection algorithmName="SHA-512" hashValue="lIwvyMh9oqIDRRi9uA2WScQuETjJ4sz/xn/bAOTGI+YzEw50MaijAKnxIYEEs+vGMX12R+x2KrBBF03Fm+WNOw==" saltValue="IbEK80UfL5uBZBVNkK58yg==" spinCount="100000" sheet="1" formatCells="0" formatColumns="0" formatRows="0" insertRows="0" autoFilter="0" pivotTables="0"/>
  <mergeCells count="59">
    <mergeCell ref="A46:H46"/>
    <mergeCell ref="A48:I48"/>
    <mergeCell ref="A50:I50"/>
    <mergeCell ref="A41:I41"/>
    <mergeCell ref="A42:H42"/>
    <mergeCell ref="A43:G43"/>
    <mergeCell ref="A44:G44"/>
    <mergeCell ref="A45:G45"/>
    <mergeCell ref="A38:C38"/>
    <mergeCell ref="F38:G38"/>
    <mergeCell ref="A39:C39"/>
    <mergeCell ref="F39:G39"/>
    <mergeCell ref="A40:H40"/>
    <mergeCell ref="A34:H34"/>
    <mergeCell ref="A35:I35"/>
    <mergeCell ref="A36:C36"/>
    <mergeCell ref="F36:G36"/>
    <mergeCell ref="A37:C37"/>
    <mergeCell ref="F37:G37"/>
    <mergeCell ref="A31:C31"/>
    <mergeCell ref="F31:G31"/>
    <mergeCell ref="A32:C32"/>
    <mergeCell ref="F32:G32"/>
    <mergeCell ref="A33:C33"/>
    <mergeCell ref="F33:G33"/>
    <mergeCell ref="A27:C27"/>
    <mergeCell ref="F27:G27"/>
    <mergeCell ref="A28:H28"/>
    <mergeCell ref="A29:I29"/>
    <mergeCell ref="A30:C30"/>
    <mergeCell ref="F30:G30"/>
    <mergeCell ref="A24:C24"/>
    <mergeCell ref="F24:G24"/>
    <mergeCell ref="A25:C25"/>
    <mergeCell ref="F25:G25"/>
    <mergeCell ref="A26:C26"/>
    <mergeCell ref="F26:G26"/>
    <mergeCell ref="A21:C21"/>
    <mergeCell ref="F21:G21"/>
    <mergeCell ref="A22:C22"/>
    <mergeCell ref="F22:G22"/>
    <mergeCell ref="A23:C23"/>
    <mergeCell ref="F23:G23"/>
    <mergeCell ref="A18:C18"/>
    <mergeCell ref="F18:G18"/>
    <mergeCell ref="A19:I19"/>
    <mergeCell ref="A20:C20"/>
    <mergeCell ref="F20:G20"/>
    <mergeCell ref="A7:D7"/>
    <mergeCell ref="E7:I7"/>
    <mergeCell ref="A9:I9"/>
    <mergeCell ref="A11:I11"/>
    <mergeCell ref="A17:H17"/>
    <mergeCell ref="E1:H1"/>
    <mergeCell ref="E2:H2"/>
    <mergeCell ref="A5:D5"/>
    <mergeCell ref="E5:I5"/>
    <mergeCell ref="A6:D6"/>
    <mergeCell ref="E6:I6"/>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77"/>
  <sheetViews>
    <sheetView showGridLines="0" zoomScaleNormal="100" workbookViewId="0">
      <selection activeCell="J9" sqref="J9"/>
    </sheetView>
  </sheetViews>
  <sheetFormatPr baseColWidth="10" defaultColWidth="11.33203125" defaultRowHeight="18" customHeight="1" x14ac:dyDescent="0.25"/>
  <cols>
    <col min="1" max="1" width="22.6640625" style="375" customWidth="1"/>
    <col min="2" max="2" width="11.77734375" style="375" customWidth="1"/>
    <col min="3" max="3" width="14.109375" style="375" customWidth="1"/>
    <col min="4" max="4" width="18.77734375" style="375" customWidth="1"/>
    <col min="5" max="5" width="18.77734375" style="376" customWidth="1"/>
    <col min="6" max="9" width="18.77734375" style="140" customWidth="1"/>
    <col min="10" max="10" width="27.33203125" style="140" customWidth="1"/>
    <col min="11" max="11" width="16.109375" style="140" customWidth="1"/>
    <col min="12" max="12" width="14.77734375" style="140" customWidth="1"/>
    <col min="13" max="13" width="11.33203125" style="140"/>
    <col min="14" max="14" width="11.33203125" style="566"/>
    <col min="15" max="16384" width="11.33203125" style="140"/>
  </cols>
  <sheetData>
    <row r="1" spans="1:14" s="15" customFormat="1" ht="39" customHeight="1" x14ac:dyDescent="0.25">
      <c r="E1" s="1129" t="str">
        <f>Instructivo!F1</f>
        <v>Sistema de Gestión Integral (SGI)
Instructivo - Componente Financiero EP
Código: F-PGC-21. Versión: 05</v>
      </c>
      <c r="F1" s="1129"/>
      <c r="G1" s="1129"/>
      <c r="H1" s="1129"/>
      <c r="J1" s="132" t="s">
        <v>102</v>
      </c>
    </row>
    <row r="2" spans="1:14" s="15" customFormat="1" ht="18" customHeight="1" x14ac:dyDescent="0.25">
      <c r="E2" s="1086" t="s">
        <v>526</v>
      </c>
      <c r="F2" s="1086"/>
      <c r="G2" s="1086"/>
      <c r="H2" s="1086"/>
      <c r="I2" s="441"/>
      <c r="J2" s="546" t="s">
        <v>29</v>
      </c>
      <c r="K2" s="378"/>
    </row>
    <row r="3" spans="1:14" ht="9" customHeight="1" x14ac:dyDescent="0.25">
      <c r="A3" s="135"/>
      <c r="B3" s="135"/>
      <c r="C3" s="135"/>
      <c r="D3" s="135"/>
      <c r="E3" s="135"/>
    </row>
    <row r="4" spans="1:14" s="136" customFormat="1" ht="18" customHeight="1" x14ac:dyDescent="0.25">
      <c r="A4" s="1071" t="s">
        <v>515</v>
      </c>
      <c r="B4" s="1071"/>
      <c r="C4" s="1071"/>
      <c r="D4" s="1071"/>
      <c r="E4" s="11"/>
      <c r="F4" s="11"/>
      <c r="G4" s="11"/>
      <c r="H4" s="11"/>
      <c r="I4" s="11"/>
      <c r="N4" s="567"/>
    </row>
    <row r="5" spans="1:14" s="136" customFormat="1" ht="18" customHeight="1" x14ac:dyDescent="0.25">
      <c r="A5" s="1071" t="s">
        <v>104</v>
      </c>
      <c r="B5" s="1071"/>
      <c r="C5" s="1071"/>
      <c r="D5" s="1071"/>
      <c r="E5" s="1011">
        <f>'Plan Ejecución'!AE4</f>
        <v>0</v>
      </c>
      <c r="F5" s="1011"/>
      <c r="G5" s="1011"/>
      <c r="H5" s="1011"/>
      <c r="I5" s="1011"/>
      <c r="N5" s="567"/>
    </row>
    <row r="6" spans="1:14" ht="39" customHeight="1" x14ac:dyDescent="0.25">
      <c r="A6" s="1071" t="s">
        <v>105</v>
      </c>
      <c r="B6" s="1071"/>
      <c r="C6" s="1071"/>
      <c r="D6" s="1071"/>
      <c r="E6" s="1011">
        <f>'Plan Ejecución'!AE5</f>
        <v>0</v>
      </c>
      <c r="F6" s="1011"/>
      <c r="G6" s="1011"/>
      <c r="H6" s="1011"/>
      <c r="I6" s="1011"/>
    </row>
    <row r="7" spans="1:14" ht="9" customHeight="1" x14ac:dyDescent="0.25">
      <c r="A7" s="406"/>
      <c r="B7" s="407"/>
      <c r="C7" s="407"/>
      <c r="D7" s="407"/>
      <c r="E7" s="407"/>
      <c r="F7" s="407"/>
      <c r="G7" s="442"/>
      <c r="H7" s="442"/>
      <c r="I7" s="408"/>
    </row>
    <row r="8" spans="1:14" ht="18" customHeight="1" x14ac:dyDescent="0.25">
      <c r="A8" s="1124" t="s">
        <v>516</v>
      </c>
      <c r="B8" s="1124"/>
      <c r="C8" s="1124"/>
      <c r="D8" s="1124"/>
      <c r="E8" s="1124"/>
      <c r="F8" s="1124"/>
      <c r="G8" s="1124"/>
      <c r="H8" s="1124"/>
      <c r="I8" s="1124"/>
    </row>
    <row r="9" spans="1:14" ht="18" customHeight="1" x14ac:dyDescent="0.25">
      <c r="A9" s="1136" t="s">
        <v>463</v>
      </c>
      <c r="B9" s="1136"/>
      <c r="C9" s="1136"/>
      <c r="D9" s="1136"/>
      <c r="E9" s="1136"/>
      <c r="F9" s="1136"/>
      <c r="G9" s="1136"/>
      <c r="H9" s="1136"/>
      <c r="I9" s="1136"/>
    </row>
    <row r="10" spans="1:14" ht="53.25" customHeight="1" x14ac:dyDescent="0.25">
      <c r="A10" s="308" t="s">
        <v>380</v>
      </c>
      <c r="B10" s="308" t="s">
        <v>381</v>
      </c>
      <c r="C10" s="308" t="s">
        <v>382</v>
      </c>
      <c r="D10" s="308" t="s">
        <v>113</v>
      </c>
      <c r="E10" s="308" t="s">
        <v>383</v>
      </c>
      <c r="F10" s="410" t="s">
        <v>517</v>
      </c>
      <c r="G10" s="308" t="s">
        <v>415</v>
      </c>
      <c r="H10" s="411" t="s">
        <v>518</v>
      </c>
      <c r="I10" s="411" t="s">
        <v>451</v>
      </c>
    </row>
    <row r="11" spans="1:14" ht="18" customHeight="1" x14ac:dyDescent="0.25">
      <c r="A11" s="1074" t="s">
        <v>378</v>
      </c>
      <c r="B11" s="1074"/>
      <c r="C11" s="1074"/>
      <c r="D11" s="1074"/>
      <c r="E11" s="1074"/>
      <c r="F11" s="1074"/>
      <c r="G11" s="1074"/>
      <c r="H11" s="1074"/>
      <c r="I11" s="1074"/>
    </row>
    <row r="12" spans="1:14" ht="24" customHeight="1" x14ac:dyDescent="0.25">
      <c r="A12" s="412"/>
      <c r="B12" s="412"/>
      <c r="C12" s="413"/>
      <c r="D12" s="412"/>
      <c r="E12" s="412"/>
      <c r="F12" s="414"/>
      <c r="G12" s="561"/>
      <c r="H12" s="418"/>
      <c r="I12" s="418">
        <f>B12*C12*E12*F12*G12*H12</f>
        <v>0</v>
      </c>
      <c r="K12" s="447"/>
      <c r="L12" s="447"/>
    </row>
    <row r="13" spans="1:14" ht="18" customHeight="1" x14ac:dyDescent="0.25">
      <c r="A13" s="412"/>
      <c r="B13" s="412"/>
      <c r="C13" s="413"/>
      <c r="D13" s="412"/>
      <c r="E13" s="412"/>
      <c r="F13" s="414"/>
      <c r="G13" s="561"/>
      <c r="H13" s="418"/>
      <c r="I13" s="418">
        <f>B13*C13*E13*F13*G13*H13</f>
        <v>0</v>
      </c>
    </row>
    <row r="14" spans="1:14" ht="18" customHeight="1" x14ac:dyDescent="0.25">
      <c r="A14" s="415"/>
      <c r="B14" s="415"/>
      <c r="C14" s="413"/>
      <c r="D14" s="415"/>
      <c r="E14" s="415"/>
      <c r="F14" s="414"/>
      <c r="G14" s="562"/>
      <c r="H14" s="418"/>
      <c r="I14" s="418">
        <f>B14*C14*E14*F14*G14*H14</f>
        <v>0</v>
      </c>
    </row>
    <row r="15" spans="1:14" ht="18" customHeight="1" x14ac:dyDescent="0.25">
      <c r="A15" s="415"/>
      <c r="B15" s="415"/>
      <c r="C15" s="413"/>
      <c r="D15" s="415"/>
      <c r="E15" s="415"/>
      <c r="F15" s="414"/>
      <c r="G15" s="562"/>
      <c r="H15" s="418"/>
      <c r="I15" s="418">
        <f>B15*C15*E15*F15*G15*H15</f>
        <v>0</v>
      </c>
    </row>
    <row r="16" spans="1:14" ht="18" customHeight="1" x14ac:dyDescent="0.25">
      <c r="A16" s="415"/>
      <c r="B16" s="415"/>
      <c r="C16" s="413"/>
      <c r="D16" s="415"/>
      <c r="E16" s="415"/>
      <c r="F16" s="414"/>
      <c r="G16" s="415"/>
      <c r="H16" s="418"/>
      <c r="I16" s="418">
        <f>B16*C16*E16*F16*G16*H16</f>
        <v>0</v>
      </c>
    </row>
    <row r="17" spans="1:9" ht="18" customHeight="1" x14ac:dyDescent="0.25">
      <c r="A17" s="1075" t="s">
        <v>450</v>
      </c>
      <c r="B17" s="1075"/>
      <c r="C17" s="1075"/>
      <c r="D17" s="1075"/>
      <c r="E17" s="1075"/>
      <c r="F17" s="1075"/>
      <c r="G17" s="1075"/>
      <c r="H17" s="1075"/>
      <c r="I17" s="416">
        <f>SUM(I12:I16)</f>
        <v>0</v>
      </c>
    </row>
    <row r="18" spans="1:9" ht="37.5" customHeight="1" x14ac:dyDescent="0.25">
      <c r="A18" s="1045" t="s">
        <v>380</v>
      </c>
      <c r="B18" s="1045"/>
      <c r="C18" s="1045"/>
      <c r="D18" s="333" t="s">
        <v>113</v>
      </c>
      <c r="E18" s="333" t="s">
        <v>383</v>
      </c>
      <c r="F18" s="1045" t="s">
        <v>517</v>
      </c>
      <c r="G18" s="1045"/>
      <c r="H18" s="411" t="s">
        <v>518</v>
      </c>
      <c r="I18" s="411" t="s">
        <v>451</v>
      </c>
    </row>
    <row r="19" spans="1:9" ht="18" customHeight="1" x14ac:dyDescent="0.25">
      <c r="A19" s="1074" t="s">
        <v>464</v>
      </c>
      <c r="B19" s="1074"/>
      <c r="C19" s="1074"/>
      <c r="D19" s="1074"/>
      <c r="E19" s="1074"/>
      <c r="F19" s="1074"/>
      <c r="G19" s="1074"/>
      <c r="H19" s="1074"/>
      <c r="I19" s="1074"/>
    </row>
    <row r="20" spans="1:9" ht="18" customHeight="1" x14ac:dyDescent="0.25">
      <c r="A20" s="1076"/>
      <c r="B20" s="1076"/>
      <c r="C20" s="1076"/>
      <c r="D20" s="314"/>
      <c r="E20" s="314"/>
      <c r="F20" s="1130"/>
      <c r="G20" s="1130"/>
      <c r="H20" s="414"/>
      <c r="I20" s="414">
        <f t="shared" ref="I20:I25" si="0">E20*H20</f>
        <v>0</v>
      </c>
    </row>
    <row r="21" spans="1:9" ht="18" customHeight="1" x14ac:dyDescent="0.25">
      <c r="A21" s="1076"/>
      <c r="B21" s="1076"/>
      <c r="C21" s="1076"/>
      <c r="D21" s="314"/>
      <c r="E21" s="314"/>
      <c r="F21" s="1130"/>
      <c r="G21" s="1130"/>
      <c r="H21" s="414"/>
      <c r="I21" s="414">
        <f t="shared" si="0"/>
        <v>0</v>
      </c>
    </row>
    <row r="22" spans="1:9" ht="18" customHeight="1" x14ac:dyDescent="0.25">
      <c r="A22" s="1076"/>
      <c r="B22" s="1076"/>
      <c r="C22" s="1076"/>
      <c r="D22" s="314"/>
      <c r="E22" s="314"/>
      <c r="F22" s="1130"/>
      <c r="G22" s="1130"/>
      <c r="H22" s="414"/>
      <c r="I22" s="414">
        <f t="shared" si="0"/>
        <v>0</v>
      </c>
    </row>
    <row r="23" spans="1:9" ht="18" customHeight="1" x14ac:dyDescent="0.25">
      <c r="A23" s="1076"/>
      <c r="B23" s="1076"/>
      <c r="C23" s="1076"/>
      <c r="D23" s="314"/>
      <c r="E23" s="314"/>
      <c r="F23" s="1130"/>
      <c r="G23" s="1130"/>
      <c r="H23" s="414"/>
      <c r="I23" s="414">
        <f t="shared" si="0"/>
        <v>0</v>
      </c>
    </row>
    <row r="24" spans="1:9" ht="18" customHeight="1" x14ac:dyDescent="0.25">
      <c r="A24" s="1076"/>
      <c r="B24" s="1076"/>
      <c r="C24" s="1076"/>
      <c r="D24" s="314"/>
      <c r="E24" s="314"/>
      <c r="F24" s="1130"/>
      <c r="G24" s="1130"/>
      <c r="H24" s="414"/>
      <c r="I24" s="414">
        <f t="shared" si="0"/>
        <v>0</v>
      </c>
    </row>
    <row r="25" spans="1:9" ht="18" customHeight="1" x14ac:dyDescent="0.25">
      <c r="A25" s="1076"/>
      <c r="B25" s="1076"/>
      <c r="C25" s="1076"/>
      <c r="D25" s="314"/>
      <c r="E25" s="314"/>
      <c r="F25" s="1130"/>
      <c r="G25" s="1130"/>
      <c r="H25" s="414"/>
      <c r="I25" s="414">
        <f t="shared" si="0"/>
        <v>0</v>
      </c>
    </row>
    <row r="26" spans="1:9" ht="18" customHeight="1" x14ac:dyDescent="0.25">
      <c r="A26" s="1075" t="s">
        <v>457</v>
      </c>
      <c r="B26" s="1075"/>
      <c r="C26" s="1075"/>
      <c r="D26" s="1075"/>
      <c r="E26" s="1075"/>
      <c r="F26" s="1075"/>
      <c r="G26" s="1075"/>
      <c r="H26" s="1075"/>
      <c r="I26" s="416">
        <f>SUM(I20:I25)</f>
        <v>0</v>
      </c>
    </row>
    <row r="27" spans="1:9" ht="18" customHeight="1" x14ac:dyDescent="0.25">
      <c r="A27" s="1137" t="s">
        <v>527</v>
      </c>
      <c r="B27" s="1137"/>
      <c r="C27" s="1137"/>
      <c r="D27" s="1137"/>
      <c r="E27" s="1137"/>
      <c r="F27" s="1137"/>
      <c r="G27" s="1137"/>
      <c r="H27" s="1137"/>
      <c r="I27" s="453">
        <f>I17+I26</f>
        <v>0</v>
      </c>
    </row>
    <row r="28" spans="1:9" ht="18" customHeight="1" x14ac:dyDescent="0.25">
      <c r="A28" s="1077"/>
      <c r="B28" s="1077"/>
      <c r="C28" s="1077"/>
      <c r="D28" s="1077"/>
      <c r="E28" s="1077"/>
      <c r="F28" s="1077"/>
      <c r="G28" s="1077"/>
      <c r="H28" s="1077"/>
      <c r="I28" s="1077"/>
    </row>
    <row r="29" spans="1:9" ht="18" customHeight="1" x14ac:dyDescent="0.25">
      <c r="A29" s="1136" t="s">
        <v>470</v>
      </c>
      <c r="B29" s="1136"/>
      <c r="C29" s="1136"/>
      <c r="D29" s="1136"/>
      <c r="E29" s="1136"/>
      <c r="F29" s="1136"/>
      <c r="G29" s="1136"/>
      <c r="H29" s="1136"/>
      <c r="I29" s="1136"/>
    </row>
    <row r="30" spans="1:9" ht="54.75" customHeight="1" x14ac:dyDescent="0.25">
      <c r="A30" s="308" t="s">
        <v>380</v>
      </c>
      <c r="B30" s="308" t="s">
        <v>381</v>
      </c>
      <c r="C30" s="308" t="s">
        <v>382</v>
      </c>
      <c r="D30" s="308" t="s">
        <v>113</v>
      </c>
      <c r="E30" s="308" t="s">
        <v>383</v>
      </c>
      <c r="F30" s="410" t="s">
        <v>517</v>
      </c>
      <c r="G30" s="308" t="s">
        <v>415</v>
      </c>
      <c r="H30" s="411" t="s">
        <v>518</v>
      </c>
      <c r="I30" s="411" t="s">
        <v>451</v>
      </c>
    </row>
    <row r="31" spans="1:9" ht="18" customHeight="1" x14ac:dyDescent="0.25">
      <c r="A31" s="1074" t="s">
        <v>378</v>
      </c>
      <c r="B31" s="1074"/>
      <c r="C31" s="1074"/>
      <c r="D31" s="1074"/>
      <c r="E31" s="1074"/>
      <c r="F31" s="1074"/>
      <c r="G31" s="1074"/>
      <c r="H31" s="1074"/>
      <c r="I31" s="1074"/>
    </row>
    <row r="32" spans="1:9" ht="24.75" customHeight="1" x14ac:dyDescent="0.25">
      <c r="A32" s="412"/>
      <c r="B32" s="412"/>
      <c r="C32" s="413"/>
      <c r="D32" s="412"/>
      <c r="E32" s="412"/>
      <c r="F32" s="414"/>
      <c r="G32" s="561"/>
      <c r="H32" s="561"/>
      <c r="I32" s="414">
        <f>B32*C32*E32*G32*H32</f>
        <v>0</v>
      </c>
    </row>
    <row r="33" spans="1:9" ht="18" customHeight="1" x14ac:dyDescent="0.25">
      <c r="A33" s="412"/>
      <c r="B33" s="412"/>
      <c r="C33" s="413"/>
      <c r="D33" s="412"/>
      <c r="E33" s="412"/>
      <c r="F33" s="414"/>
      <c r="G33" s="561"/>
      <c r="H33" s="561"/>
      <c r="I33" s="414">
        <f>B33*C33*E33*G33*H33</f>
        <v>0</v>
      </c>
    </row>
    <row r="34" spans="1:9" ht="18" customHeight="1" x14ac:dyDescent="0.25">
      <c r="A34" s="415"/>
      <c r="B34" s="415"/>
      <c r="C34" s="413"/>
      <c r="D34" s="415"/>
      <c r="E34" s="415"/>
      <c r="F34" s="414"/>
      <c r="G34" s="562"/>
      <c r="H34" s="562"/>
      <c r="I34" s="414">
        <f>B34*C34*E34*G34*H34</f>
        <v>0</v>
      </c>
    </row>
    <row r="35" spans="1:9" ht="22.5" customHeight="1" x14ac:dyDescent="0.25">
      <c r="A35" s="415"/>
      <c r="B35" s="415"/>
      <c r="C35" s="413"/>
      <c r="D35" s="415"/>
      <c r="E35" s="415"/>
      <c r="F35" s="414"/>
      <c r="G35" s="562"/>
      <c r="H35" s="562"/>
      <c r="I35" s="414">
        <f>B35*C35*E35*G35*H35</f>
        <v>0</v>
      </c>
    </row>
    <row r="36" spans="1:9" ht="21" customHeight="1" x14ac:dyDescent="0.25">
      <c r="A36" s="415"/>
      <c r="B36" s="415"/>
      <c r="C36" s="413"/>
      <c r="D36" s="415"/>
      <c r="E36" s="415"/>
      <c r="F36" s="414"/>
      <c r="G36" s="415"/>
      <c r="H36" s="415"/>
      <c r="I36" s="414">
        <f>B36*C36*E36*G36*H36</f>
        <v>0</v>
      </c>
    </row>
    <row r="37" spans="1:9" ht="18" customHeight="1" x14ac:dyDescent="0.25">
      <c r="A37" s="1075" t="s">
        <v>450</v>
      </c>
      <c r="B37" s="1075"/>
      <c r="C37" s="1075"/>
      <c r="D37" s="1075"/>
      <c r="E37" s="1075"/>
      <c r="F37" s="1075"/>
      <c r="G37" s="1075"/>
      <c r="H37" s="1075"/>
      <c r="I37" s="416">
        <f>SUM(I32:I36)</f>
        <v>0</v>
      </c>
    </row>
    <row r="38" spans="1:9" ht="39" customHeight="1" x14ac:dyDescent="0.25">
      <c r="A38" s="1045" t="s">
        <v>380</v>
      </c>
      <c r="B38" s="1045"/>
      <c r="C38" s="1045"/>
      <c r="D38" s="333" t="s">
        <v>113</v>
      </c>
      <c r="E38" s="333" t="s">
        <v>383</v>
      </c>
      <c r="F38" s="1045" t="s">
        <v>517</v>
      </c>
      <c r="G38" s="1045"/>
      <c r="H38" s="411" t="s">
        <v>518</v>
      </c>
      <c r="I38" s="411" t="s">
        <v>451</v>
      </c>
    </row>
    <row r="39" spans="1:9" ht="18" customHeight="1" x14ac:dyDescent="0.25">
      <c r="A39" s="1074" t="s">
        <v>464</v>
      </c>
      <c r="B39" s="1074"/>
      <c r="C39" s="1074"/>
      <c r="D39" s="1074"/>
      <c r="E39" s="1074"/>
      <c r="F39" s="1074"/>
      <c r="G39" s="1074"/>
      <c r="H39" s="1074"/>
      <c r="I39" s="1074"/>
    </row>
    <row r="40" spans="1:9" ht="18" customHeight="1" x14ac:dyDescent="0.25">
      <c r="A40" s="1076"/>
      <c r="B40" s="1076"/>
      <c r="C40" s="1076"/>
      <c r="D40" s="314"/>
      <c r="E40" s="314"/>
      <c r="F40" s="1130"/>
      <c r="G40" s="1130"/>
      <c r="H40" s="414"/>
      <c r="I40" s="414">
        <f t="shared" ref="I40:I45" si="1">E40*H40</f>
        <v>0</v>
      </c>
    </row>
    <row r="41" spans="1:9" ht="18" customHeight="1" x14ac:dyDescent="0.25">
      <c r="A41" s="1076"/>
      <c r="B41" s="1076"/>
      <c r="C41" s="1076"/>
      <c r="D41" s="314"/>
      <c r="E41" s="314"/>
      <c r="F41" s="1130"/>
      <c r="G41" s="1130"/>
      <c r="H41" s="414"/>
      <c r="I41" s="414">
        <f t="shared" si="1"/>
        <v>0</v>
      </c>
    </row>
    <row r="42" spans="1:9" ht="18" customHeight="1" x14ac:dyDescent="0.25">
      <c r="A42" s="1076"/>
      <c r="B42" s="1076"/>
      <c r="C42" s="1076"/>
      <c r="D42" s="314"/>
      <c r="E42" s="314"/>
      <c r="F42" s="1130"/>
      <c r="G42" s="1130"/>
      <c r="H42" s="414"/>
      <c r="I42" s="414">
        <f t="shared" si="1"/>
        <v>0</v>
      </c>
    </row>
    <row r="43" spans="1:9" ht="18" customHeight="1" x14ac:dyDescent="0.25">
      <c r="A43" s="1076"/>
      <c r="B43" s="1076"/>
      <c r="C43" s="1076"/>
      <c r="D43" s="314"/>
      <c r="E43" s="314"/>
      <c r="F43" s="1130"/>
      <c r="G43" s="1130"/>
      <c r="H43" s="414"/>
      <c r="I43" s="414">
        <f t="shared" si="1"/>
        <v>0</v>
      </c>
    </row>
    <row r="44" spans="1:9" ht="18" customHeight="1" x14ac:dyDescent="0.25">
      <c r="A44" s="1076"/>
      <c r="B44" s="1076"/>
      <c r="C44" s="1076"/>
      <c r="D44" s="314"/>
      <c r="E44" s="314"/>
      <c r="F44" s="1130"/>
      <c r="G44" s="1130"/>
      <c r="H44" s="414"/>
      <c r="I44" s="414">
        <f t="shared" si="1"/>
        <v>0</v>
      </c>
    </row>
    <row r="45" spans="1:9" ht="18" customHeight="1" x14ac:dyDescent="0.25">
      <c r="A45" s="1076"/>
      <c r="B45" s="1076"/>
      <c r="C45" s="1076"/>
      <c r="D45" s="314"/>
      <c r="E45" s="314"/>
      <c r="F45" s="1130"/>
      <c r="G45" s="1130"/>
      <c r="H45" s="414"/>
      <c r="I45" s="414">
        <f t="shared" si="1"/>
        <v>0</v>
      </c>
    </row>
    <row r="46" spans="1:9" ht="18" customHeight="1" x14ac:dyDescent="0.25">
      <c r="A46" s="1075" t="s">
        <v>457</v>
      </c>
      <c r="B46" s="1075"/>
      <c r="C46" s="1075"/>
      <c r="D46" s="1075"/>
      <c r="E46" s="1075"/>
      <c r="F46" s="1075"/>
      <c r="G46" s="1075"/>
      <c r="H46" s="1075"/>
      <c r="I46" s="416">
        <f>SUM(I40:I45)</f>
        <v>0</v>
      </c>
    </row>
    <row r="47" spans="1:9" ht="18" customHeight="1" x14ac:dyDescent="0.25">
      <c r="A47" s="1137" t="s">
        <v>528</v>
      </c>
      <c r="B47" s="1137"/>
      <c r="C47" s="1137"/>
      <c r="D47" s="1137"/>
      <c r="E47" s="1137"/>
      <c r="F47" s="1137"/>
      <c r="G47" s="1137"/>
      <c r="H47" s="1137"/>
      <c r="I47" s="453">
        <f>I37+I46</f>
        <v>0</v>
      </c>
    </row>
    <row r="48" spans="1:9" ht="18" customHeight="1" x14ac:dyDescent="0.25">
      <c r="A48" s="1077"/>
      <c r="B48" s="1077"/>
      <c r="C48" s="1077"/>
      <c r="D48" s="1077"/>
      <c r="E48" s="1077"/>
      <c r="F48" s="1077"/>
      <c r="G48" s="1077"/>
      <c r="H48" s="1077"/>
      <c r="I48" s="1077"/>
    </row>
    <row r="49" spans="1:9" ht="18" customHeight="1" x14ac:dyDescent="0.25">
      <c r="A49" s="1136" t="s">
        <v>471</v>
      </c>
      <c r="B49" s="1136"/>
      <c r="C49" s="1136"/>
      <c r="D49" s="1136"/>
      <c r="E49" s="1136"/>
      <c r="F49" s="1136"/>
      <c r="G49" s="1136"/>
      <c r="H49" s="1136"/>
      <c r="I49" s="1136"/>
    </row>
    <row r="50" spans="1:9" ht="52.5" customHeight="1" x14ac:dyDescent="0.25">
      <c r="A50" s="308" t="s">
        <v>380</v>
      </c>
      <c r="B50" s="308" t="s">
        <v>381</v>
      </c>
      <c r="C50" s="308" t="s">
        <v>382</v>
      </c>
      <c r="D50" s="308" t="s">
        <v>113</v>
      </c>
      <c r="E50" s="308" t="s">
        <v>383</v>
      </c>
      <c r="F50" s="410" t="s">
        <v>517</v>
      </c>
      <c r="G50" s="308" t="s">
        <v>415</v>
      </c>
      <c r="H50" s="411" t="s">
        <v>518</v>
      </c>
      <c r="I50" s="411" t="s">
        <v>451</v>
      </c>
    </row>
    <row r="51" spans="1:9" ht="18" customHeight="1" x14ac:dyDescent="0.25">
      <c r="A51" s="1074" t="s">
        <v>378</v>
      </c>
      <c r="B51" s="1074"/>
      <c r="C51" s="1074"/>
      <c r="D51" s="1074"/>
      <c r="E51" s="1074"/>
      <c r="F51" s="1074"/>
      <c r="G51" s="1074"/>
      <c r="H51" s="1074"/>
      <c r="I51" s="1074"/>
    </row>
    <row r="52" spans="1:9" ht="18" customHeight="1" x14ac:dyDescent="0.25">
      <c r="A52" s="412"/>
      <c r="B52" s="412"/>
      <c r="C52" s="413"/>
      <c r="D52" s="412"/>
      <c r="E52" s="412"/>
      <c r="F52" s="414"/>
      <c r="G52" s="561"/>
      <c r="H52" s="561"/>
      <c r="I52" s="414">
        <f>B52*C52*E52*G52*H52</f>
        <v>0</v>
      </c>
    </row>
    <row r="53" spans="1:9" ht="18" customHeight="1" x14ac:dyDescent="0.25">
      <c r="A53" s="412"/>
      <c r="B53" s="412"/>
      <c r="C53" s="413"/>
      <c r="D53" s="412"/>
      <c r="E53" s="412"/>
      <c r="F53" s="414"/>
      <c r="G53" s="561"/>
      <c r="H53" s="561"/>
      <c r="I53" s="414">
        <f>B53*C53*E53*G53*H53</f>
        <v>0</v>
      </c>
    </row>
    <row r="54" spans="1:9" ht="18" customHeight="1" x14ac:dyDescent="0.25">
      <c r="A54" s="415"/>
      <c r="B54" s="415"/>
      <c r="C54" s="413"/>
      <c r="D54" s="415"/>
      <c r="E54" s="415"/>
      <c r="F54" s="414"/>
      <c r="G54" s="562"/>
      <c r="H54" s="562"/>
      <c r="I54" s="414">
        <f>B54*C54*E54*G54*H54</f>
        <v>0</v>
      </c>
    </row>
    <row r="55" spans="1:9" ht="18" customHeight="1" x14ac:dyDescent="0.25">
      <c r="A55" s="415"/>
      <c r="B55" s="415"/>
      <c r="C55" s="413"/>
      <c r="D55" s="415"/>
      <c r="E55" s="415"/>
      <c r="F55" s="414"/>
      <c r="G55" s="562"/>
      <c r="H55" s="562"/>
      <c r="I55" s="414">
        <f>B55*C55*E55*G55*H55</f>
        <v>0</v>
      </c>
    </row>
    <row r="56" spans="1:9" ht="18" customHeight="1" x14ac:dyDescent="0.25">
      <c r="A56" s="415"/>
      <c r="B56" s="415"/>
      <c r="C56" s="413"/>
      <c r="D56" s="415"/>
      <c r="E56" s="415"/>
      <c r="F56" s="414"/>
      <c r="G56" s="415"/>
      <c r="H56" s="415"/>
      <c r="I56" s="414">
        <f>B56*C56*E56*G56*H56</f>
        <v>0</v>
      </c>
    </row>
    <row r="57" spans="1:9" ht="17.25" customHeight="1" x14ac:dyDescent="0.25">
      <c r="A57" s="1075" t="s">
        <v>450</v>
      </c>
      <c r="B57" s="1075"/>
      <c r="C57" s="1075"/>
      <c r="D57" s="1075"/>
      <c r="E57" s="1075"/>
      <c r="F57" s="1075"/>
      <c r="G57" s="1075"/>
      <c r="H57" s="1075"/>
      <c r="I57" s="416">
        <f>SUM(I52:I56)</f>
        <v>0</v>
      </c>
    </row>
    <row r="58" spans="1:9" ht="41.25" customHeight="1" x14ac:dyDescent="0.25">
      <c r="A58" s="1045" t="s">
        <v>380</v>
      </c>
      <c r="B58" s="1045"/>
      <c r="C58" s="1045"/>
      <c r="D58" s="333" t="s">
        <v>113</v>
      </c>
      <c r="E58" s="333" t="s">
        <v>383</v>
      </c>
      <c r="F58" s="1045" t="s">
        <v>517</v>
      </c>
      <c r="G58" s="1045"/>
      <c r="H58" s="411" t="s">
        <v>518</v>
      </c>
      <c r="I58" s="411" t="s">
        <v>451</v>
      </c>
    </row>
    <row r="59" spans="1:9" ht="18" customHeight="1" x14ac:dyDescent="0.25">
      <c r="A59" s="1074" t="s">
        <v>464</v>
      </c>
      <c r="B59" s="1074"/>
      <c r="C59" s="1074"/>
      <c r="D59" s="1074"/>
      <c r="E59" s="1074"/>
      <c r="F59" s="1074"/>
      <c r="G59" s="1074"/>
      <c r="H59" s="1074"/>
      <c r="I59" s="1074"/>
    </row>
    <row r="60" spans="1:9" ht="18" customHeight="1" x14ac:dyDescent="0.25">
      <c r="A60" s="1076"/>
      <c r="B60" s="1076"/>
      <c r="C60" s="1076"/>
      <c r="D60" s="314"/>
      <c r="E60" s="314"/>
      <c r="F60" s="1130"/>
      <c r="G60" s="1130"/>
      <c r="H60" s="414"/>
      <c r="I60" s="414">
        <f t="shared" ref="I60:I65" si="2">E60*H60</f>
        <v>0</v>
      </c>
    </row>
    <row r="61" spans="1:9" ht="18" customHeight="1" x14ac:dyDescent="0.25">
      <c r="A61" s="1076"/>
      <c r="B61" s="1076"/>
      <c r="C61" s="1076"/>
      <c r="D61" s="314"/>
      <c r="E61" s="314"/>
      <c r="F61" s="1130"/>
      <c r="G61" s="1130"/>
      <c r="H61" s="414"/>
      <c r="I61" s="414">
        <f t="shared" si="2"/>
        <v>0</v>
      </c>
    </row>
    <row r="62" spans="1:9" ht="18" customHeight="1" x14ac:dyDescent="0.25">
      <c r="A62" s="1076"/>
      <c r="B62" s="1076"/>
      <c r="C62" s="1076"/>
      <c r="D62" s="314"/>
      <c r="E62" s="314"/>
      <c r="F62" s="1130"/>
      <c r="G62" s="1130"/>
      <c r="H62" s="414"/>
      <c r="I62" s="414">
        <f t="shared" si="2"/>
        <v>0</v>
      </c>
    </row>
    <row r="63" spans="1:9" ht="18" customHeight="1" x14ac:dyDescent="0.25">
      <c r="A63" s="1076"/>
      <c r="B63" s="1076"/>
      <c r="C63" s="1076"/>
      <c r="D63" s="314"/>
      <c r="E63" s="314"/>
      <c r="F63" s="1130"/>
      <c r="G63" s="1130"/>
      <c r="H63" s="414"/>
      <c r="I63" s="414">
        <f t="shared" si="2"/>
        <v>0</v>
      </c>
    </row>
    <row r="64" spans="1:9" ht="18" customHeight="1" x14ac:dyDescent="0.25">
      <c r="A64" s="1076"/>
      <c r="B64" s="1076"/>
      <c r="C64" s="1076"/>
      <c r="D64" s="314"/>
      <c r="E64" s="314"/>
      <c r="F64" s="1130"/>
      <c r="G64" s="1130"/>
      <c r="H64" s="414"/>
      <c r="I64" s="414">
        <f t="shared" si="2"/>
        <v>0</v>
      </c>
    </row>
    <row r="65" spans="1:9" ht="18" customHeight="1" x14ac:dyDescent="0.25">
      <c r="A65" s="1076"/>
      <c r="B65" s="1076"/>
      <c r="C65" s="1076"/>
      <c r="D65" s="314"/>
      <c r="E65" s="314"/>
      <c r="F65" s="1130"/>
      <c r="G65" s="1130"/>
      <c r="H65" s="414"/>
      <c r="I65" s="414">
        <f t="shared" si="2"/>
        <v>0</v>
      </c>
    </row>
    <row r="66" spans="1:9" ht="18" customHeight="1" x14ac:dyDescent="0.25">
      <c r="A66" s="1075" t="s">
        <v>457</v>
      </c>
      <c r="B66" s="1075"/>
      <c r="C66" s="1075"/>
      <c r="D66" s="1075"/>
      <c r="E66" s="1075"/>
      <c r="F66" s="1075"/>
      <c r="G66" s="1075"/>
      <c r="H66" s="1075"/>
      <c r="I66" s="416">
        <f>SUM(I60:I65)</f>
        <v>0</v>
      </c>
    </row>
    <row r="67" spans="1:9" ht="18" customHeight="1" x14ac:dyDescent="0.25">
      <c r="A67" s="1137" t="s">
        <v>529</v>
      </c>
      <c r="B67" s="1137"/>
      <c r="C67" s="1137"/>
      <c r="D67" s="1137"/>
      <c r="E67" s="1137"/>
      <c r="F67" s="1137"/>
      <c r="G67" s="1137"/>
      <c r="H67" s="1137"/>
      <c r="I67" s="453">
        <f>I57+I66</f>
        <v>0</v>
      </c>
    </row>
    <row r="68" spans="1:9" ht="18" customHeight="1" x14ac:dyDescent="0.25">
      <c r="A68" s="1101"/>
      <c r="B68" s="1101"/>
      <c r="C68" s="1101"/>
      <c r="D68" s="1101"/>
      <c r="E68" s="1101"/>
      <c r="F68" s="1101"/>
      <c r="G68" s="1101"/>
      <c r="H68" s="1101"/>
      <c r="I68" s="1101"/>
    </row>
    <row r="69" spans="1:9" ht="18" customHeight="1" x14ac:dyDescent="0.25">
      <c r="A69" s="1133" t="s">
        <v>395</v>
      </c>
      <c r="B69" s="1133"/>
      <c r="C69" s="1133"/>
      <c r="D69" s="1133"/>
      <c r="E69" s="1133"/>
      <c r="F69" s="1133"/>
      <c r="G69" s="1133"/>
      <c r="H69" s="1133"/>
      <c r="I69" s="563">
        <f>I27+I47+I67</f>
        <v>0</v>
      </c>
    </row>
    <row r="70" spans="1:9" ht="18" customHeight="1" x14ac:dyDescent="0.25">
      <c r="A70" s="1133" t="s">
        <v>396</v>
      </c>
      <c r="B70" s="1133"/>
      <c r="C70" s="1133"/>
      <c r="D70" s="1133"/>
      <c r="E70" s="1133"/>
      <c r="F70" s="1133"/>
      <c r="G70" s="1133"/>
      <c r="H70" s="424"/>
      <c r="I70" s="564">
        <v>0</v>
      </c>
    </row>
    <row r="71" spans="1:9" ht="18" customHeight="1" x14ac:dyDescent="0.25">
      <c r="A71" s="1133" t="s">
        <v>398</v>
      </c>
      <c r="B71" s="1133"/>
      <c r="C71" s="1133"/>
      <c r="D71" s="1133"/>
      <c r="E71" s="1133"/>
      <c r="F71" s="1133"/>
      <c r="G71" s="1133"/>
      <c r="H71" s="424"/>
      <c r="I71" s="564">
        <v>0</v>
      </c>
    </row>
    <row r="72" spans="1:9" ht="18" customHeight="1" x14ac:dyDescent="0.25">
      <c r="A72" s="1133" t="s">
        <v>399</v>
      </c>
      <c r="B72" s="1133"/>
      <c r="C72" s="1133"/>
      <c r="D72" s="1133"/>
      <c r="E72" s="1133"/>
      <c r="F72" s="1133"/>
      <c r="G72" s="1133"/>
      <c r="H72" s="424"/>
      <c r="I72" s="564">
        <v>0</v>
      </c>
    </row>
    <row r="73" spans="1:9" ht="18" customHeight="1" x14ac:dyDescent="0.25">
      <c r="A73" s="1134" t="s">
        <v>401</v>
      </c>
      <c r="B73" s="1134"/>
      <c r="C73" s="1134"/>
      <c r="D73" s="1134"/>
      <c r="E73" s="1134"/>
      <c r="F73" s="1134"/>
      <c r="G73" s="1134"/>
      <c r="H73" s="1134"/>
      <c r="I73" s="565">
        <f>SUM(I69:I72)</f>
        <v>0</v>
      </c>
    </row>
    <row r="74" spans="1:9" ht="18" customHeight="1" x14ac:dyDescent="0.25">
      <c r="E74" s="375"/>
      <c r="F74" s="401"/>
      <c r="G74" s="375"/>
      <c r="H74" s="375"/>
      <c r="I74" s="402"/>
    </row>
    <row r="75" spans="1:9" ht="110.25" customHeight="1" x14ac:dyDescent="0.25">
      <c r="A75" s="1127" t="s">
        <v>522</v>
      </c>
      <c r="B75" s="1127"/>
      <c r="C75" s="1127"/>
      <c r="D75" s="1127"/>
      <c r="E75" s="1127"/>
      <c r="F75" s="1127"/>
      <c r="G75" s="1127"/>
      <c r="H75" s="1127"/>
      <c r="I75" s="1127"/>
    </row>
    <row r="76" spans="1:9" ht="18" customHeight="1" x14ac:dyDescent="0.25">
      <c r="A76" s="558"/>
      <c r="B76" s="558"/>
      <c r="C76" s="558"/>
      <c r="D76" s="559"/>
      <c r="E76" s="558"/>
      <c r="F76" s="544"/>
      <c r="G76" s="375"/>
      <c r="H76" s="375"/>
      <c r="I76" s="402"/>
    </row>
    <row r="77" spans="1:9" ht="18" customHeight="1" x14ac:dyDescent="0.25">
      <c r="A77" s="1135" t="s">
        <v>523</v>
      </c>
      <c r="B77" s="1135"/>
      <c r="C77" s="1135"/>
      <c r="D77" s="1135"/>
      <c r="E77" s="1135"/>
      <c r="F77" s="1135"/>
      <c r="G77" s="1135"/>
      <c r="H77" s="1135"/>
      <c r="I77" s="1135"/>
    </row>
  </sheetData>
  <sheetProtection algorithmName="SHA-512" hashValue="tgPj/L5lE/lf234JKHli580asVA3wUAynXAwS3dbcw6tGJKiniI/jIFuYbH1z11g5md14Bd4ZEMAz6Zcp+A6pg==" saltValue="ozIn+0Y8dUA5ndlz3pK3OA==" spinCount="100000" sheet="1" formatCells="0" formatColumns="0" formatRows="0" insertRows="0" autoFilter="0" pivotTables="0"/>
  <mergeCells count="79">
    <mergeCell ref="A72:G72"/>
    <mergeCell ref="A73:H73"/>
    <mergeCell ref="A75:I75"/>
    <mergeCell ref="A77:I77"/>
    <mergeCell ref="A67:H67"/>
    <mergeCell ref="A68:I68"/>
    <mergeCell ref="A69:H69"/>
    <mergeCell ref="A70:G70"/>
    <mergeCell ref="A71:G71"/>
    <mergeCell ref="A64:C64"/>
    <mergeCell ref="F64:G64"/>
    <mergeCell ref="A65:C65"/>
    <mergeCell ref="F65:G65"/>
    <mergeCell ref="A66:H66"/>
    <mergeCell ref="A61:C61"/>
    <mergeCell ref="F61:G61"/>
    <mergeCell ref="A62:C62"/>
    <mergeCell ref="F62:G62"/>
    <mergeCell ref="A63:C63"/>
    <mergeCell ref="F63:G63"/>
    <mergeCell ref="A58:C58"/>
    <mergeCell ref="F58:G58"/>
    <mergeCell ref="A59:I59"/>
    <mergeCell ref="A60:C60"/>
    <mergeCell ref="F60:G60"/>
    <mergeCell ref="A47:H47"/>
    <mergeCell ref="A48:I48"/>
    <mergeCell ref="A49:I49"/>
    <mergeCell ref="A51:I51"/>
    <mergeCell ref="A57:H57"/>
    <mergeCell ref="A44:C44"/>
    <mergeCell ref="F44:G44"/>
    <mergeCell ref="A45:C45"/>
    <mergeCell ref="F45:G45"/>
    <mergeCell ref="A46:H46"/>
    <mergeCell ref="A41:C41"/>
    <mergeCell ref="F41:G41"/>
    <mergeCell ref="A42:C42"/>
    <mergeCell ref="F42:G42"/>
    <mergeCell ref="A43:C43"/>
    <mergeCell ref="F43:G43"/>
    <mergeCell ref="A38:C38"/>
    <mergeCell ref="F38:G38"/>
    <mergeCell ref="A39:I39"/>
    <mergeCell ref="A40:C40"/>
    <mergeCell ref="F40:G40"/>
    <mergeCell ref="A27:H27"/>
    <mergeCell ref="A28:I28"/>
    <mergeCell ref="A29:I29"/>
    <mergeCell ref="A31:I31"/>
    <mergeCell ref="A37:H37"/>
    <mergeCell ref="A24:C24"/>
    <mergeCell ref="F24:G24"/>
    <mergeCell ref="A25:C25"/>
    <mergeCell ref="F25:G25"/>
    <mergeCell ref="A26:H26"/>
    <mergeCell ref="A21:C21"/>
    <mergeCell ref="F21:G21"/>
    <mergeCell ref="A22:C22"/>
    <mergeCell ref="F22:G22"/>
    <mergeCell ref="A23:C23"/>
    <mergeCell ref="F23:G23"/>
    <mergeCell ref="A17:H17"/>
    <mergeCell ref="A18:C18"/>
    <mergeCell ref="F18:G18"/>
    <mergeCell ref="A19:I19"/>
    <mergeCell ref="A20:C20"/>
    <mergeCell ref="F20:G20"/>
    <mergeCell ref="A6:D6"/>
    <mergeCell ref="E6:I6"/>
    <mergeCell ref="A8:I8"/>
    <mergeCell ref="A9:I9"/>
    <mergeCell ref="A11:I11"/>
    <mergeCell ref="E1:H1"/>
    <mergeCell ref="E2:H2"/>
    <mergeCell ref="A4:D4"/>
    <mergeCell ref="E4:I4"/>
    <mergeCell ref="A5:D5"/>
    <mergeCell ref="E5:I5"/>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K64"/>
  <sheetViews>
    <sheetView showGridLines="0" zoomScaleNormal="100" workbookViewId="0">
      <selection activeCell="G4" sqref="G4"/>
    </sheetView>
  </sheetViews>
  <sheetFormatPr baseColWidth="10" defaultColWidth="11.33203125" defaultRowHeight="19.5" customHeight="1" x14ac:dyDescent="0.25"/>
  <cols>
    <col min="1" max="1" width="27.6640625" style="375" customWidth="1"/>
    <col min="2" max="4" width="26.77734375" style="375" customWidth="1"/>
    <col min="5" max="5" width="26.77734375" style="376" customWidth="1"/>
    <col min="6" max="6" width="15.33203125" style="140" customWidth="1"/>
    <col min="7" max="7" width="18.77734375" style="140" customWidth="1"/>
    <col min="8" max="16384" width="11.33203125" style="140"/>
  </cols>
  <sheetData>
    <row r="1" spans="1:11" s="15" customFormat="1" ht="39" customHeight="1" x14ac:dyDescent="0.25">
      <c r="E1" s="14" t="str">
        <f>Instructivo!F1</f>
        <v>Sistema de Gestión Integral (SGI)
Instructivo - Componente Financiero EP
Código: F-PGC-21. Versión: 05</v>
      </c>
      <c r="F1" s="14"/>
      <c r="G1" s="14"/>
      <c r="H1" s="14"/>
      <c r="J1" s="132" t="str">
        <f>'Habilitados - SI'!$J$1</f>
        <v>Instructivo</v>
      </c>
    </row>
    <row r="2" spans="1:11" s="15" customFormat="1" ht="18" customHeight="1" x14ac:dyDescent="0.25">
      <c r="E2" s="1086" t="s">
        <v>530</v>
      </c>
      <c r="F2" s="1086"/>
      <c r="G2" s="1086"/>
      <c r="H2" s="1086"/>
      <c r="I2" s="441"/>
      <c r="J2" s="546"/>
      <c r="K2" s="378"/>
    </row>
    <row r="3" spans="1:11" ht="9" customHeight="1" x14ac:dyDescent="0.25">
      <c r="A3" s="140"/>
      <c r="B3" s="136"/>
      <c r="C3" s="136"/>
      <c r="D3" s="136"/>
      <c r="E3" s="136"/>
    </row>
    <row r="4" spans="1:11" ht="96" customHeight="1" x14ac:dyDescent="0.25">
      <c r="A4" s="1138" t="s">
        <v>531</v>
      </c>
      <c r="B4" s="1138"/>
      <c r="C4" s="1138"/>
      <c r="D4" s="1138"/>
      <c r="E4" s="1138"/>
    </row>
    <row r="5" spans="1:11" ht="9" customHeight="1" x14ac:dyDescent="0.25">
      <c r="A5" s="1139"/>
      <c r="B5" s="1139"/>
      <c r="C5" s="1139"/>
      <c r="D5" s="1139"/>
      <c r="E5" s="1139"/>
    </row>
    <row r="6" spans="1:11" ht="44.25" customHeight="1" x14ac:dyDescent="0.25">
      <c r="A6" s="1138" t="s">
        <v>532</v>
      </c>
      <c r="B6" s="1138"/>
      <c r="C6" s="1138"/>
      <c r="D6" s="1138"/>
      <c r="E6" s="1138"/>
    </row>
    <row r="7" spans="1:11" ht="19.5" customHeight="1" x14ac:dyDescent="0.25">
      <c r="A7" s="1140"/>
      <c r="B7" s="1140"/>
      <c r="C7" s="1140"/>
      <c r="D7" s="1140"/>
      <c r="E7" s="1140"/>
    </row>
    <row r="8" spans="1:11" s="136" customFormat="1" ht="18" customHeight="1" x14ac:dyDescent="0.25">
      <c r="A8" s="1071" t="s">
        <v>515</v>
      </c>
      <c r="B8" s="1071"/>
      <c r="C8" s="11"/>
      <c r="D8" s="11"/>
      <c r="E8" s="11"/>
      <c r="F8" s="140"/>
      <c r="G8" s="140"/>
    </row>
    <row r="9" spans="1:11" s="136" customFormat="1" ht="23.25" customHeight="1" x14ac:dyDescent="0.25">
      <c r="A9" s="1071" t="s">
        <v>104</v>
      </c>
      <c r="B9" s="1071"/>
      <c r="C9" s="1011">
        <f>'Plan Ejecución'!AE4</f>
        <v>0</v>
      </c>
      <c r="D9" s="1011"/>
      <c r="E9" s="1011"/>
      <c r="F9" s="379"/>
      <c r="G9" s="379"/>
    </row>
    <row r="10" spans="1:11" ht="53.25" customHeight="1" x14ac:dyDescent="0.25">
      <c r="A10" s="1071" t="s">
        <v>105</v>
      </c>
      <c r="B10" s="1071"/>
      <c r="C10" s="1065">
        <f>'Plan Ejecución'!AE5</f>
        <v>0</v>
      </c>
      <c r="D10" s="1065"/>
      <c r="E10" s="1065"/>
      <c r="F10" s="379"/>
      <c r="G10" s="379"/>
    </row>
    <row r="11" spans="1:11" ht="19.5" customHeight="1" x14ac:dyDescent="0.25">
      <c r="A11" s="381"/>
      <c r="B11" s="382"/>
      <c r="C11" s="382"/>
      <c r="D11" s="382"/>
      <c r="E11" s="382"/>
    </row>
    <row r="12" spans="1:11" ht="19.5" customHeight="1" x14ac:dyDescent="0.25">
      <c r="A12" s="1141" t="s">
        <v>533</v>
      </c>
      <c r="B12" s="1141"/>
      <c r="C12" s="1141"/>
      <c r="D12" s="1141"/>
      <c r="E12" s="382"/>
    </row>
    <row r="13" spans="1:11" ht="34.5" customHeight="1" x14ac:dyDescent="0.25">
      <c r="A13" s="568" t="s">
        <v>534</v>
      </c>
      <c r="B13" s="569" t="s">
        <v>535</v>
      </c>
      <c r="C13" s="569" t="s">
        <v>536</v>
      </c>
      <c r="D13" s="570" t="s">
        <v>537</v>
      </c>
      <c r="E13" s="382"/>
    </row>
    <row r="14" spans="1:11" ht="19.5" customHeight="1" x14ac:dyDescent="0.25">
      <c r="A14" s="571"/>
      <c r="B14" s="572">
        <v>0.2</v>
      </c>
      <c r="C14" s="573">
        <f>A14*B14</f>
        <v>0</v>
      </c>
      <c r="D14" s="574">
        <f>A14-C14</f>
        <v>0</v>
      </c>
      <c r="E14" s="382"/>
    </row>
    <row r="15" spans="1:11" ht="19.5" customHeight="1" x14ac:dyDescent="0.25">
      <c r="A15" s="575"/>
      <c r="B15" s="576"/>
      <c r="C15" s="577"/>
      <c r="D15" s="578"/>
      <c r="E15" s="382"/>
    </row>
    <row r="16" spans="1:11" ht="19.5" customHeight="1" x14ac:dyDescent="0.25">
      <c r="A16" s="1141" t="s">
        <v>538</v>
      </c>
      <c r="B16" s="1141"/>
      <c r="C16" s="1141"/>
      <c r="D16" s="1141"/>
      <c r="E16" s="1141"/>
    </row>
    <row r="17" spans="1:5" ht="40.5" customHeight="1" x14ac:dyDescent="0.25">
      <c r="A17" s="568" t="s">
        <v>539</v>
      </c>
      <c r="B17" s="569" t="s">
        <v>540</v>
      </c>
      <c r="C17" s="569" t="s">
        <v>535</v>
      </c>
      <c r="D17" s="569" t="s">
        <v>541</v>
      </c>
      <c r="E17" s="570" t="s">
        <v>542</v>
      </c>
    </row>
    <row r="18" spans="1:5" ht="19.5" customHeight="1" x14ac:dyDescent="0.25">
      <c r="A18" s="386"/>
      <c r="B18" s="579"/>
      <c r="C18" s="580">
        <v>0.2</v>
      </c>
      <c r="D18" s="581">
        <f>B18*C18</f>
        <v>0</v>
      </c>
      <c r="E18" s="582">
        <f>B18-D18</f>
        <v>0</v>
      </c>
    </row>
    <row r="19" spans="1:5" ht="19.5" customHeight="1" x14ac:dyDescent="0.25">
      <c r="A19" s="386"/>
      <c r="B19" s="583"/>
      <c r="C19" s="584">
        <v>0.2</v>
      </c>
      <c r="D19" s="585">
        <f>B19*C19</f>
        <v>0</v>
      </c>
      <c r="E19" s="586">
        <f>B19-D19</f>
        <v>0</v>
      </c>
    </row>
    <row r="20" spans="1:5" ht="19.5" customHeight="1" x14ac:dyDescent="0.25">
      <c r="A20" s="386"/>
      <c r="B20" s="583"/>
      <c r="C20" s="584">
        <v>0.2</v>
      </c>
      <c r="D20" s="585">
        <f>B20*C20</f>
        <v>0</v>
      </c>
      <c r="E20" s="586">
        <f>B20-D20</f>
        <v>0</v>
      </c>
    </row>
    <row r="21" spans="1:5" ht="19.5" customHeight="1" x14ac:dyDescent="0.25">
      <c r="A21" s="587"/>
      <c r="B21" s="583"/>
      <c r="C21" s="584"/>
      <c r="D21" s="585">
        <f>B21*C21</f>
        <v>0</v>
      </c>
      <c r="E21" s="586">
        <f>B21-D21</f>
        <v>0</v>
      </c>
    </row>
    <row r="22" spans="1:5" ht="19.5" customHeight="1" x14ac:dyDescent="0.25">
      <c r="A22" s="588"/>
      <c r="B22" s="589"/>
      <c r="C22" s="590"/>
      <c r="D22" s="591">
        <f>B22*C22</f>
        <v>0</v>
      </c>
      <c r="E22" s="592">
        <f>B22-D22</f>
        <v>0</v>
      </c>
    </row>
    <row r="23" spans="1:5" ht="19.5" customHeight="1" x14ac:dyDescent="0.25">
      <c r="A23" s="382"/>
      <c r="B23" s="382"/>
      <c r="C23" s="382"/>
      <c r="D23" s="382"/>
      <c r="E23" s="382"/>
    </row>
    <row r="24" spans="1:5" ht="19.5" customHeight="1" x14ac:dyDescent="0.25">
      <c r="A24" s="1141" t="s">
        <v>543</v>
      </c>
      <c r="B24" s="1141"/>
      <c r="C24" s="1141"/>
      <c r="D24" s="1141"/>
      <c r="E24" s="1141"/>
    </row>
    <row r="25" spans="1:5" ht="42.75" customHeight="1" x14ac:dyDescent="0.25">
      <c r="A25" s="568" t="s">
        <v>380</v>
      </c>
      <c r="B25" s="569" t="s">
        <v>544</v>
      </c>
      <c r="C25" s="569" t="s">
        <v>535</v>
      </c>
      <c r="D25" s="569" t="s">
        <v>545</v>
      </c>
      <c r="E25" s="570" t="s">
        <v>542</v>
      </c>
    </row>
    <row r="26" spans="1:5" ht="29.25" customHeight="1" x14ac:dyDescent="0.25">
      <c r="A26" s="386"/>
      <c r="B26" s="579"/>
      <c r="C26" s="580">
        <v>0.2</v>
      </c>
      <c r="D26" s="581">
        <f t="shared" ref="D26:D37" si="0">B26*C26</f>
        <v>0</v>
      </c>
      <c r="E26" s="582">
        <f t="shared" ref="E26:E37" si="1">B26-D26</f>
        <v>0</v>
      </c>
    </row>
    <row r="27" spans="1:5" ht="19.5" customHeight="1" x14ac:dyDescent="0.25">
      <c r="A27" s="587"/>
      <c r="B27" s="583"/>
      <c r="C27" s="584">
        <v>0.2</v>
      </c>
      <c r="D27" s="585">
        <f t="shared" si="0"/>
        <v>0</v>
      </c>
      <c r="E27" s="586">
        <f t="shared" si="1"/>
        <v>0</v>
      </c>
    </row>
    <row r="28" spans="1:5" ht="45.75" customHeight="1" x14ac:dyDescent="0.25">
      <c r="A28" s="587"/>
      <c r="B28" s="583"/>
      <c r="C28" s="584">
        <v>0.2</v>
      </c>
      <c r="D28" s="585">
        <f t="shared" si="0"/>
        <v>0</v>
      </c>
      <c r="E28" s="586">
        <f t="shared" si="1"/>
        <v>0</v>
      </c>
    </row>
    <row r="29" spans="1:5" ht="19.5" customHeight="1" x14ac:dyDescent="0.25">
      <c r="A29" s="587"/>
      <c r="B29" s="583"/>
      <c r="C29" s="584"/>
      <c r="D29" s="585">
        <f t="shared" si="0"/>
        <v>0</v>
      </c>
      <c r="E29" s="586">
        <f t="shared" si="1"/>
        <v>0</v>
      </c>
    </row>
    <row r="30" spans="1:5" ht="19.5" customHeight="1" x14ac:dyDescent="0.25">
      <c r="A30" s="587"/>
      <c r="B30" s="583"/>
      <c r="C30" s="584"/>
      <c r="D30" s="585">
        <f t="shared" si="0"/>
        <v>0</v>
      </c>
      <c r="E30" s="586">
        <f t="shared" si="1"/>
        <v>0</v>
      </c>
    </row>
    <row r="31" spans="1:5" ht="19.5" customHeight="1" x14ac:dyDescent="0.25">
      <c r="A31" s="587"/>
      <c r="B31" s="583"/>
      <c r="C31" s="584"/>
      <c r="D31" s="585">
        <f t="shared" si="0"/>
        <v>0</v>
      </c>
      <c r="E31" s="586">
        <f t="shared" si="1"/>
        <v>0</v>
      </c>
    </row>
    <row r="32" spans="1:5" ht="19.5" customHeight="1" x14ac:dyDescent="0.25">
      <c r="A32" s="587"/>
      <c r="B32" s="583"/>
      <c r="C32" s="584"/>
      <c r="D32" s="585">
        <f t="shared" si="0"/>
        <v>0</v>
      </c>
      <c r="E32" s="586">
        <f t="shared" si="1"/>
        <v>0</v>
      </c>
    </row>
    <row r="33" spans="1:5" ht="19.5" customHeight="1" x14ac:dyDescent="0.25">
      <c r="A33" s="587"/>
      <c r="B33" s="583"/>
      <c r="C33" s="584"/>
      <c r="D33" s="585">
        <f t="shared" si="0"/>
        <v>0</v>
      </c>
      <c r="E33" s="586">
        <f t="shared" si="1"/>
        <v>0</v>
      </c>
    </row>
    <row r="34" spans="1:5" ht="19.5" customHeight="1" x14ac:dyDescent="0.25">
      <c r="A34" s="587"/>
      <c r="B34" s="583"/>
      <c r="C34" s="584"/>
      <c r="D34" s="585">
        <f t="shared" si="0"/>
        <v>0</v>
      </c>
      <c r="E34" s="586">
        <f t="shared" si="1"/>
        <v>0</v>
      </c>
    </row>
    <row r="35" spans="1:5" ht="19.5" customHeight="1" x14ac:dyDescent="0.25">
      <c r="A35" s="587"/>
      <c r="B35" s="583"/>
      <c r="C35" s="584"/>
      <c r="D35" s="585">
        <f t="shared" si="0"/>
        <v>0</v>
      </c>
      <c r="E35" s="586">
        <f t="shared" si="1"/>
        <v>0</v>
      </c>
    </row>
    <row r="36" spans="1:5" ht="19.5" customHeight="1" x14ac:dyDescent="0.25">
      <c r="A36" s="587"/>
      <c r="B36" s="583"/>
      <c r="C36" s="584"/>
      <c r="D36" s="585">
        <f t="shared" si="0"/>
        <v>0</v>
      </c>
      <c r="E36" s="586">
        <f t="shared" si="1"/>
        <v>0</v>
      </c>
    </row>
    <row r="37" spans="1:5" ht="19.5" customHeight="1" x14ac:dyDescent="0.25">
      <c r="A37" s="588"/>
      <c r="B37" s="589"/>
      <c r="C37" s="590"/>
      <c r="D37" s="591">
        <f t="shared" si="0"/>
        <v>0</v>
      </c>
      <c r="E37" s="592">
        <f t="shared" si="1"/>
        <v>0</v>
      </c>
    </row>
    <row r="38" spans="1:5" ht="27.75" customHeight="1" x14ac:dyDescent="0.25">
      <c r="A38" s="140"/>
      <c r="B38" s="140"/>
      <c r="C38" s="140"/>
      <c r="D38" s="140"/>
      <c r="E38" s="140"/>
    </row>
    <row r="39" spans="1:5" ht="21.75" customHeight="1" x14ac:dyDescent="0.25">
      <c r="A39" s="1091" t="s">
        <v>546</v>
      </c>
      <c r="B39" s="1091"/>
      <c r="C39" s="1091"/>
      <c r="D39" s="1091"/>
      <c r="E39" s="1091"/>
    </row>
    <row r="40" spans="1:5" ht="21.75" customHeight="1" x14ac:dyDescent="0.25">
      <c r="A40" s="396" t="s">
        <v>547</v>
      </c>
      <c r="B40" s="1142" t="s">
        <v>548</v>
      </c>
      <c r="C40" s="1142"/>
      <c r="D40" s="1142"/>
      <c r="E40" s="1142"/>
    </row>
    <row r="41" spans="1:5" ht="37.5" customHeight="1" x14ac:dyDescent="0.25">
      <c r="A41" s="593" t="s">
        <v>380</v>
      </c>
      <c r="B41" s="594" t="s">
        <v>544</v>
      </c>
      <c r="C41" s="594" t="s">
        <v>535</v>
      </c>
      <c r="D41" s="594" t="s">
        <v>545</v>
      </c>
      <c r="E41" s="595" t="s">
        <v>542</v>
      </c>
    </row>
    <row r="42" spans="1:5" ht="27" customHeight="1" x14ac:dyDescent="0.25">
      <c r="A42" s="386"/>
      <c r="B42" s="579"/>
      <c r="C42" s="580">
        <v>0.2</v>
      </c>
      <c r="D42" s="581">
        <f t="shared" ref="D42:D51" si="2">B42*C42</f>
        <v>0</v>
      </c>
      <c r="E42" s="582">
        <f t="shared" ref="E42:E51" si="3">B42-D42</f>
        <v>0</v>
      </c>
    </row>
    <row r="43" spans="1:5" ht="19.5" customHeight="1" x14ac:dyDescent="0.25">
      <c r="A43" s="587"/>
      <c r="B43" s="583"/>
      <c r="C43" s="584">
        <v>0.2</v>
      </c>
      <c r="D43" s="585">
        <f t="shared" si="2"/>
        <v>0</v>
      </c>
      <c r="E43" s="586">
        <f t="shared" si="3"/>
        <v>0</v>
      </c>
    </row>
    <row r="44" spans="1:5" ht="19.5" customHeight="1" x14ac:dyDescent="0.25">
      <c r="A44" s="587"/>
      <c r="B44" s="583"/>
      <c r="C44" s="584"/>
      <c r="D44" s="585">
        <f t="shared" si="2"/>
        <v>0</v>
      </c>
      <c r="E44" s="586">
        <f t="shared" si="3"/>
        <v>0</v>
      </c>
    </row>
    <row r="45" spans="1:5" ht="19.5" customHeight="1" x14ac:dyDescent="0.25">
      <c r="A45" s="587"/>
      <c r="B45" s="583"/>
      <c r="C45" s="584"/>
      <c r="D45" s="585">
        <f t="shared" si="2"/>
        <v>0</v>
      </c>
      <c r="E45" s="586">
        <f t="shared" si="3"/>
        <v>0</v>
      </c>
    </row>
    <row r="46" spans="1:5" ht="19.5" customHeight="1" x14ac:dyDescent="0.25">
      <c r="A46" s="587"/>
      <c r="B46" s="583"/>
      <c r="C46" s="584"/>
      <c r="D46" s="585">
        <f t="shared" si="2"/>
        <v>0</v>
      </c>
      <c r="E46" s="586">
        <f t="shared" si="3"/>
        <v>0</v>
      </c>
    </row>
    <row r="47" spans="1:5" ht="19.5" customHeight="1" x14ac:dyDescent="0.25">
      <c r="A47" s="587"/>
      <c r="B47" s="583"/>
      <c r="C47" s="584"/>
      <c r="D47" s="585">
        <f t="shared" si="2"/>
        <v>0</v>
      </c>
      <c r="E47" s="586">
        <f t="shared" si="3"/>
        <v>0</v>
      </c>
    </row>
    <row r="48" spans="1:5" ht="19.5" customHeight="1" x14ac:dyDescent="0.25">
      <c r="A48" s="587"/>
      <c r="B48" s="583"/>
      <c r="C48" s="584"/>
      <c r="D48" s="585">
        <f t="shared" si="2"/>
        <v>0</v>
      </c>
      <c r="E48" s="586">
        <f t="shared" si="3"/>
        <v>0</v>
      </c>
    </row>
    <row r="49" spans="1:5" ht="19.5" customHeight="1" x14ac:dyDescent="0.25">
      <c r="A49" s="587"/>
      <c r="B49" s="583"/>
      <c r="C49" s="584"/>
      <c r="D49" s="585">
        <f t="shared" si="2"/>
        <v>0</v>
      </c>
      <c r="E49" s="586">
        <f t="shared" si="3"/>
        <v>0</v>
      </c>
    </row>
    <row r="50" spans="1:5" ht="19.5" customHeight="1" x14ac:dyDescent="0.25">
      <c r="A50" s="587"/>
      <c r="B50" s="583"/>
      <c r="C50" s="584"/>
      <c r="D50" s="585">
        <f t="shared" si="2"/>
        <v>0</v>
      </c>
      <c r="E50" s="586">
        <f t="shared" si="3"/>
        <v>0</v>
      </c>
    </row>
    <row r="51" spans="1:5" ht="19.5" customHeight="1" x14ac:dyDescent="0.25">
      <c r="A51" s="390"/>
      <c r="B51" s="596"/>
      <c r="C51" s="597"/>
      <c r="D51" s="598">
        <f t="shared" si="2"/>
        <v>0</v>
      </c>
      <c r="E51" s="599">
        <f t="shared" si="3"/>
        <v>0</v>
      </c>
    </row>
    <row r="52" spans="1:5" ht="19.5" customHeight="1" x14ac:dyDescent="0.25">
      <c r="A52" s="1143"/>
      <c r="B52" s="1143"/>
      <c r="C52" s="1143"/>
      <c r="D52" s="1143"/>
      <c r="E52" s="1143"/>
    </row>
    <row r="53" spans="1:5" ht="19.5" customHeight="1" x14ac:dyDescent="0.25">
      <c r="A53" s="394" t="s">
        <v>549</v>
      </c>
      <c r="B53" s="1144" t="s">
        <v>550</v>
      </c>
      <c r="C53" s="1144"/>
      <c r="D53" s="1144"/>
      <c r="E53" s="1144"/>
    </row>
    <row r="54" spans="1:5" ht="39" customHeight="1" x14ac:dyDescent="0.25">
      <c r="A54" s="593" t="s">
        <v>380</v>
      </c>
      <c r="B54" s="594" t="s">
        <v>544</v>
      </c>
      <c r="C54" s="594" t="s">
        <v>535</v>
      </c>
      <c r="D54" s="594" t="s">
        <v>545</v>
      </c>
      <c r="E54" s="595" t="s">
        <v>542</v>
      </c>
    </row>
    <row r="55" spans="1:5" ht="42" customHeight="1" x14ac:dyDescent="0.25">
      <c r="A55" s="587"/>
      <c r="B55" s="583"/>
      <c r="C55" s="580">
        <v>0.2</v>
      </c>
      <c r="D55" s="581">
        <f t="shared" ref="D55:D64" si="4">B55*C55</f>
        <v>0</v>
      </c>
      <c r="E55" s="582">
        <f t="shared" ref="E55:E64" si="5">B55-D55</f>
        <v>0</v>
      </c>
    </row>
    <row r="56" spans="1:5" ht="19.5" customHeight="1" x14ac:dyDescent="0.25">
      <c r="A56" s="587"/>
      <c r="B56" s="583"/>
      <c r="C56" s="584"/>
      <c r="D56" s="585">
        <f t="shared" si="4"/>
        <v>0</v>
      </c>
      <c r="E56" s="586">
        <f t="shared" si="5"/>
        <v>0</v>
      </c>
    </row>
    <row r="57" spans="1:5" ht="19.5" customHeight="1" x14ac:dyDescent="0.25">
      <c r="A57" s="600"/>
      <c r="B57" s="601"/>
      <c r="C57" s="584"/>
      <c r="D57" s="585">
        <f t="shared" si="4"/>
        <v>0</v>
      </c>
      <c r="E57" s="586">
        <f t="shared" si="5"/>
        <v>0</v>
      </c>
    </row>
    <row r="58" spans="1:5" ht="19.5" customHeight="1" x14ac:dyDescent="0.25">
      <c r="A58" s="587"/>
      <c r="B58" s="583"/>
      <c r="C58" s="584"/>
      <c r="D58" s="585">
        <f t="shared" si="4"/>
        <v>0</v>
      </c>
      <c r="E58" s="586">
        <f t="shared" si="5"/>
        <v>0</v>
      </c>
    </row>
    <row r="59" spans="1:5" ht="19.5" customHeight="1" x14ac:dyDescent="0.25">
      <c r="A59" s="587"/>
      <c r="B59" s="583"/>
      <c r="C59" s="584"/>
      <c r="D59" s="585">
        <f t="shared" si="4"/>
        <v>0</v>
      </c>
      <c r="E59" s="586">
        <f t="shared" si="5"/>
        <v>0</v>
      </c>
    </row>
    <row r="60" spans="1:5" ht="19.5" customHeight="1" x14ac:dyDescent="0.25">
      <c r="A60" s="587"/>
      <c r="B60" s="583"/>
      <c r="C60" s="584"/>
      <c r="D60" s="585">
        <f t="shared" si="4"/>
        <v>0</v>
      </c>
      <c r="E60" s="586">
        <f t="shared" si="5"/>
        <v>0</v>
      </c>
    </row>
    <row r="61" spans="1:5" ht="19.5" customHeight="1" x14ac:dyDescent="0.25">
      <c r="A61" s="587"/>
      <c r="B61" s="583"/>
      <c r="C61" s="584"/>
      <c r="D61" s="585">
        <f t="shared" si="4"/>
        <v>0</v>
      </c>
      <c r="E61" s="586">
        <f t="shared" si="5"/>
        <v>0</v>
      </c>
    </row>
    <row r="62" spans="1:5" ht="19.5" customHeight="1" x14ac:dyDescent="0.25">
      <c r="A62" s="587"/>
      <c r="B62" s="583"/>
      <c r="C62" s="584"/>
      <c r="D62" s="585">
        <f t="shared" si="4"/>
        <v>0</v>
      </c>
      <c r="E62" s="586">
        <f t="shared" si="5"/>
        <v>0</v>
      </c>
    </row>
    <row r="63" spans="1:5" ht="19.5" customHeight="1" x14ac:dyDescent="0.25">
      <c r="A63" s="587"/>
      <c r="B63" s="583"/>
      <c r="C63" s="584"/>
      <c r="D63" s="585">
        <f t="shared" si="4"/>
        <v>0</v>
      </c>
      <c r="E63" s="586">
        <f t="shared" si="5"/>
        <v>0</v>
      </c>
    </row>
    <row r="64" spans="1:5" ht="19.5" customHeight="1" x14ac:dyDescent="0.25">
      <c r="A64" s="588"/>
      <c r="B64" s="589"/>
      <c r="C64" s="590"/>
      <c r="D64" s="591">
        <f t="shared" si="4"/>
        <v>0</v>
      </c>
      <c r="E64" s="592">
        <f t="shared" si="5"/>
        <v>0</v>
      </c>
    </row>
  </sheetData>
  <sheetProtection algorithmName="SHA-512" hashValue="yPcpI3OKDgT2cMPrk3M9doNY27Eg7cC/oip+RsWlOzEWk+86e/otEzJw9p8jie79ygoocu5orXXAn/h7fuMQkA==" saltValue="L+CRnHdfo8bPk3tPcXgbTQ==" spinCount="100000" sheet="1" formatCells="0" formatColumns="0" formatRows="0" insertRows="0" autoFilter="0" pivotTables="0"/>
  <mergeCells count="19">
    <mergeCell ref="A39:E39"/>
    <mergeCell ref="B40:E40"/>
    <mergeCell ref="A52:E52"/>
    <mergeCell ref="B53:E53"/>
    <mergeCell ref="A10:B10"/>
    <mergeCell ref="C10:E10"/>
    <mergeCell ref="A12:D12"/>
    <mergeCell ref="A16:E16"/>
    <mergeCell ref="A24:E24"/>
    <mergeCell ref="A7:E7"/>
    <mergeCell ref="A8:B8"/>
    <mergeCell ref="C8:E8"/>
    <mergeCell ref="A9:B9"/>
    <mergeCell ref="C9:E9"/>
    <mergeCell ref="E1:H1"/>
    <mergeCell ref="E2:H2"/>
    <mergeCell ref="A4:E4"/>
    <mergeCell ref="A5:E5"/>
    <mergeCell ref="A6:E6"/>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N80"/>
  <sheetViews>
    <sheetView showGridLines="0" zoomScale="90" zoomScaleNormal="90" workbookViewId="0">
      <selection activeCell="F12" sqref="F12"/>
    </sheetView>
  </sheetViews>
  <sheetFormatPr baseColWidth="10" defaultColWidth="11.33203125" defaultRowHeight="19.5" customHeight="1" x14ac:dyDescent="0.25"/>
  <cols>
    <col min="1" max="1" width="18.77734375" style="375" customWidth="1"/>
    <col min="2" max="2" width="19.33203125" style="375" customWidth="1"/>
    <col min="3" max="4" width="18.77734375" style="375" customWidth="1"/>
    <col min="5" max="5" width="15.6640625" style="376" customWidth="1"/>
    <col min="6" max="14" width="18.77734375" style="140" customWidth="1"/>
    <col min="15" max="15" width="16.77734375" style="140" customWidth="1"/>
    <col min="16" max="16384" width="11.33203125" style="140"/>
  </cols>
  <sheetData>
    <row r="1" spans="1:14" s="15" customFormat="1" ht="39" customHeight="1" x14ac:dyDescent="0.25">
      <c r="E1" s="14" t="str">
        <f>Instructivo!F1</f>
        <v>Sistema de Gestión Integral (SGI)
Instructivo - Componente Financiero EP
Código: F-PGC-21. Versión: 05</v>
      </c>
      <c r="F1" s="14"/>
      <c r="G1" s="14"/>
      <c r="H1" s="14"/>
      <c r="J1" s="132" t="s">
        <v>102</v>
      </c>
    </row>
    <row r="2" spans="1:14" s="15" customFormat="1" ht="17.25" customHeight="1" x14ac:dyDescent="0.25">
      <c r="E2" s="13" t="s">
        <v>551</v>
      </c>
      <c r="F2" s="13"/>
      <c r="G2" s="13"/>
      <c r="H2" s="13"/>
      <c r="I2" s="441"/>
      <c r="J2" s="420"/>
      <c r="K2" s="378"/>
    </row>
    <row r="3" spans="1:14" ht="6.75" customHeight="1" x14ac:dyDescent="0.25"/>
    <row r="4" spans="1:14" ht="6.75" customHeight="1" x14ac:dyDescent="0.25">
      <c r="A4" s="140"/>
      <c r="B4" s="136"/>
      <c r="C4" s="136"/>
      <c r="D4" s="136"/>
      <c r="E4" s="136"/>
    </row>
    <row r="5" spans="1:14" ht="30.75" customHeight="1" x14ac:dyDescent="0.25">
      <c r="A5" s="1138" t="s">
        <v>552</v>
      </c>
      <c r="B5" s="1138"/>
      <c r="C5" s="1138"/>
      <c r="D5" s="1138"/>
      <c r="E5" s="1138"/>
      <c r="F5" s="1138"/>
      <c r="G5" s="1138"/>
      <c r="H5" s="1138"/>
      <c r="I5" s="1138"/>
      <c r="J5" s="1138"/>
      <c r="K5" s="1138"/>
      <c r="L5" s="1138"/>
      <c r="M5" s="1138"/>
      <c r="N5" s="1138"/>
    </row>
    <row r="6" spans="1:14" ht="18" customHeight="1" x14ac:dyDescent="0.25">
      <c r="A6" s="1139"/>
      <c r="B6" s="1139"/>
      <c r="C6" s="1139"/>
      <c r="D6" s="1139"/>
      <c r="E6" s="1139"/>
    </row>
    <row r="7" spans="1:14" s="136" customFormat="1" ht="19.5" customHeight="1" x14ac:dyDescent="0.25">
      <c r="A7" s="1071" t="s">
        <v>515</v>
      </c>
      <c r="B7" s="1071"/>
      <c r="C7" s="1071"/>
      <c r="D7" s="11"/>
      <c r="E7" s="11"/>
      <c r="F7" s="11"/>
      <c r="G7" s="11"/>
      <c r="H7" s="11"/>
      <c r="I7" s="11"/>
      <c r="J7" s="11"/>
      <c r="K7" s="11"/>
      <c r="L7" s="11"/>
      <c r="M7" s="11"/>
      <c r="N7" s="11"/>
    </row>
    <row r="8" spans="1:14" s="136" customFormat="1" ht="19.5" customHeight="1" x14ac:dyDescent="0.25">
      <c r="A8" s="1071" t="s">
        <v>104</v>
      </c>
      <c r="B8" s="1071"/>
      <c r="C8" s="1071"/>
      <c r="D8" s="1011">
        <f>'Plan Ejecución'!AE4</f>
        <v>0</v>
      </c>
      <c r="E8" s="1011"/>
      <c r="F8" s="1011"/>
      <c r="G8" s="1011"/>
      <c r="H8" s="1011"/>
      <c r="I8" s="1011"/>
      <c r="J8" s="1011"/>
      <c r="K8" s="1011"/>
      <c r="L8" s="1011"/>
      <c r="M8" s="1011"/>
      <c r="N8" s="1011"/>
    </row>
    <row r="9" spans="1:14" ht="39" customHeight="1" x14ac:dyDescent="0.25">
      <c r="A9" s="1071" t="s">
        <v>105</v>
      </c>
      <c r="B9" s="1071"/>
      <c r="C9" s="1071"/>
      <c r="D9" s="1011">
        <f>'Plan Ejecución'!AE5</f>
        <v>0</v>
      </c>
      <c r="E9" s="1011"/>
      <c r="F9" s="1011"/>
      <c r="G9" s="1011"/>
      <c r="H9" s="1011"/>
      <c r="I9" s="1011"/>
      <c r="J9" s="1011"/>
      <c r="K9" s="1011"/>
      <c r="L9" s="1011"/>
      <c r="M9" s="1011"/>
      <c r="N9" s="1011"/>
    </row>
    <row r="10" spans="1:14" ht="19.5" customHeight="1" x14ac:dyDescent="0.25">
      <c r="A10" s="381"/>
      <c r="B10" s="382"/>
      <c r="C10" s="382"/>
      <c r="D10" s="382"/>
      <c r="E10" s="382"/>
    </row>
    <row r="11" spans="1:14" ht="28.5" customHeight="1" x14ac:dyDescent="0.25">
      <c r="A11" s="1145" t="s">
        <v>553</v>
      </c>
      <c r="B11" s="1145"/>
      <c r="C11" s="1145"/>
      <c r="D11" s="602"/>
      <c r="E11" s="382"/>
    </row>
    <row r="12" spans="1:14" ht="34.5" customHeight="1" x14ac:dyDescent="0.25">
      <c r="A12" s="603" t="s">
        <v>554</v>
      </c>
      <c r="B12" s="604" t="s">
        <v>555</v>
      </c>
      <c r="C12" s="605" t="s">
        <v>556</v>
      </c>
      <c r="D12" s="400"/>
      <c r="E12" s="140"/>
    </row>
    <row r="13" spans="1:14" ht="19.5" customHeight="1" x14ac:dyDescent="0.25">
      <c r="A13" s="606"/>
      <c r="B13" s="607"/>
      <c r="C13" s="608"/>
      <c r="D13" s="578"/>
      <c r="E13" s="400"/>
    </row>
    <row r="14" spans="1:14" ht="19.5" customHeight="1" x14ac:dyDescent="0.25">
      <c r="A14" s="609"/>
      <c r="B14" s="610"/>
      <c r="C14" s="611"/>
      <c r="D14" s="578"/>
      <c r="E14" s="379"/>
    </row>
    <row r="15" spans="1:14" ht="19.5" customHeight="1" x14ac:dyDescent="0.25">
      <c r="A15" s="609"/>
      <c r="B15" s="610"/>
      <c r="C15" s="611"/>
      <c r="D15" s="578"/>
      <c r="E15" s="379"/>
    </row>
    <row r="16" spans="1:14" ht="19.5" customHeight="1" x14ac:dyDescent="0.25">
      <c r="A16" s="609"/>
      <c r="B16" s="610"/>
      <c r="C16" s="611"/>
      <c r="D16" s="578"/>
      <c r="E16" s="379"/>
    </row>
    <row r="17" spans="1:7" ht="19.5" customHeight="1" x14ac:dyDescent="0.25">
      <c r="A17" s="609"/>
      <c r="B17" s="610"/>
      <c r="C17" s="611"/>
      <c r="D17" s="578"/>
      <c r="E17" s="379"/>
    </row>
    <row r="18" spans="1:7" ht="19.5" customHeight="1" x14ac:dyDescent="0.25">
      <c r="A18" s="609"/>
      <c r="B18" s="610"/>
      <c r="C18" s="611"/>
      <c r="D18" s="578"/>
      <c r="E18" s="379"/>
    </row>
    <row r="19" spans="1:7" ht="19.5" customHeight="1" x14ac:dyDescent="0.25">
      <c r="A19" s="609"/>
      <c r="B19" s="610"/>
      <c r="C19" s="611"/>
      <c r="D19" s="578"/>
      <c r="E19" s="382"/>
    </row>
    <row r="20" spans="1:7" ht="19.5" customHeight="1" x14ac:dyDescent="0.25">
      <c r="A20" s="609"/>
      <c r="B20" s="584"/>
      <c r="C20" s="611"/>
      <c r="D20" s="578"/>
      <c r="E20" s="140"/>
    </row>
    <row r="21" spans="1:7" ht="19.5" customHeight="1" x14ac:dyDescent="0.25">
      <c r="A21" s="612"/>
      <c r="B21" s="597"/>
      <c r="C21" s="613"/>
      <c r="D21" s="578"/>
      <c r="E21" s="140"/>
    </row>
    <row r="22" spans="1:7" ht="19.5" customHeight="1" x14ac:dyDescent="0.25">
      <c r="A22" s="1146" t="s">
        <v>557</v>
      </c>
      <c r="B22" s="1146"/>
      <c r="C22" s="614" t="str">
        <f>IFERROR(MEDIAN(C13:C21),"")</f>
        <v/>
      </c>
      <c r="D22" s="578"/>
      <c r="E22" s="140"/>
    </row>
    <row r="23" spans="1:7" ht="19.5" customHeight="1" x14ac:dyDescent="0.25">
      <c r="A23" s="1147" t="s">
        <v>558</v>
      </c>
      <c r="B23" s="1147"/>
      <c r="C23" s="615" t="str">
        <f>IFERROR(_xlfn.STDEV.P(C13:C21),"")</f>
        <v/>
      </c>
      <c r="D23" s="578"/>
      <c r="E23" s="140"/>
    </row>
    <row r="24" spans="1:7" ht="19.5" customHeight="1" x14ac:dyDescent="0.25">
      <c r="A24" s="1148" t="s">
        <v>559</v>
      </c>
      <c r="B24" s="1148"/>
      <c r="C24" s="616" t="str">
        <f>IFERROR(C22-C23,"")</f>
        <v/>
      </c>
      <c r="D24" s="578"/>
      <c r="E24" s="140"/>
    </row>
    <row r="25" spans="1:7" ht="19.5" customHeight="1" x14ac:dyDescent="0.25">
      <c r="A25" s="575"/>
      <c r="B25" s="576"/>
      <c r="C25" s="577"/>
      <c r="D25" s="578"/>
      <c r="E25" s="140"/>
    </row>
    <row r="26" spans="1:7" ht="19.5" customHeight="1" x14ac:dyDescent="0.25">
      <c r="A26" s="1149" t="s">
        <v>560</v>
      </c>
      <c r="B26" s="1149"/>
      <c r="C26" s="1149"/>
      <c r="D26" s="1149"/>
      <c r="E26" s="1149"/>
      <c r="F26" s="1149"/>
      <c r="G26" s="400"/>
    </row>
    <row r="27" spans="1:7" ht="19.5" customHeight="1" x14ac:dyDescent="0.25">
      <c r="A27" s="1141" t="s">
        <v>561</v>
      </c>
      <c r="B27" s="1141"/>
      <c r="C27" s="1141"/>
      <c r="D27" s="1141" t="s">
        <v>562</v>
      </c>
      <c r="E27" s="1141"/>
      <c r="F27" s="1141"/>
      <c r="G27" s="400"/>
    </row>
    <row r="28" spans="1:7" ht="30.75" customHeight="1" x14ac:dyDescent="0.25">
      <c r="A28" s="568" t="s">
        <v>554</v>
      </c>
      <c r="B28" s="569" t="s">
        <v>555</v>
      </c>
      <c r="C28" s="570" t="s">
        <v>563</v>
      </c>
      <c r="D28" s="568" t="s">
        <v>554</v>
      </c>
      <c r="E28" s="569" t="s">
        <v>555</v>
      </c>
      <c r="F28" s="570" t="s">
        <v>563</v>
      </c>
      <c r="G28" s="400"/>
    </row>
    <row r="29" spans="1:7" ht="19.5" customHeight="1" x14ac:dyDescent="0.25">
      <c r="A29" s="606"/>
      <c r="B29" s="607"/>
      <c r="C29" s="608"/>
      <c r="D29" s="606"/>
      <c r="E29" s="607"/>
      <c r="F29" s="608"/>
      <c r="G29" s="575"/>
    </row>
    <row r="30" spans="1:7" ht="19.5" customHeight="1" x14ac:dyDescent="0.25">
      <c r="A30" s="609"/>
      <c r="B30" s="610"/>
      <c r="C30" s="611"/>
      <c r="D30" s="609"/>
      <c r="E30" s="610"/>
      <c r="F30" s="611"/>
      <c r="G30" s="575"/>
    </row>
    <row r="31" spans="1:7" ht="19.5" customHeight="1" x14ac:dyDescent="0.25">
      <c r="A31" s="609"/>
      <c r="B31" s="610"/>
      <c r="C31" s="611"/>
      <c r="D31" s="609"/>
      <c r="E31" s="610"/>
      <c r="F31" s="611"/>
      <c r="G31" s="575"/>
    </row>
    <row r="32" spans="1:7" ht="19.5" customHeight="1" x14ac:dyDescent="0.25">
      <c r="A32" s="609"/>
      <c r="B32" s="610"/>
      <c r="C32" s="611"/>
      <c r="D32" s="609"/>
      <c r="E32" s="610"/>
      <c r="F32" s="611"/>
      <c r="G32" s="575"/>
    </row>
    <row r="33" spans="1:14" ht="19.5" customHeight="1" x14ac:dyDescent="0.25">
      <c r="A33" s="609"/>
      <c r="B33" s="610"/>
      <c r="C33" s="611"/>
      <c r="D33" s="609"/>
      <c r="E33" s="610"/>
      <c r="F33" s="611"/>
      <c r="G33" s="575"/>
    </row>
    <row r="34" spans="1:14" ht="19.5" customHeight="1" x14ac:dyDescent="0.25">
      <c r="A34" s="609"/>
      <c r="B34" s="610"/>
      <c r="C34" s="611"/>
      <c r="D34" s="609"/>
      <c r="E34" s="610"/>
      <c r="F34" s="611"/>
      <c r="G34" s="575"/>
    </row>
    <row r="35" spans="1:14" ht="19.5" customHeight="1" x14ac:dyDescent="0.25">
      <c r="A35" s="609"/>
      <c r="B35" s="610"/>
      <c r="C35" s="611"/>
      <c r="D35" s="609"/>
      <c r="E35" s="610"/>
      <c r="F35" s="611"/>
      <c r="G35" s="575"/>
    </row>
    <row r="36" spans="1:14" ht="19.5" customHeight="1" x14ac:dyDescent="0.25">
      <c r="A36" s="609"/>
      <c r="B36" s="584"/>
      <c r="C36" s="611"/>
      <c r="D36" s="609"/>
      <c r="E36" s="584"/>
      <c r="F36" s="611"/>
      <c r="G36" s="575"/>
    </row>
    <row r="37" spans="1:14" ht="19.5" customHeight="1" x14ac:dyDescent="0.25">
      <c r="A37" s="612"/>
      <c r="B37" s="597"/>
      <c r="C37" s="613"/>
      <c r="D37" s="612"/>
      <c r="E37" s="597"/>
      <c r="F37" s="613"/>
      <c r="G37" s="575"/>
    </row>
    <row r="38" spans="1:14" ht="19.5" customHeight="1" x14ac:dyDescent="0.25">
      <c r="A38" s="1146" t="s">
        <v>557</v>
      </c>
      <c r="B38" s="1146"/>
      <c r="C38" s="614" t="str">
        <f>IFERROR(MEDIAN(C29:C37),"")</f>
        <v/>
      </c>
      <c r="D38" s="1146" t="s">
        <v>557</v>
      </c>
      <c r="E38" s="1146"/>
      <c r="F38" s="614" t="str">
        <f>IFERROR(MEDIAN(F29:F37),"")</f>
        <v/>
      </c>
      <c r="G38" s="575"/>
    </row>
    <row r="39" spans="1:14" ht="19.5" customHeight="1" x14ac:dyDescent="0.25">
      <c r="A39" s="1147" t="s">
        <v>558</v>
      </c>
      <c r="B39" s="1147"/>
      <c r="C39" s="615" t="str">
        <f>IFERROR(_xlfn.STDEV.P(C29:C37),"")</f>
        <v/>
      </c>
      <c r="D39" s="1147" t="s">
        <v>558</v>
      </c>
      <c r="E39" s="1147"/>
      <c r="F39" s="615" t="str">
        <f>IFERROR(_xlfn.STDEV.P(F29:F37),"")</f>
        <v/>
      </c>
      <c r="G39" s="575"/>
    </row>
    <row r="40" spans="1:14" ht="19.5" customHeight="1" x14ac:dyDescent="0.25">
      <c r="A40" s="1148" t="s">
        <v>559</v>
      </c>
      <c r="B40" s="1148"/>
      <c r="C40" s="616" t="str">
        <f>IFERROR(C38-C39,"")</f>
        <v/>
      </c>
      <c r="D40" s="1148" t="s">
        <v>559</v>
      </c>
      <c r="E40" s="1148"/>
      <c r="F40" s="616" t="str">
        <f>IFERROR(F38-F39,"")</f>
        <v/>
      </c>
      <c r="G40" s="575"/>
    </row>
    <row r="41" spans="1:14" ht="19.5" customHeight="1" x14ac:dyDescent="0.25">
      <c r="A41" s="379"/>
      <c r="B41" s="575"/>
      <c r="C41" s="576"/>
      <c r="D41" s="577"/>
      <c r="E41" s="578"/>
    </row>
    <row r="42" spans="1:14" ht="19.5" customHeight="1" x14ac:dyDescent="0.25">
      <c r="A42" s="1149" t="s">
        <v>564</v>
      </c>
      <c r="B42" s="1149"/>
      <c r="C42" s="1149"/>
      <c r="D42" s="1149"/>
      <c r="E42" s="1149"/>
      <c r="F42" s="1149"/>
      <c r="G42" s="1149"/>
      <c r="H42" s="1149"/>
      <c r="I42" s="1149"/>
      <c r="J42" s="1149"/>
      <c r="K42" s="1149"/>
      <c r="L42" s="1149"/>
      <c r="M42" s="1149"/>
      <c r="N42" s="1149"/>
    </row>
    <row r="43" spans="1:14" ht="50.25" customHeight="1" x14ac:dyDescent="0.25">
      <c r="A43" s="603" t="s">
        <v>565</v>
      </c>
      <c r="B43" s="604"/>
      <c r="C43" s="604"/>
      <c r="D43" s="604"/>
      <c r="E43" s="604"/>
      <c r="F43" s="604"/>
      <c r="G43" s="604"/>
      <c r="H43" s="604"/>
      <c r="I43" s="604"/>
      <c r="J43" s="604"/>
      <c r="K43" s="617"/>
      <c r="L43" s="618" t="s">
        <v>557</v>
      </c>
      <c r="M43" s="619" t="s">
        <v>558</v>
      </c>
      <c r="N43" s="620" t="s">
        <v>559</v>
      </c>
    </row>
    <row r="44" spans="1:14" ht="19.5" customHeight="1" x14ac:dyDescent="0.25">
      <c r="A44" s="386"/>
      <c r="B44" s="579"/>
      <c r="C44" s="579"/>
      <c r="D44" s="579"/>
      <c r="E44" s="579"/>
      <c r="F44" s="579"/>
      <c r="G44" s="579"/>
      <c r="H44" s="579"/>
      <c r="I44" s="579"/>
      <c r="J44" s="579"/>
      <c r="K44" s="621"/>
      <c r="L44" s="622" t="str">
        <f t="shared" ref="L44:L53" si="0">IFERROR(MEDIAN(B44:K44),"")</f>
        <v/>
      </c>
      <c r="M44" s="623" t="str">
        <f t="shared" ref="M44:M53" si="1">IFERROR(_xlfn.STDEV.P(B44:K44),"")</f>
        <v/>
      </c>
      <c r="N44" s="624" t="str">
        <f t="shared" ref="N44:N53" si="2">IFERROR(L44-M44,"")</f>
        <v/>
      </c>
    </row>
    <row r="45" spans="1:14" ht="19.5" customHeight="1" x14ac:dyDescent="0.25">
      <c r="A45" s="587"/>
      <c r="B45" s="583"/>
      <c r="C45" s="583"/>
      <c r="D45" s="583"/>
      <c r="E45" s="583"/>
      <c r="F45" s="583"/>
      <c r="G45" s="583"/>
      <c r="H45" s="583"/>
      <c r="I45" s="583"/>
      <c r="J45" s="583"/>
      <c r="K45" s="625"/>
      <c r="L45" s="626" t="str">
        <f t="shared" si="0"/>
        <v/>
      </c>
      <c r="M45" s="627" t="str">
        <f t="shared" si="1"/>
        <v/>
      </c>
      <c r="N45" s="628" t="str">
        <f t="shared" si="2"/>
        <v/>
      </c>
    </row>
    <row r="46" spans="1:14" ht="19.5" customHeight="1" x14ac:dyDescent="0.25">
      <c r="A46" s="587"/>
      <c r="B46" s="583"/>
      <c r="C46" s="583"/>
      <c r="D46" s="583"/>
      <c r="E46" s="583"/>
      <c r="F46" s="583"/>
      <c r="G46" s="583"/>
      <c r="H46" s="583"/>
      <c r="I46" s="583"/>
      <c r="J46" s="583"/>
      <c r="K46" s="625"/>
      <c r="L46" s="626" t="str">
        <f t="shared" si="0"/>
        <v/>
      </c>
      <c r="M46" s="627" t="str">
        <f t="shared" si="1"/>
        <v/>
      </c>
      <c r="N46" s="628" t="str">
        <f t="shared" si="2"/>
        <v/>
      </c>
    </row>
    <row r="47" spans="1:14" ht="19.5" customHeight="1" x14ac:dyDescent="0.25">
      <c r="A47" s="587"/>
      <c r="B47" s="583"/>
      <c r="C47" s="583"/>
      <c r="D47" s="583"/>
      <c r="E47" s="583"/>
      <c r="F47" s="583"/>
      <c r="G47" s="583"/>
      <c r="H47" s="583"/>
      <c r="I47" s="583"/>
      <c r="J47" s="583"/>
      <c r="K47" s="625"/>
      <c r="L47" s="626" t="str">
        <f t="shared" si="0"/>
        <v/>
      </c>
      <c r="M47" s="627" t="str">
        <f t="shared" si="1"/>
        <v/>
      </c>
      <c r="N47" s="628" t="str">
        <f t="shared" si="2"/>
        <v/>
      </c>
    </row>
    <row r="48" spans="1:14" ht="19.5" customHeight="1" x14ac:dyDescent="0.25">
      <c r="A48" s="587"/>
      <c r="B48" s="583"/>
      <c r="C48" s="583"/>
      <c r="D48" s="583"/>
      <c r="E48" s="583"/>
      <c r="F48" s="583"/>
      <c r="G48" s="583"/>
      <c r="H48" s="583"/>
      <c r="I48" s="583"/>
      <c r="J48" s="583"/>
      <c r="K48" s="625"/>
      <c r="L48" s="626" t="str">
        <f t="shared" si="0"/>
        <v/>
      </c>
      <c r="M48" s="627" t="str">
        <f t="shared" si="1"/>
        <v/>
      </c>
      <c r="N48" s="628" t="str">
        <f t="shared" si="2"/>
        <v/>
      </c>
    </row>
    <row r="49" spans="1:14" ht="19.5" customHeight="1" x14ac:dyDescent="0.25">
      <c r="A49" s="587"/>
      <c r="B49" s="583"/>
      <c r="C49" s="583"/>
      <c r="D49" s="583"/>
      <c r="E49" s="583"/>
      <c r="F49" s="583"/>
      <c r="G49" s="583"/>
      <c r="H49" s="583"/>
      <c r="I49" s="583"/>
      <c r="J49" s="583"/>
      <c r="K49" s="625"/>
      <c r="L49" s="626" t="str">
        <f t="shared" si="0"/>
        <v/>
      </c>
      <c r="M49" s="627" t="str">
        <f t="shared" si="1"/>
        <v/>
      </c>
      <c r="N49" s="628" t="str">
        <f t="shared" si="2"/>
        <v/>
      </c>
    </row>
    <row r="50" spans="1:14" ht="19.5" customHeight="1" x14ac:dyDescent="0.25">
      <c r="A50" s="600"/>
      <c r="B50" s="583"/>
      <c r="C50" s="583"/>
      <c r="D50" s="583"/>
      <c r="E50" s="583"/>
      <c r="F50" s="583"/>
      <c r="G50" s="583"/>
      <c r="H50" s="583"/>
      <c r="I50" s="583"/>
      <c r="J50" s="583"/>
      <c r="K50" s="625"/>
      <c r="L50" s="626" t="str">
        <f t="shared" si="0"/>
        <v/>
      </c>
      <c r="M50" s="627" t="str">
        <f t="shared" si="1"/>
        <v/>
      </c>
      <c r="N50" s="628" t="str">
        <f t="shared" si="2"/>
        <v/>
      </c>
    </row>
    <row r="51" spans="1:14" ht="19.5" customHeight="1" x14ac:dyDescent="0.25">
      <c r="A51" s="600"/>
      <c r="B51" s="583"/>
      <c r="C51" s="583"/>
      <c r="D51" s="583"/>
      <c r="E51" s="583"/>
      <c r="F51" s="583"/>
      <c r="G51" s="583"/>
      <c r="H51" s="583"/>
      <c r="I51" s="583"/>
      <c r="J51" s="583"/>
      <c r="K51" s="625"/>
      <c r="L51" s="626" t="str">
        <f t="shared" si="0"/>
        <v/>
      </c>
      <c r="M51" s="627" t="str">
        <f t="shared" si="1"/>
        <v/>
      </c>
      <c r="N51" s="628" t="str">
        <f t="shared" si="2"/>
        <v/>
      </c>
    </row>
    <row r="52" spans="1:14" ht="19.5" customHeight="1" x14ac:dyDescent="0.25">
      <c r="A52" s="600"/>
      <c r="B52" s="583"/>
      <c r="C52" s="583"/>
      <c r="D52" s="583"/>
      <c r="E52" s="583"/>
      <c r="F52" s="583"/>
      <c r="G52" s="583"/>
      <c r="H52" s="583"/>
      <c r="I52" s="583"/>
      <c r="J52" s="583"/>
      <c r="K52" s="625"/>
      <c r="L52" s="626" t="str">
        <f t="shared" si="0"/>
        <v/>
      </c>
      <c r="M52" s="627" t="str">
        <f t="shared" si="1"/>
        <v/>
      </c>
      <c r="N52" s="628" t="str">
        <f t="shared" si="2"/>
        <v/>
      </c>
    </row>
    <row r="53" spans="1:14" ht="19.5" customHeight="1" x14ac:dyDescent="0.25">
      <c r="A53" s="629"/>
      <c r="B53" s="589"/>
      <c r="C53" s="589"/>
      <c r="D53" s="589"/>
      <c r="E53" s="589"/>
      <c r="F53" s="589"/>
      <c r="G53" s="589"/>
      <c r="H53" s="589"/>
      <c r="I53" s="589"/>
      <c r="J53" s="589"/>
      <c r="K53" s="630"/>
      <c r="L53" s="631" t="str">
        <f t="shared" si="0"/>
        <v/>
      </c>
      <c r="M53" s="632" t="str">
        <f t="shared" si="1"/>
        <v/>
      </c>
      <c r="N53" s="633" t="str">
        <f t="shared" si="2"/>
        <v/>
      </c>
    </row>
    <row r="54" spans="1:14" ht="19.5" customHeight="1" x14ac:dyDescent="0.25">
      <c r="A54" s="1070"/>
      <c r="B54" s="1070"/>
      <c r="C54" s="1070"/>
      <c r="D54" s="1070"/>
      <c r="E54" s="1070"/>
    </row>
    <row r="55" spans="1:14" ht="19.5" customHeight="1" x14ac:dyDescent="0.25">
      <c r="A55" s="1150" t="s">
        <v>566</v>
      </c>
      <c r="B55" s="1150"/>
      <c r="C55" s="1150"/>
      <c r="D55" s="1150"/>
      <c r="E55" s="1150"/>
      <c r="F55" s="1150"/>
      <c r="G55" s="1150"/>
      <c r="H55" s="1150"/>
      <c r="I55" s="1150"/>
      <c r="J55" s="1150"/>
      <c r="K55" s="1150"/>
      <c r="L55" s="1150"/>
      <c r="M55" s="1150"/>
      <c r="N55" s="1150"/>
    </row>
    <row r="56" spans="1:14" ht="19.5" customHeight="1" x14ac:dyDescent="0.25">
      <c r="A56" s="1151" t="s">
        <v>547</v>
      </c>
      <c r="B56" s="1151"/>
      <c r="C56" s="1144"/>
      <c r="D56" s="1144"/>
      <c r="E56" s="1144"/>
      <c r="F56" s="1144"/>
      <c r="G56" s="1144"/>
      <c r="H56" s="1144"/>
      <c r="I56" s="1144"/>
      <c r="J56" s="1144"/>
      <c r="K56" s="1144"/>
      <c r="L56" s="1144"/>
      <c r="M56" s="1144"/>
      <c r="N56" s="1144"/>
    </row>
    <row r="57" spans="1:14" ht="38.25" customHeight="1" x14ac:dyDescent="0.25">
      <c r="A57" s="603" t="s">
        <v>565</v>
      </c>
      <c r="B57" s="604"/>
      <c r="C57" s="604"/>
      <c r="D57" s="604"/>
      <c r="E57" s="604"/>
      <c r="F57" s="604"/>
      <c r="G57" s="604"/>
      <c r="H57" s="604"/>
      <c r="I57" s="604"/>
      <c r="J57" s="604"/>
      <c r="K57" s="617"/>
      <c r="L57" s="618" t="s">
        <v>557</v>
      </c>
      <c r="M57" s="619" t="s">
        <v>558</v>
      </c>
      <c r="N57" s="620" t="s">
        <v>559</v>
      </c>
    </row>
    <row r="58" spans="1:14" ht="19.5" customHeight="1" x14ac:dyDescent="0.25">
      <c r="A58" s="386"/>
      <c r="B58" s="579"/>
      <c r="C58" s="579"/>
      <c r="D58" s="579"/>
      <c r="E58" s="579"/>
      <c r="F58" s="579"/>
      <c r="G58" s="579"/>
      <c r="H58" s="579"/>
      <c r="I58" s="579"/>
      <c r="J58" s="579"/>
      <c r="K58" s="621"/>
      <c r="L58" s="622" t="str">
        <f t="shared" ref="L58:L67" si="3">IFERROR(MEDIAN(B58:K58),"")</f>
        <v/>
      </c>
      <c r="M58" s="623" t="str">
        <f t="shared" ref="M58:M67" si="4">IFERROR(_xlfn.STDEV.P(B58:K58),"")</f>
        <v/>
      </c>
      <c r="N58" s="624" t="str">
        <f t="shared" ref="N58:N67" si="5">IFERROR(L58-M58,"")</f>
        <v/>
      </c>
    </row>
    <row r="59" spans="1:14" ht="19.5" customHeight="1" x14ac:dyDescent="0.25">
      <c r="A59" s="587"/>
      <c r="B59" s="583"/>
      <c r="C59" s="583"/>
      <c r="D59" s="583"/>
      <c r="E59" s="583"/>
      <c r="F59" s="583"/>
      <c r="G59" s="583"/>
      <c r="H59" s="583"/>
      <c r="I59" s="583"/>
      <c r="J59" s="583"/>
      <c r="K59" s="625"/>
      <c r="L59" s="626" t="str">
        <f t="shared" si="3"/>
        <v/>
      </c>
      <c r="M59" s="627" t="str">
        <f t="shared" si="4"/>
        <v/>
      </c>
      <c r="N59" s="628" t="str">
        <f t="shared" si="5"/>
        <v/>
      </c>
    </row>
    <row r="60" spans="1:14" ht="19.5" customHeight="1" x14ac:dyDescent="0.25">
      <c r="A60" s="587"/>
      <c r="B60" s="583"/>
      <c r="C60" s="583"/>
      <c r="D60" s="583"/>
      <c r="E60" s="583"/>
      <c r="F60" s="583"/>
      <c r="G60" s="583"/>
      <c r="H60" s="583"/>
      <c r="I60" s="583"/>
      <c r="J60" s="583"/>
      <c r="K60" s="625"/>
      <c r="L60" s="626" t="str">
        <f t="shared" si="3"/>
        <v/>
      </c>
      <c r="M60" s="627" t="str">
        <f t="shared" si="4"/>
        <v/>
      </c>
      <c r="N60" s="628" t="str">
        <f t="shared" si="5"/>
        <v/>
      </c>
    </row>
    <row r="61" spans="1:14" ht="19.5" customHeight="1" x14ac:dyDescent="0.25">
      <c r="A61" s="587"/>
      <c r="B61" s="583"/>
      <c r="C61" s="583"/>
      <c r="D61" s="583"/>
      <c r="E61" s="583"/>
      <c r="F61" s="583"/>
      <c r="G61" s="583"/>
      <c r="H61" s="583"/>
      <c r="I61" s="583"/>
      <c r="J61" s="583"/>
      <c r="K61" s="625"/>
      <c r="L61" s="626" t="str">
        <f t="shared" si="3"/>
        <v/>
      </c>
      <c r="M61" s="627" t="str">
        <f t="shared" si="4"/>
        <v/>
      </c>
      <c r="N61" s="628" t="str">
        <f t="shared" si="5"/>
        <v/>
      </c>
    </row>
    <row r="62" spans="1:14" ht="19.5" customHeight="1" x14ac:dyDescent="0.25">
      <c r="A62" s="587"/>
      <c r="B62" s="583"/>
      <c r="C62" s="583"/>
      <c r="D62" s="583"/>
      <c r="E62" s="583"/>
      <c r="F62" s="583"/>
      <c r="G62" s="583"/>
      <c r="H62" s="583"/>
      <c r="I62" s="583"/>
      <c r="J62" s="583"/>
      <c r="K62" s="625"/>
      <c r="L62" s="626" t="str">
        <f t="shared" si="3"/>
        <v/>
      </c>
      <c r="M62" s="627" t="str">
        <f t="shared" si="4"/>
        <v/>
      </c>
      <c r="N62" s="628" t="str">
        <f t="shared" si="5"/>
        <v/>
      </c>
    </row>
    <row r="63" spans="1:14" ht="19.5" customHeight="1" x14ac:dyDescent="0.25">
      <c r="A63" s="587"/>
      <c r="B63" s="583"/>
      <c r="C63" s="583"/>
      <c r="D63" s="583"/>
      <c r="E63" s="583"/>
      <c r="F63" s="583"/>
      <c r="G63" s="583"/>
      <c r="H63" s="583"/>
      <c r="I63" s="583"/>
      <c r="J63" s="583"/>
      <c r="K63" s="625"/>
      <c r="L63" s="626" t="str">
        <f t="shared" si="3"/>
        <v/>
      </c>
      <c r="M63" s="627" t="str">
        <f t="shared" si="4"/>
        <v/>
      </c>
      <c r="N63" s="628" t="str">
        <f t="shared" si="5"/>
        <v/>
      </c>
    </row>
    <row r="64" spans="1:14" ht="19.5" customHeight="1" x14ac:dyDescent="0.25">
      <c r="A64" s="600"/>
      <c r="B64" s="583"/>
      <c r="C64" s="583"/>
      <c r="D64" s="583"/>
      <c r="E64" s="583"/>
      <c r="F64" s="583"/>
      <c r="G64" s="583"/>
      <c r="H64" s="583"/>
      <c r="I64" s="583"/>
      <c r="J64" s="583"/>
      <c r="K64" s="625"/>
      <c r="L64" s="626" t="str">
        <f t="shared" si="3"/>
        <v/>
      </c>
      <c r="M64" s="627" t="str">
        <f t="shared" si="4"/>
        <v/>
      </c>
      <c r="N64" s="628" t="str">
        <f t="shared" si="5"/>
        <v/>
      </c>
    </row>
    <row r="65" spans="1:14" ht="19.5" customHeight="1" x14ac:dyDescent="0.25">
      <c r="A65" s="600"/>
      <c r="B65" s="583"/>
      <c r="C65" s="583"/>
      <c r="D65" s="583"/>
      <c r="E65" s="583"/>
      <c r="F65" s="583"/>
      <c r="G65" s="583"/>
      <c r="H65" s="583"/>
      <c r="I65" s="583"/>
      <c r="J65" s="583"/>
      <c r="K65" s="625"/>
      <c r="L65" s="626" t="str">
        <f t="shared" si="3"/>
        <v/>
      </c>
      <c r="M65" s="627" t="str">
        <f t="shared" si="4"/>
        <v/>
      </c>
      <c r="N65" s="628" t="str">
        <f t="shared" si="5"/>
        <v/>
      </c>
    </row>
    <row r="66" spans="1:14" ht="19.5" customHeight="1" x14ac:dyDescent="0.25">
      <c r="A66" s="600"/>
      <c r="B66" s="583"/>
      <c r="C66" s="583"/>
      <c r="D66" s="583"/>
      <c r="E66" s="583"/>
      <c r="F66" s="583"/>
      <c r="G66" s="583"/>
      <c r="H66" s="583"/>
      <c r="I66" s="583"/>
      <c r="J66" s="583"/>
      <c r="K66" s="625"/>
      <c r="L66" s="626" t="str">
        <f t="shared" si="3"/>
        <v/>
      </c>
      <c r="M66" s="627" t="str">
        <f t="shared" si="4"/>
        <v/>
      </c>
      <c r="N66" s="628" t="str">
        <f t="shared" si="5"/>
        <v/>
      </c>
    </row>
    <row r="67" spans="1:14" ht="22.5" customHeight="1" x14ac:dyDescent="0.25">
      <c r="A67" s="629"/>
      <c r="B67" s="589"/>
      <c r="C67" s="589"/>
      <c r="D67" s="589"/>
      <c r="E67" s="589"/>
      <c r="F67" s="589"/>
      <c r="G67" s="589"/>
      <c r="H67" s="589"/>
      <c r="I67" s="589"/>
      <c r="J67" s="589"/>
      <c r="K67" s="630"/>
      <c r="L67" s="631" t="str">
        <f t="shared" si="3"/>
        <v/>
      </c>
      <c r="M67" s="632" t="str">
        <f t="shared" si="4"/>
        <v/>
      </c>
      <c r="N67" s="633" t="str">
        <f t="shared" si="5"/>
        <v/>
      </c>
    </row>
    <row r="68" spans="1:14" ht="19.5" customHeight="1" x14ac:dyDescent="0.25">
      <c r="A68" s="1152"/>
      <c r="B68" s="1152"/>
      <c r="C68" s="1152"/>
      <c r="D68" s="1152"/>
      <c r="E68" s="1152"/>
      <c r="F68" s="1152"/>
      <c r="G68" s="1152"/>
      <c r="H68" s="1152"/>
      <c r="I68" s="1152"/>
      <c r="J68" s="1152"/>
      <c r="K68" s="1152"/>
      <c r="L68" s="1152"/>
      <c r="M68" s="1152"/>
      <c r="N68" s="1152"/>
    </row>
    <row r="69" spans="1:14" ht="19.5" customHeight="1" x14ac:dyDescent="0.25">
      <c r="A69" s="1151" t="s">
        <v>567</v>
      </c>
      <c r="B69" s="1151"/>
      <c r="C69" s="1144"/>
      <c r="D69" s="1144"/>
      <c r="E69" s="1144"/>
      <c r="F69" s="1144"/>
      <c r="G69" s="1144"/>
      <c r="H69" s="1144"/>
      <c r="I69" s="1144"/>
      <c r="J69" s="1144"/>
      <c r="K69" s="1144"/>
      <c r="L69" s="1144"/>
      <c r="M69" s="1144"/>
      <c r="N69" s="1144"/>
    </row>
    <row r="70" spans="1:14" ht="39.75" customHeight="1" x14ac:dyDescent="0.25">
      <c r="A70" s="603" t="s">
        <v>565</v>
      </c>
      <c r="B70" s="604"/>
      <c r="C70" s="604"/>
      <c r="D70" s="604"/>
      <c r="E70" s="604"/>
      <c r="F70" s="604"/>
      <c r="G70" s="604"/>
      <c r="H70" s="604"/>
      <c r="I70" s="604"/>
      <c r="J70" s="604"/>
      <c r="K70" s="617"/>
      <c r="L70" s="618" t="s">
        <v>557</v>
      </c>
      <c r="M70" s="619" t="s">
        <v>558</v>
      </c>
      <c r="N70" s="620" t="s">
        <v>559</v>
      </c>
    </row>
    <row r="71" spans="1:14" ht="19.5" customHeight="1" x14ac:dyDescent="0.25">
      <c r="A71" s="386"/>
      <c r="B71" s="579"/>
      <c r="C71" s="579"/>
      <c r="D71" s="579"/>
      <c r="E71" s="579"/>
      <c r="F71" s="579"/>
      <c r="G71" s="579"/>
      <c r="H71" s="579"/>
      <c r="I71" s="579"/>
      <c r="J71" s="579"/>
      <c r="K71" s="621"/>
      <c r="L71" s="622" t="str">
        <f t="shared" ref="L71:L80" si="6">IFERROR(MEDIAN(B71:K71),"")</f>
        <v/>
      </c>
      <c r="M71" s="623" t="str">
        <f t="shared" ref="M71:M80" si="7">IFERROR(_xlfn.STDEV.P(B71:K71),"")</f>
        <v/>
      </c>
      <c r="N71" s="624" t="str">
        <f t="shared" ref="N71:N80" si="8">IFERROR(L71-M71,"")</f>
        <v/>
      </c>
    </row>
    <row r="72" spans="1:14" ht="19.5" customHeight="1" x14ac:dyDescent="0.25">
      <c r="A72" s="587"/>
      <c r="B72" s="583"/>
      <c r="C72" s="583"/>
      <c r="D72" s="583"/>
      <c r="E72" s="583"/>
      <c r="F72" s="583"/>
      <c r="G72" s="583"/>
      <c r="H72" s="583"/>
      <c r="I72" s="583"/>
      <c r="J72" s="583"/>
      <c r="K72" s="625"/>
      <c r="L72" s="626" t="str">
        <f t="shared" si="6"/>
        <v/>
      </c>
      <c r="M72" s="627" t="str">
        <f t="shared" si="7"/>
        <v/>
      </c>
      <c r="N72" s="628" t="str">
        <f t="shared" si="8"/>
        <v/>
      </c>
    </row>
    <row r="73" spans="1:14" ht="19.5" customHeight="1" x14ac:dyDescent="0.25">
      <c r="A73" s="587"/>
      <c r="B73" s="583"/>
      <c r="C73" s="583"/>
      <c r="D73" s="583"/>
      <c r="E73" s="583"/>
      <c r="F73" s="583"/>
      <c r="G73" s="583"/>
      <c r="H73" s="583"/>
      <c r="I73" s="583"/>
      <c r="J73" s="583"/>
      <c r="K73" s="625"/>
      <c r="L73" s="626" t="str">
        <f t="shared" si="6"/>
        <v/>
      </c>
      <c r="M73" s="627" t="str">
        <f t="shared" si="7"/>
        <v/>
      </c>
      <c r="N73" s="628" t="str">
        <f t="shared" si="8"/>
        <v/>
      </c>
    </row>
    <row r="74" spans="1:14" ht="19.5" customHeight="1" x14ac:dyDescent="0.25">
      <c r="A74" s="587"/>
      <c r="B74" s="583"/>
      <c r="C74" s="583"/>
      <c r="D74" s="583"/>
      <c r="E74" s="583"/>
      <c r="F74" s="583"/>
      <c r="G74" s="583"/>
      <c r="H74" s="583"/>
      <c r="I74" s="583"/>
      <c r="J74" s="583"/>
      <c r="K74" s="625"/>
      <c r="L74" s="626" t="str">
        <f t="shared" si="6"/>
        <v/>
      </c>
      <c r="M74" s="627" t="str">
        <f t="shared" si="7"/>
        <v/>
      </c>
      <c r="N74" s="628" t="str">
        <f t="shared" si="8"/>
        <v/>
      </c>
    </row>
    <row r="75" spans="1:14" ht="19.5" customHeight="1" x14ac:dyDescent="0.25">
      <c r="A75" s="587"/>
      <c r="B75" s="583"/>
      <c r="C75" s="583"/>
      <c r="D75" s="583"/>
      <c r="E75" s="583"/>
      <c r="F75" s="583"/>
      <c r="G75" s="583"/>
      <c r="H75" s="583"/>
      <c r="I75" s="583"/>
      <c r="J75" s="583"/>
      <c r="K75" s="625"/>
      <c r="L75" s="626" t="str">
        <f t="shared" si="6"/>
        <v/>
      </c>
      <c r="M75" s="627" t="str">
        <f t="shared" si="7"/>
        <v/>
      </c>
      <c r="N75" s="628" t="str">
        <f t="shared" si="8"/>
        <v/>
      </c>
    </row>
    <row r="76" spans="1:14" ht="19.5" customHeight="1" x14ac:dyDescent="0.25">
      <c r="A76" s="587"/>
      <c r="B76" s="583"/>
      <c r="C76" s="583"/>
      <c r="D76" s="583"/>
      <c r="E76" s="583"/>
      <c r="F76" s="583"/>
      <c r="G76" s="583"/>
      <c r="H76" s="583"/>
      <c r="I76" s="583"/>
      <c r="J76" s="583"/>
      <c r="K76" s="625"/>
      <c r="L76" s="626" t="str">
        <f t="shared" si="6"/>
        <v/>
      </c>
      <c r="M76" s="627" t="str">
        <f t="shared" si="7"/>
        <v/>
      </c>
      <c r="N76" s="628" t="str">
        <f t="shared" si="8"/>
        <v/>
      </c>
    </row>
    <row r="77" spans="1:14" ht="19.5" customHeight="1" x14ac:dyDescent="0.25">
      <c r="A77" s="600"/>
      <c r="B77" s="583"/>
      <c r="C77" s="583"/>
      <c r="D77" s="583"/>
      <c r="E77" s="583"/>
      <c r="F77" s="583"/>
      <c r="G77" s="583"/>
      <c r="H77" s="583"/>
      <c r="I77" s="583"/>
      <c r="J77" s="583"/>
      <c r="K77" s="625"/>
      <c r="L77" s="626" t="str">
        <f t="shared" si="6"/>
        <v/>
      </c>
      <c r="M77" s="627" t="str">
        <f t="shared" si="7"/>
        <v/>
      </c>
      <c r="N77" s="628" t="str">
        <f t="shared" si="8"/>
        <v/>
      </c>
    </row>
    <row r="78" spans="1:14" ht="19.5" customHeight="1" x14ac:dyDescent="0.25">
      <c r="A78" s="600"/>
      <c r="B78" s="583"/>
      <c r="C78" s="583"/>
      <c r="D78" s="583"/>
      <c r="E78" s="583"/>
      <c r="F78" s="583"/>
      <c r="G78" s="583"/>
      <c r="H78" s="583"/>
      <c r="I78" s="583"/>
      <c r="J78" s="583"/>
      <c r="K78" s="625"/>
      <c r="L78" s="626" t="str">
        <f t="shared" si="6"/>
        <v/>
      </c>
      <c r="M78" s="627" t="str">
        <f t="shared" si="7"/>
        <v/>
      </c>
      <c r="N78" s="628" t="str">
        <f t="shared" si="8"/>
        <v/>
      </c>
    </row>
    <row r="79" spans="1:14" ht="19.5" customHeight="1" x14ac:dyDescent="0.25">
      <c r="A79" s="600"/>
      <c r="B79" s="583"/>
      <c r="C79" s="583"/>
      <c r="D79" s="583"/>
      <c r="E79" s="583"/>
      <c r="F79" s="583"/>
      <c r="G79" s="583"/>
      <c r="H79" s="583"/>
      <c r="I79" s="583"/>
      <c r="J79" s="583"/>
      <c r="K79" s="625"/>
      <c r="L79" s="626" t="str">
        <f t="shared" si="6"/>
        <v/>
      </c>
      <c r="M79" s="627" t="str">
        <f t="shared" si="7"/>
        <v/>
      </c>
      <c r="N79" s="628" t="str">
        <f t="shared" si="8"/>
        <v/>
      </c>
    </row>
    <row r="80" spans="1:14" ht="19.5" customHeight="1" x14ac:dyDescent="0.25">
      <c r="A80" s="629"/>
      <c r="B80" s="589"/>
      <c r="C80" s="589"/>
      <c r="D80" s="589"/>
      <c r="E80" s="589"/>
      <c r="F80" s="589"/>
      <c r="G80" s="589"/>
      <c r="H80" s="589"/>
      <c r="I80" s="589"/>
      <c r="J80" s="589"/>
      <c r="K80" s="630"/>
      <c r="L80" s="631" t="str">
        <f t="shared" si="6"/>
        <v/>
      </c>
      <c r="M80" s="632" t="str">
        <f t="shared" si="7"/>
        <v/>
      </c>
      <c r="N80" s="633" t="str">
        <f t="shared" si="8"/>
        <v/>
      </c>
    </row>
  </sheetData>
  <sheetProtection algorithmName="SHA-512" hashValue="sfEBlt2sio6cs7M3hq0sx8ZNwiosewqkKswUqSswLB7vy8fGklAmAUKJfyy0We4XxyjQhm3zllpkYAmK3hWhwQ==" saltValue="rQon523zL55l/dgA+70H/Q==" spinCount="100000" sheet="1" formatCells="0" formatColumns="0" formatRows="0" insertRows="0" autoFilter="0" pivotTables="0"/>
  <mergeCells count="31">
    <mergeCell ref="A68:N68"/>
    <mergeCell ref="A69:B69"/>
    <mergeCell ref="C69:N69"/>
    <mergeCell ref="A42:N42"/>
    <mergeCell ref="A54:E54"/>
    <mergeCell ref="A55:N55"/>
    <mergeCell ref="A56:B56"/>
    <mergeCell ref="C56:N56"/>
    <mergeCell ref="A38:B38"/>
    <mergeCell ref="D38:E38"/>
    <mergeCell ref="A39:B39"/>
    <mergeCell ref="D39:E39"/>
    <mergeCell ref="A40:B40"/>
    <mergeCell ref="D40:E40"/>
    <mergeCell ref="A22:B22"/>
    <mergeCell ref="A23:B23"/>
    <mergeCell ref="A24:B24"/>
    <mergeCell ref="A26:F26"/>
    <mergeCell ref="A27:C27"/>
    <mergeCell ref="D27:F27"/>
    <mergeCell ref="A8:C8"/>
    <mergeCell ref="D8:N8"/>
    <mergeCell ref="A9:C9"/>
    <mergeCell ref="D9:N9"/>
    <mergeCell ref="A11:C11"/>
    <mergeCell ref="E1:H1"/>
    <mergeCell ref="E2:H2"/>
    <mergeCell ref="A5:N5"/>
    <mergeCell ref="A6:E6"/>
    <mergeCell ref="A7:C7"/>
    <mergeCell ref="D7:N7"/>
  </mergeCells>
  <conditionalFormatting sqref="B44:K44">
    <cfRule type="cellIs" dxfId="40" priority="38" operator="lessThan">
      <formula>$N$44</formula>
    </cfRule>
  </conditionalFormatting>
  <conditionalFormatting sqref="B45:K45">
    <cfRule type="cellIs" dxfId="39" priority="37" operator="lessThan">
      <formula>$N$45</formula>
    </cfRule>
  </conditionalFormatting>
  <conditionalFormatting sqref="B46:K46">
    <cfRule type="cellIs" dxfId="38" priority="35" operator="lessThan">
      <formula>$N$46</formula>
    </cfRule>
  </conditionalFormatting>
  <conditionalFormatting sqref="B47:K47">
    <cfRule type="cellIs" dxfId="37" priority="34" operator="lessThan">
      <formula>$N$47</formula>
    </cfRule>
  </conditionalFormatting>
  <conditionalFormatting sqref="B48:K48">
    <cfRule type="cellIs" dxfId="36" priority="33" operator="lessThan">
      <formula>$N$48</formula>
    </cfRule>
  </conditionalFormatting>
  <conditionalFormatting sqref="B49:K49">
    <cfRule type="cellIs" dxfId="35" priority="32" operator="lessThan">
      <formula>$N$49</formula>
    </cfRule>
  </conditionalFormatting>
  <conditionalFormatting sqref="B50:K50">
    <cfRule type="cellIs" dxfId="34" priority="31" operator="lessThan">
      <formula>$N$50</formula>
    </cfRule>
  </conditionalFormatting>
  <conditionalFormatting sqref="B51:K51">
    <cfRule type="cellIs" dxfId="33" priority="30" operator="lessThan">
      <formula>$N$51</formula>
    </cfRule>
  </conditionalFormatting>
  <conditionalFormatting sqref="B52:K52">
    <cfRule type="cellIs" dxfId="32" priority="29" operator="lessThan">
      <formula>$N$52</formula>
    </cfRule>
  </conditionalFormatting>
  <conditionalFormatting sqref="B53:K53">
    <cfRule type="cellIs" dxfId="31" priority="28" operator="lessThan">
      <formula>$N$53</formula>
    </cfRule>
  </conditionalFormatting>
  <conditionalFormatting sqref="B58:K58">
    <cfRule type="cellIs" dxfId="30" priority="27" operator="lessThan">
      <formula>$N$44</formula>
    </cfRule>
  </conditionalFormatting>
  <conditionalFormatting sqref="B59:K59">
    <cfRule type="cellIs" dxfId="29" priority="26" operator="lessThan">
      <formula>$N$45</formula>
    </cfRule>
  </conditionalFormatting>
  <conditionalFormatting sqref="B60:K60">
    <cfRule type="cellIs" dxfId="28" priority="25" operator="lessThan">
      <formula>$N$46</formula>
    </cfRule>
  </conditionalFormatting>
  <conditionalFormatting sqref="B61:K61">
    <cfRule type="cellIs" dxfId="27" priority="21" operator="lessThan">
      <formula>$N$61</formula>
    </cfRule>
  </conditionalFormatting>
  <conditionalFormatting sqref="B62:K62">
    <cfRule type="cellIs" dxfId="26" priority="20" operator="lessThan">
      <formula>$N$48</formula>
    </cfRule>
    <cfRule type="cellIs" dxfId="25" priority="19" operator="lessThan">
      <formula>$N$62</formula>
    </cfRule>
  </conditionalFormatting>
  <conditionalFormatting sqref="B63:K63">
    <cfRule type="cellIs" dxfId="24" priority="18" operator="lessThan">
      <formula>$N$49</formula>
    </cfRule>
    <cfRule type="cellIs" dxfId="23" priority="17" operator="lessThan">
      <formula>$N$63</formula>
    </cfRule>
  </conditionalFormatting>
  <conditionalFormatting sqref="B64:K64">
    <cfRule type="cellIs" dxfId="22" priority="16" operator="lessThan">
      <formula>$N$50</formula>
    </cfRule>
    <cfRule type="cellIs" dxfId="21" priority="15" operator="lessThan">
      <formula>$N$64</formula>
    </cfRule>
  </conditionalFormatting>
  <conditionalFormatting sqref="B65:K65">
    <cfRule type="cellIs" dxfId="20" priority="14" operator="lessThan">
      <formula>$N$51</formula>
    </cfRule>
    <cfRule type="cellIs" dxfId="19" priority="13" operator="lessThan">
      <formula>$N$65</formula>
    </cfRule>
  </conditionalFormatting>
  <conditionalFormatting sqref="B66:K66">
    <cfRule type="cellIs" dxfId="18" priority="12" operator="lessThan">
      <formula>$N$52</formula>
    </cfRule>
    <cfRule type="cellIs" dxfId="17" priority="11" operator="lessThan">
      <formula>$N$66</formula>
    </cfRule>
  </conditionalFormatting>
  <conditionalFormatting sqref="B67:K67">
    <cfRule type="cellIs" dxfId="16" priority="10" operator="lessThan">
      <formula>$N$53</formula>
    </cfRule>
    <cfRule type="cellIs" dxfId="15" priority="9" operator="lessThan">
      <formula>$N$67</formula>
    </cfRule>
  </conditionalFormatting>
  <conditionalFormatting sqref="B71:K71">
    <cfRule type="cellIs" dxfId="14" priority="24" operator="lessThan">
      <formula>$N$44</formula>
    </cfRule>
  </conditionalFormatting>
  <conditionalFormatting sqref="B72:K72">
    <cfRule type="cellIs" dxfId="13" priority="23" operator="lessThan">
      <formula>$N$45</formula>
    </cfRule>
  </conditionalFormatting>
  <conditionalFormatting sqref="B73:K73">
    <cfRule type="cellIs" dxfId="12" priority="22" operator="lessThan">
      <formula>$N$46</formula>
    </cfRule>
  </conditionalFormatting>
  <conditionalFormatting sqref="B74:K74">
    <cfRule type="cellIs" dxfId="11" priority="8" operator="lessThan">
      <formula>$N$74</formula>
    </cfRule>
  </conditionalFormatting>
  <conditionalFormatting sqref="B75:K75">
    <cfRule type="cellIs" dxfId="10" priority="7" operator="lessThan">
      <formula>$N$75</formula>
    </cfRule>
  </conditionalFormatting>
  <conditionalFormatting sqref="B76:K76">
    <cfRule type="cellIs" dxfId="9" priority="6" operator="lessThan">
      <formula>$N$76</formula>
    </cfRule>
  </conditionalFormatting>
  <conditionalFormatting sqref="B77:K77">
    <cfRule type="cellIs" dxfId="8" priority="5" operator="lessThan">
      <formula>$N$77</formula>
    </cfRule>
  </conditionalFormatting>
  <conditionalFormatting sqref="B78:K78">
    <cfRule type="cellIs" dxfId="7" priority="4" operator="lessThan">
      <formula>$N$78</formula>
    </cfRule>
  </conditionalFormatting>
  <conditionalFormatting sqref="B79:K79">
    <cfRule type="cellIs" dxfId="6" priority="3" operator="lessThan">
      <formula>$N$79</formula>
    </cfRule>
  </conditionalFormatting>
  <conditionalFormatting sqref="B80:K80">
    <cfRule type="cellIs" dxfId="5" priority="2" operator="lessThan">
      <formula>$N$80</formula>
    </cfRule>
  </conditionalFormatting>
  <conditionalFormatting sqref="C13:C21">
    <cfRule type="cellIs" dxfId="4" priority="36" operator="lessThan">
      <formula>$C$24</formula>
    </cfRule>
  </conditionalFormatting>
  <conditionalFormatting sqref="C29:C37">
    <cfRule type="cellIs" dxfId="3" priority="40" operator="lessThan">
      <formula>$C$40</formula>
    </cfRule>
  </conditionalFormatting>
  <conditionalFormatting sqref="F29:F37">
    <cfRule type="cellIs" dxfId="2" priority="39" operator="lessThan">
      <formula>$F$40</formula>
    </cfRule>
  </conditionalFormatting>
  <printOptions horizontalCentered="1"/>
  <pageMargins left="0" right="0" top="0" bottom="0" header="0.511811023622047" footer="0.511811023622047"/>
  <pageSetup fitToHeight="0" orientation="landscape" horizontalDpi="300" verticalDpi="300"/>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K29"/>
  <sheetViews>
    <sheetView showGridLines="0" topLeftCell="A12" zoomScale="85" zoomScaleNormal="85" workbookViewId="0">
      <selection activeCell="K6" sqref="K6"/>
    </sheetView>
  </sheetViews>
  <sheetFormatPr baseColWidth="10" defaultColWidth="13.33203125" defaultRowHeight="19.5" customHeight="1" x14ac:dyDescent="0.25"/>
  <cols>
    <col min="1" max="3" width="30.77734375" style="634" customWidth="1"/>
    <col min="4" max="4" width="14.77734375" style="634" customWidth="1"/>
    <col min="5" max="5" width="19" style="634" customWidth="1"/>
    <col min="6" max="7" width="17" style="634" customWidth="1"/>
    <col min="8" max="8" width="17.77734375" style="634" customWidth="1"/>
    <col min="9" max="9" width="11.33203125" style="634" customWidth="1"/>
    <col min="10" max="10" width="11.109375" style="634" customWidth="1"/>
    <col min="11" max="11" width="21.33203125" style="634" customWidth="1"/>
    <col min="12" max="16384" width="13.33203125" style="634"/>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25.5" customHeight="1" x14ac:dyDescent="0.25">
      <c r="E2" s="13" t="s">
        <v>568</v>
      </c>
      <c r="F2" s="13"/>
      <c r="G2" s="13"/>
      <c r="H2" s="13"/>
      <c r="I2" s="441"/>
      <c r="J2" s="420" t="s">
        <v>31</v>
      </c>
      <c r="K2" s="378"/>
    </row>
    <row r="3" spans="1:11" ht="9.75" customHeight="1" x14ac:dyDescent="0.25"/>
    <row r="4" spans="1:11" ht="19.5" customHeight="1" x14ac:dyDescent="0.25">
      <c r="A4" s="1071" t="s">
        <v>515</v>
      </c>
      <c r="B4" s="1071"/>
      <c r="C4" s="11"/>
      <c r="D4" s="11"/>
      <c r="E4" s="11"/>
      <c r="F4" s="11"/>
      <c r="G4" s="11"/>
      <c r="H4" s="11"/>
      <c r="I4" s="11"/>
      <c r="J4" s="11"/>
    </row>
    <row r="5" spans="1:11" ht="27" customHeight="1" x14ac:dyDescent="0.25">
      <c r="A5" s="12" t="s">
        <v>104</v>
      </c>
      <c r="B5" s="12"/>
      <c r="C5" s="1011">
        <f>'Plan Ejecución'!AE4</f>
        <v>0</v>
      </c>
      <c r="D5" s="1011"/>
      <c r="E5" s="1011"/>
      <c r="F5" s="1011"/>
      <c r="G5" s="1011"/>
      <c r="H5" s="1011"/>
      <c r="I5" s="1011"/>
      <c r="J5" s="1011"/>
    </row>
    <row r="6" spans="1:11" ht="45.75" customHeight="1" x14ac:dyDescent="0.25">
      <c r="A6" s="12" t="s">
        <v>105</v>
      </c>
      <c r="B6" s="12"/>
      <c r="C6" s="1011">
        <f>'Plan Ejecución'!AE5</f>
        <v>0</v>
      </c>
      <c r="D6" s="1011"/>
      <c r="E6" s="1011"/>
      <c r="F6" s="1011"/>
      <c r="G6" s="1011"/>
      <c r="H6" s="1011"/>
      <c r="I6" s="1011"/>
      <c r="J6" s="1011"/>
    </row>
    <row r="7" spans="1:11" ht="9.75" customHeight="1" x14ac:dyDescent="0.25"/>
    <row r="8" spans="1:11" ht="24" customHeight="1" x14ac:dyDescent="0.25">
      <c r="A8" s="1153" t="s">
        <v>569</v>
      </c>
      <c r="B8" s="1153"/>
      <c r="C8" s="1153"/>
      <c r="D8" s="1153"/>
      <c r="E8" s="1153"/>
      <c r="F8" s="1153"/>
      <c r="G8" s="1153"/>
      <c r="H8" s="1153"/>
      <c r="I8" s="1154" t="s">
        <v>570</v>
      </c>
      <c r="J8" s="1154"/>
    </row>
    <row r="9" spans="1:11" ht="37.5" customHeight="1" x14ac:dyDescent="0.25">
      <c r="A9" s="635" t="s">
        <v>571</v>
      </c>
      <c r="B9" s="636" t="s">
        <v>572</v>
      </c>
      <c r="C9" s="1155" t="s">
        <v>573</v>
      </c>
      <c r="D9" s="636" t="s">
        <v>574</v>
      </c>
      <c r="E9" s="637" t="s">
        <v>575</v>
      </c>
      <c r="F9" s="637" t="s">
        <v>576</v>
      </c>
      <c r="G9" s="637" t="s">
        <v>577</v>
      </c>
      <c r="H9" s="637" t="s">
        <v>578</v>
      </c>
      <c r="I9" s="1156" t="s">
        <v>579</v>
      </c>
      <c r="J9" s="1157" t="s">
        <v>580</v>
      </c>
    </row>
    <row r="10" spans="1:11" ht="58.5" customHeight="1" x14ac:dyDescent="0.25">
      <c r="A10" s="638" t="s">
        <v>581</v>
      </c>
      <c r="B10" s="639" t="s">
        <v>582</v>
      </c>
      <c r="C10" s="1155"/>
      <c r="D10" s="639" t="s">
        <v>583</v>
      </c>
      <c r="E10" s="639" t="s">
        <v>584</v>
      </c>
      <c r="F10" s="639" t="s">
        <v>585</v>
      </c>
      <c r="G10" s="639" t="s">
        <v>586</v>
      </c>
      <c r="H10" s="639" t="s">
        <v>586</v>
      </c>
      <c r="I10" s="1156"/>
      <c r="J10" s="1157"/>
    </row>
    <row r="11" spans="1:11" ht="43.5" customHeight="1" x14ac:dyDescent="0.25">
      <c r="A11" s="640"/>
      <c r="B11" s="641"/>
      <c r="C11" s="642"/>
      <c r="D11" s="643"/>
      <c r="E11" s="644"/>
      <c r="F11" s="645"/>
      <c r="G11" s="644"/>
      <c r="H11" s="644"/>
      <c r="I11" s="646"/>
      <c r="J11" s="647"/>
    </row>
    <row r="12" spans="1:11" ht="43.5" customHeight="1" x14ac:dyDescent="0.25">
      <c r="A12" s="648"/>
      <c r="B12" s="649"/>
      <c r="C12" s="650"/>
      <c r="D12" s="651"/>
      <c r="E12" s="652"/>
      <c r="F12" s="653"/>
      <c r="G12" s="652"/>
      <c r="H12" s="652"/>
      <c r="I12" s="654"/>
      <c r="J12" s="655"/>
    </row>
    <row r="13" spans="1:11" ht="43.5" customHeight="1" x14ac:dyDescent="0.25">
      <c r="A13" s="648"/>
      <c r="B13" s="649"/>
      <c r="C13" s="650"/>
      <c r="D13" s="651"/>
      <c r="E13" s="652"/>
      <c r="F13" s="653"/>
      <c r="G13" s="652"/>
      <c r="H13" s="652"/>
      <c r="I13" s="654"/>
      <c r="J13" s="655"/>
    </row>
    <row r="14" spans="1:11" ht="43.5" customHeight="1" x14ac:dyDescent="0.25">
      <c r="A14" s="656"/>
      <c r="B14" s="657"/>
      <c r="C14" s="657"/>
      <c r="D14" s="658"/>
      <c r="E14" s="659"/>
      <c r="F14" s="660"/>
      <c r="G14" s="659"/>
      <c r="H14" s="659"/>
      <c r="I14" s="661"/>
      <c r="J14" s="662"/>
    </row>
    <row r="15" spans="1:11" ht="18" customHeight="1" x14ac:dyDescent="0.25">
      <c r="A15" s="663"/>
      <c r="B15" s="664"/>
      <c r="C15" s="664"/>
      <c r="D15" s="665"/>
      <c r="E15" s="666"/>
      <c r="F15" s="667"/>
      <c r="G15" s="666"/>
      <c r="H15" s="666"/>
      <c r="I15" s="668"/>
      <c r="J15" s="668"/>
    </row>
    <row r="16" spans="1:11" ht="24" customHeight="1" x14ac:dyDescent="0.25">
      <c r="A16" s="1153" t="s">
        <v>587</v>
      </c>
      <c r="B16" s="1153"/>
      <c r="C16" s="1153"/>
      <c r="D16" s="1153"/>
      <c r="E16" s="1153"/>
      <c r="F16" s="1153"/>
      <c r="G16" s="1153"/>
      <c r="H16" s="1153"/>
      <c r="I16" s="1154" t="s">
        <v>570</v>
      </c>
      <c r="J16" s="1154"/>
    </row>
    <row r="17" spans="1:10" ht="43.5" customHeight="1" x14ac:dyDescent="0.25">
      <c r="A17" s="635" t="s">
        <v>571</v>
      </c>
      <c r="B17" s="636" t="s">
        <v>572</v>
      </c>
      <c r="C17" s="1155" t="s">
        <v>573</v>
      </c>
      <c r="D17" s="636" t="s">
        <v>574</v>
      </c>
      <c r="E17" s="637" t="s">
        <v>575</v>
      </c>
      <c r="F17" s="637" t="s">
        <v>576</v>
      </c>
      <c r="G17" s="637" t="s">
        <v>577</v>
      </c>
      <c r="H17" s="637" t="s">
        <v>578</v>
      </c>
      <c r="I17" s="1156" t="s">
        <v>579</v>
      </c>
      <c r="J17" s="1157" t="s">
        <v>580</v>
      </c>
    </row>
    <row r="18" spans="1:10" ht="74.25" customHeight="1" x14ac:dyDescent="0.25">
      <c r="A18" s="638" t="s">
        <v>581</v>
      </c>
      <c r="B18" s="639" t="s">
        <v>582</v>
      </c>
      <c r="C18" s="1155"/>
      <c r="D18" s="639" t="s">
        <v>583</v>
      </c>
      <c r="E18" s="639" t="s">
        <v>588</v>
      </c>
      <c r="F18" s="639" t="s">
        <v>589</v>
      </c>
      <c r="G18" s="639" t="s">
        <v>590</v>
      </c>
      <c r="H18" s="639" t="s">
        <v>590</v>
      </c>
      <c r="I18" s="1156"/>
      <c r="J18" s="1157"/>
    </row>
    <row r="19" spans="1:10" ht="43.5" customHeight="1" x14ac:dyDescent="0.25">
      <c r="A19" s="640"/>
      <c r="B19" s="641"/>
      <c r="C19" s="642"/>
      <c r="D19" s="643"/>
      <c r="E19" s="644"/>
      <c r="F19" s="645"/>
      <c r="G19" s="669"/>
      <c r="H19" s="669"/>
      <c r="I19" s="646"/>
      <c r="J19" s="647"/>
    </row>
    <row r="20" spans="1:10" ht="43.5" customHeight="1" x14ac:dyDescent="0.25">
      <c r="A20" s="648"/>
      <c r="B20" s="649"/>
      <c r="C20" s="650"/>
      <c r="D20" s="651"/>
      <c r="E20" s="652"/>
      <c r="F20" s="653"/>
      <c r="G20" s="652"/>
      <c r="H20" s="652"/>
      <c r="I20" s="654"/>
      <c r="J20" s="655"/>
    </row>
    <row r="21" spans="1:10" ht="43.5" customHeight="1" x14ac:dyDescent="0.25">
      <c r="A21" s="648"/>
      <c r="B21" s="649"/>
      <c r="C21" s="650"/>
      <c r="D21" s="651"/>
      <c r="E21" s="652"/>
      <c r="F21" s="653"/>
      <c r="G21" s="652"/>
      <c r="H21" s="652"/>
      <c r="I21" s="654"/>
      <c r="J21" s="655"/>
    </row>
    <row r="22" spans="1:10" ht="43.5" customHeight="1" x14ac:dyDescent="0.25">
      <c r="A22" s="656"/>
      <c r="B22" s="657"/>
      <c r="C22" s="657"/>
      <c r="D22" s="658"/>
      <c r="E22" s="659"/>
      <c r="F22" s="660"/>
      <c r="G22" s="659"/>
      <c r="H22" s="659"/>
      <c r="I22" s="661"/>
      <c r="J22" s="662"/>
    </row>
    <row r="23" spans="1:10" ht="21.75" customHeight="1" x14ac:dyDescent="0.25">
      <c r="A23" s="1158"/>
      <c r="B23" s="1158"/>
      <c r="C23" s="1158"/>
      <c r="D23" s="1158"/>
      <c r="E23" s="1158"/>
      <c r="F23" s="1158"/>
      <c r="G23" s="1158"/>
      <c r="H23" s="1158"/>
      <c r="I23" s="1158"/>
      <c r="J23" s="1158"/>
    </row>
    <row r="24" spans="1:10" ht="19.5" customHeight="1" x14ac:dyDescent="0.25">
      <c r="A24" s="1159" t="s">
        <v>591</v>
      </c>
      <c r="B24" s="1159"/>
      <c r="C24" s="1159"/>
      <c r="D24" s="1159"/>
      <c r="E24" s="1159"/>
      <c r="F24" s="1159"/>
      <c r="G24" s="1159"/>
      <c r="H24" s="1159"/>
      <c r="I24" s="1159"/>
      <c r="J24" s="1159"/>
    </row>
    <row r="25" spans="1:10" ht="19.5" customHeight="1" x14ac:dyDescent="0.25">
      <c r="A25" s="1160" t="s">
        <v>592</v>
      </c>
      <c r="B25" s="1160"/>
      <c r="C25" s="1160"/>
      <c r="D25" s="1160"/>
      <c r="E25" s="1160"/>
      <c r="F25" s="1160"/>
      <c r="G25" s="1160"/>
      <c r="H25" s="1160"/>
      <c r="I25" s="1160"/>
      <c r="J25" s="1160"/>
    </row>
    <row r="26" spans="1:10" ht="19.5" customHeight="1" x14ac:dyDescent="0.25">
      <c r="A26" s="1160" t="s">
        <v>593</v>
      </c>
      <c r="B26" s="1160"/>
      <c r="C26" s="1160"/>
      <c r="D26" s="1160"/>
      <c r="E26" s="1160"/>
      <c r="F26" s="1160"/>
      <c r="G26" s="1160"/>
      <c r="H26" s="1160"/>
      <c r="I26" s="1160"/>
      <c r="J26" s="1160"/>
    </row>
    <row r="27" spans="1:10" ht="73.5" customHeight="1" x14ac:dyDescent="0.25">
      <c r="A27" s="1161" t="s">
        <v>594</v>
      </c>
      <c r="B27" s="1161"/>
      <c r="C27" s="1161"/>
      <c r="D27" s="1161"/>
      <c r="E27" s="1161"/>
      <c r="F27" s="1161"/>
      <c r="G27" s="1161"/>
      <c r="H27" s="1161"/>
      <c r="I27" s="1161"/>
      <c r="J27" s="1161"/>
    </row>
    <row r="28" spans="1:10" ht="19.5" customHeight="1" x14ac:dyDescent="0.25">
      <c r="A28" s="1161" t="s">
        <v>595</v>
      </c>
      <c r="B28" s="1161"/>
      <c r="C28" s="1161"/>
      <c r="D28" s="1161"/>
      <c r="E28" s="1161"/>
      <c r="F28" s="1161"/>
      <c r="G28" s="1161"/>
      <c r="H28" s="1161"/>
      <c r="I28" s="1161"/>
      <c r="J28" s="1161"/>
    </row>
    <row r="29" spans="1:10" ht="19.5" customHeight="1" x14ac:dyDescent="0.25">
      <c r="A29" s="1162" t="s">
        <v>596</v>
      </c>
      <c r="B29" s="1162"/>
      <c r="C29" s="1162"/>
      <c r="D29" s="1162"/>
      <c r="E29" s="1162"/>
      <c r="F29" s="1162"/>
      <c r="G29" s="1162"/>
      <c r="H29" s="1162"/>
      <c r="I29" s="1162"/>
      <c r="J29" s="1162"/>
    </row>
  </sheetData>
  <sheetProtection algorithmName="SHA-512" hashValue="LrUQJgPmIDcCwLU8xGlJXa0lAgfJeeBhxzpkcpk0aPQ2M9ayxqRwH8NmWnfGx8n3mfgCfHIQRGCMofKeQIWK5w==" saltValue="kLHL3Av12VjrpH0kFf5Kfw==" spinCount="100000" sheet="1" formatCells="0" formatColumns="0" formatRows="0" insertRows="0" autoFilter="0" pivotTables="0"/>
  <mergeCells count="25">
    <mergeCell ref="A28:J28"/>
    <mergeCell ref="A29:J29"/>
    <mergeCell ref="A23:J23"/>
    <mergeCell ref="A24:J24"/>
    <mergeCell ref="A25:J25"/>
    <mergeCell ref="A26:J26"/>
    <mergeCell ref="A27:J27"/>
    <mergeCell ref="A16:H16"/>
    <mergeCell ref="I16:J16"/>
    <mergeCell ref="C17:C18"/>
    <mergeCell ref="I17:I18"/>
    <mergeCell ref="J17:J18"/>
    <mergeCell ref="A6:B6"/>
    <mergeCell ref="C6:J6"/>
    <mergeCell ref="A8:H8"/>
    <mergeCell ref="I8:J8"/>
    <mergeCell ref="C9:C10"/>
    <mergeCell ref="I9:I10"/>
    <mergeCell ref="J9:J10"/>
    <mergeCell ref="E1:H1"/>
    <mergeCell ref="E2:H2"/>
    <mergeCell ref="A4:B4"/>
    <mergeCell ref="C4:J4"/>
    <mergeCell ref="A5:B5"/>
    <mergeCell ref="C5:J5"/>
  </mergeCells>
  <hyperlinks>
    <hyperlink ref="J1" location="ins" display="Instructivo" xr:uid="{00000000-0004-0000-1100-000000000000}"/>
    <hyperlink ref="J2" location="RFO" display="Requisitos habilitantes capacidad financiera y organizacional" xr:uid="{00000000-0004-0000-1100-000001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K43"/>
  <sheetViews>
    <sheetView showGridLines="0" zoomScaleNormal="100" workbookViewId="0"/>
  </sheetViews>
  <sheetFormatPr baseColWidth="10" defaultColWidth="12" defaultRowHeight="18" customHeight="1" x14ac:dyDescent="0.25"/>
  <cols>
    <col min="1" max="1" width="33.6640625" style="670" customWidth="1"/>
    <col min="2" max="7" width="22.77734375" style="670" customWidth="1"/>
    <col min="8" max="8" width="15.33203125" style="670" customWidth="1"/>
    <col min="9" max="16384" width="12" style="670"/>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17.25" customHeight="1" x14ac:dyDescent="0.25">
      <c r="E2" s="13" t="s">
        <v>597</v>
      </c>
      <c r="F2" s="13"/>
      <c r="G2" s="13"/>
      <c r="H2" s="13"/>
      <c r="I2" s="441"/>
      <c r="J2" s="420"/>
      <c r="K2" s="378"/>
    </row>
    <row r="3" spans="1:11" ht="18" customHeight="1" x14ac:dyDescent="0.25">
      <c r="A3" s="405"/>
      <c r="B3" s="405"/>
      <c r="C3" s="136"/>
      <c r="D3" s="136"/>
      <c r="E3" s="136"/>
      <c r="F3" s="136"/>
      <c r="G3" s="136"/>
    </row>
    <row r="4" spans="1:11" ht="18" customHeight="1" x14ac:dyDescent="0.25">
      <c r="A4" s="1071" t="s">
        <v>515</v>
      </c>
      <c r="B4" s="1071"/>
      <c r="C4" s="1071"/>
      <c r="D4" s="1066"/>
      <c r="E4" s="1066"/>
      <c r="F4" s="1066"/>
      <c r="G4" s="1066"/>
    </row>
    <row r="5" spans="1:11" ht="18" customHeight="1" x14ac:dyDescent="0.25">
      <c r="A5" s="1071" t="s">
        <v>104</v>
      </c>
      <c r="B5" s="1071"/>
      <c r="C5" s="1071"/>
      <c r="D5" s="1066"/>
      <c r="E5" s="1066"/>
      <c r="F5" s="1066"/>
      <c r="G5" s="1066"/>
    </row>
    <row r="6" spans="1:11" ht="28.5" customHeight="1" x14ac:dyDescent="0.25">
      <c r="A6" s="1071" t="s">
        <v>105</v>
      </c>
      <c r="B6" s="1071"/>
      <c r="C6" s="1071"/>
      <c r="D6" s="1066"/>
      <c r="E6" s="1066"/>
      <c r="F6" s="1066"/>
      <c r="G6" s="1066"/>
    </row>
    <row r="7" spans="1:11" ht="18" customHeight="1" x14ac:dyDescent="0.25">
      <c r="A7" s="671"/>
      <c r="B7" s="672"/>
      <c r="C7" s="672"/>
      <c r="D7" s="672"/>
      <c r="E7" s="136"/>
      <c r="F7" s="136"/>
      <c r="G7" s="136"/>
    </row>
    <row r="8" spans="1:11" ht="18" customHeight="1" x14ac:dyDescent="0.25">
      <c r="A8" s="673" t="s">
        <v>598</v>
      </c>
      <c r="B8" s="672"/>
      <c r="C8" s="672"/>
      <c r="D8" s="672"/>
      <c r="E8" s="136"/>
      <c r="F8" s="136"/>
      <c r="G8" s="136"/>
    </row>
    <row r="9" spans="1:11" ht="18" customHeight="1" x14ac:dyDescent="0.25">
      <c r="A9" s="674" t="s">
        <v>599</v>
      </c>
      <c r="B9" s="672"/>
      <c r="C9" s="672"/>
      <c r="D9" s="672"/>
      <c r="E9" s="136"/>
      <c r="F9" s="136"/>
      <c r="G9" s="136"/>
    </row>
    <row r="10" spans="1:11" ht="18" customHeight="1" x14ac:dyDescent="0.25">
      <c r="A10" s="674" t="s">
        <v>600</v>
      </c>
      <c r="B10" s="672"/>
      <c r="C10" s="672"/>
      <c r="D10" s="672"/>
      <c r="E10" s="136"/>
      <c r="F10" s="136"/>
      <c r="G10" s="136"/>
    </row>
    <row r="11" spans="1:11" ht="18" customHeight="1" x14ac:dyDescent="0.25">
      <c r="A11" s="673"/>
    </row>
    <row r="12" spans="1:11" ht="18" customHeight="1" x14ac:dyDescent="0.25">
      <c r="A12" s="1163" t="s">
        <v>601</v>
      </c>
      <c r="B12" s="1163"/>
      <c r="C12" s="1163"/>
      <c r="D12" s="1163"/>
      <c r="E12" s="1163"/>
      <c r="F12" s="1163"/>
      <c r="G12" s="1163"/>
    </row>
    <row r="13" spans="1:11" ht="18" customHeight="1" x14ac:dyDescent="0.25">
      <c r="A13" s="1164" t="s">
        <v>602</v>
      </c>
      <c r="B13" s="1164" t="s">
        <v>603</v>
      </c>
      <c r="C13" s="1164"/>
      <c r="D13" s="1164" t="s">
        <v>604</v>
      </c>
      <c r="E13" s="1164"/>
      <c r="F13" s="1164" t="s">
        <v>605</v>
      </c>
      <c r="G13" s="1164"/>
    </row>
    <row r="14" spans="1:11" ht="27" customHeight="1" x14ac:dyDescent="0.25">
      <c r="A14" s="1164"/>
      <c r="B14" s="675" t="s">
        <v>606</v>
      </c>
      <c r="C14" s="676" t="s">
        <v>607</v>
      </c>
      <c r="D14" s="675" t="s">
        <v>606</v>
      </c>
      <c r="E14" s="676" t="s">
        <v>607</v>
      </c>
      <c r="F14" s="675" t="s">
        <v>606</v>
      </c>
      <c r="G14" s="676" t="s">
        <v>607</v>
      </c>
    </row>
    <row r="15" spans="1:11" ht="21" customHeight="1" x14ac:dyDescent="0.25">
      <c r="A15" s="677"/>
      <c r="B15" s="678"/>
      <c r="C15" s="679" t="str">
        <f t="shared" ref="C15:C21" si="0">IF(B15="Habilitado","Cumple",(IF(B15="No habilitado","No cumple",(IF(B15="Pendiente","La habilitación queda supeditada a la verificación de la entrega de la póliza dentro del sobre económico","")))))</f>
        <v/>
      </c>
      <c r="D15" s="678"/>
      <c r="E15" s="679" t="str">
        <f t="shared" ref="E15:E21" si="1">IF(D15="Habilitado","Cumple",(IF(D15="No habilitado","No cumple",(IF(D15="Pendiente","La habilitación queda supeditada a la verificación de la entrega de la póliza dentro del sobre económico","")))))</f>
        <v/>
      </c>
      <c r="F15" s="678"/>
      <c r="G15" s="679" t="str">
        <f t="shared" ref="G15:G21" si="2">IF(F15="Habilitado","Cumple",(IF(F15="No habilitado","No cumple",(IF(F15="Pendiente","La habilitación queda supeditada a la verificación de la entrega de la póliza dentro del sobre económico","")))))</f>
        <v/>
      </c>
    </row>
    <row r="16" spans="1:11" ht="18" customHeight="1" x14ac:dyDescent="0.25">
      <c r="A16" s="680"/>
      <c r="B16" s="678"/>
      <c r="C16" s="679" t="str">
        <f t="shared" si="0"/>
        <v/>
      </c>
      <c r="D16" s="678"/>
      <c r="E16" s="679" t="str">
        <f t="shared" si="1"/>
        <v/>
      </c>
      <c r="F16" s="678"/>
      <c r="G16" s="679" t="str">
        <f t="shared" si="2"/>
        <v/>
      </c>
    </row>
    <row r="17" spans="1:7" ht="18" customHeight="1" x14ac:dyDescent="0.25">
      <c r="A17" s="681"/>
      <c r="B17" s="678"/>
      <c r="C17" s="679" t="str">
        <f t="shared" si="0"/>
        <v/>
      </c>
      <c r="D17" s="678"/>
      <c r="E17" s="679" t="str">
        <f t="shared" si="1"/>
        <v/>
      </c>
      <c r="F17" s="678"/>
      <c r="G17" s="679" t="str">
        <f t="shared" si="2"/>
        <v/>
      </c>
    </row>
    <row r="18" spans="1:7" ht="18" customHeight="1" x14ac:dyDescent="0.25">
      <c r="A18" s="677"/>
      <c r="B18" s="678"/>
      <c r="C18" s="679" t="str">
        <f t="shared" si="0"/>
        <v/>
      </c>
      <c r="D18" s="678"/>
      <c r="E18" s="679" t="str">
        <f t="shared" si="1"/>
        <v/>
      </c>
      <c r="F18" s="678"/>
      <c r="G18" s="679" t="str">
        <f t="shared" si="2"/>
        <v/>
      </c>
    </row>
    <row r="19" spans="1:7" ht="18" customHeight="1" x14ac:dyDescent="0.25">
      <c r="A19" s="681"/>
      <c r="B19" s="678"/>
      <c r="C19" s="679" t="str">
        <f t="shared" si="0"/>
        <v/>
      </c>
      <c r="D19" s="678"/>
      <c r="E19" s="679" t="str">
        <f t="shared" si="1"/>
        <v/>
      </c>
      <c r="F19" s="678"/>
      <c r="G19" s="679" t="str">
        <f t="shared" si="2"/>
        <v/>
      </c>
    </row>
    <row r="20" spans="1:7" ht="18" customHeight="1" x14ac:dyDescent="0.25">
      <c r="A20" s="677"/>
      <c r="B20" s="678"/>
      <c r="C20" s="679" t="str">
        <f t="shared" si="0"/>
        <v/>
      </c>
      <c r="D20" s="678"/>
      <c r="E20" s="679" t="str">
        <f t="shared" si="1"/>
        <v/>
      </c>
      <c r="F20" s="678"/>
      <c r="G20" s="679" t="str">
        <f t="shared" si="2"/>
        <v/>
      </c>
    </row>
    <row r="21" spans="1:7" ht="18" customHeight="1" x14ac:dyDescent="0.25">
      <c r="A21" s="680"/>
      <c r="B21" s="678"/>
      <c r="C21" s="679" t="str">
        <f t="shared" si="0"/>
        <v/>
      </c>
      <c r="D21" s="678"/>
      <c r="E21" s="679" t="str">
        <f t="shared" si="1"/>
        <v/>
      </c>
      <c r="F21" s="678"/>
      <c r="G21" s="679" t="str">
        <f t="shared" si="2"/>
        <v/>
      </c>
    </row>
    <row r="22" spans="1:7" ht="18" customHeight="1" x14ac:dyDescent="0.25">
      <c r="A22" s="682"/>
    </row>
    <row r="23" spans="1:7" ht="18" customHeight="1" x14ac:dyDescent="0.25">
      <c r="A23" s="1163" t="s">
        <v>608</v>
      </c>
      <c r="B23" s="1163"/>
      <c r="C23" s="1163"/>
      <c r="D23" s="1163"/>
      <c r="E23" s="1163"/>
      <c r="F23" s="1163"/>
      <c r="G23" s="1163"/>
    </row>
    <row r="24" spans="1:7" ht="18" customHeight="1" x14ac:dyDescent="0.25">
      <c r="A24" s="1164" t="s">
        <v>602</v>
      </c>
      <c r="B24" s="1164" t="s">
        <v>603</v>
      </c>
      <c r="C24" s="1164"/>
      <c r="D24" s="1164" t="s">
        <v>604</v>
      </c>
      <c r="E24" s="1164"/>
      <c r="F24" s="1164" t="s">
        <v>605</v>
      </c>
      <c r="G24" s="1164"/>
    </row>
    <row r="25" spans="1:7" ht="27.75" customHeight="1" x14ac:dyDescent="0.25">
      <c r="A25" s="1164"/>
      <c r="B25" s="675" t="s">
        <v>606</v>
      </c>
      <c r="C25" s="676" t="s">
        <v>607</v>
      </c>
      <c r="D25" s="675" t="s">
        <v>606</v>
      </c>
      <c r="E25" s="676" t="s">
        <v>607</v>
      </c>
      <c r="F25" s="675" t="s">
        <v>606</v>
      </c>
      <c r="G25" s="676" t="s">
        <v>607</v>
      </c>
    </row>
    <row r="26" spans="1:7" ht="18" customHeight="1" x14ac:dyDescent="0.25">
      <c r="A26" s="677"/>
      <c r="B26" s="678"/>
      <c r="C26" s="679" t="str">
        <f t="shared" ref="C26:C32" si="3">IF(B26="Habilitado","Cumple",(IF(B26="No habilitado","No cumple",(IF(B26="Pendiente","La habilitación queda supeditada a la verificación de la entrega de la póliza dentro del sobre económico","")))))</f>
        <v/>
      </c>
      <c r="D26" s="678"/>
      <c r="E26" s="679" t="str">
        <f t="shared" ref="E26:E32" si="4">IF(D26="Habilitado","Cumple",(IF(D26="No habilitado","No cumple",(IF(D26="Pendiente","La habilitación queda supeditada a la verificación de la entrega de la póliza dentro del sobre económico","")))))</f>
        <v/>
      </c>
      <c r="F26" s="678"/>
      <c r="G26" s="679" t="str">
        <f t="shared" ref="G26:G32" si="5">IF(F26="Habilitado","Cumple",(IF(F26="No habilitado","No cumple",(IF(F26="Pendiente","La habilitación queda supeditada a la verificación de la entrega de la póliza dentro del sobre económico","")))))</f>
        <v/>
      </c>
    </row>
    <row r="27" spans="1:7" ht="18" customHeight="1" x14ac:dyDescent="0.25">
      <c r="A27" s="680"/>
      <c r="B27" s="678"/>
      <c r="C27" s="679" t="str">
        <f t="shared" si="3"/>
        <v/>
      </c>
      <c r="D27" s="678"/>
      <c r="E27" s="679" t="str">
        <f t="shared" si="4"/>
        <v/>
      </c>
      <c r="F27" s="678"/>
      <c r="G27" s="679" t="str">
        <f t="shared" si="5"/>
        <v/>
      </c>
    </row>
    <row r="28" spans="1:7" ht="18" customHeight="1" x14ac:dyDescent="0.25">
      <c r="A28" s="681"/>
      <c r="B28" s="678"/>
      <c r="C28" s="679" t="str">
        <f t="shared" si="3"/>
        <v/>
      </c>
      <c r="D28" s="678"/>
      <c r="E28" s="679" t="str">
        <f t="shared" si="4"/>
        <v/>
      </c>
      <c r="F28" s="678"/>
      <c r="G28" s="679" t="str">
        <f t="shared" si="5"/>
        <v/>
      </c>
    </row>
    <row r="29" spans="1:7" ht="18" customHeight="1" x14ac:dyDescent="0.25">
      <c r="A29" s="677"/>
      <c r="B29" s="678"/>
      <c r="C29" s="679" t="str">
        <f t="shared" si="3"/>
        <v/>
      </c>
      <c r="D29" s="678"/>
      <c r="E29" s="679" t="str">
        <f t="shared" si="4"/>
        <v/>
      </c>
      <c r="F29" s="678"/>
      <c r="G29" s="679" t="str">
        <f t="shared" si="5"/>
        <v/>
      </c>
    </row>
    <row r="30" spans="1:7" ht="18" customHeight="1" x14ac:dyDescent="0.25">
      <c r="A30" s="681"/>
      <c r="B30" s="678"/>
      <c r="C30" s="679" t="str">
        <f t="shared" si="3"/>
        <v/>
      </c>
      <c r="D30" s="678"/>
      <c r="E30" s="679" t="str">
        <f t="shared" si="4"/>
        <v/>
      </c>
      <c r="F30" s="678"/>
      <c r="G30" s="679" t="str">
        <f t="shared" si="5"/>
        <v/>
      </c>
    </row>
    <row r="31" spans="1:7" ht="18" customHeight="1" x14ac:dyDescent="0.25">
      <c r="A31" s="677"/>
      <c r="B31" s="678"/>
      <c r="C31" s="679" t="str">
        <f t="shared" si="3"/>
        <v/>
      </c>
      <c r="D31" s="678"/>
      <c r="E31" s="679" t="str">
        <f t="shared" si="4"/>
        <v/>
      </c>
      <c r="F31" s="678"/>
      <c r="G31" s="679" t="str">
        <f t="shared" si="5"/>
        <v/>
      </c>
    </row>
    <row r="32" spans="1:7" ht="18" customHeight="1" x14ac:dyDescent="0.25">
      <c r="A32" s="680"/>
      <c r="B32" s="678"/>
      <c r="C32" s="679" t="str">
        <f t="shared" si="3"/>
        <v/>
      </c>
      <c r="D32" s="678"/>
      <c r="E32" s="679" t="str">
        <f t="shared" si="4"/>
        <v/>
      </c>
      <c r="F32" s="678"/>
      <c r="G32" s="679" t="str">
        <f t="shared" si="5"/>
        <v/>
      </c>
    </row>
    <row r="34" spans="1:7" ht="18" customHeight="1" x14ac:dyDescent="0.25">
      <c r="A34" s="1163" t="s">
        <v>609</v>
      </c>
      <c r="B34" s="1163"/>
      <c r="C34" s="1163"/>
      <c r="D34" s="1163"/>
      <c r="E34" s="1163"/>
      <c r="F34" s="1163"/>
      <c r="G34" s="1163"/>
    </row>
    <row r="35" spans="1:7" ht="18" customHeight="1" x14ac:dyDescent="0.25">
      <c r="A35" s="1164" t="s">
        <v>602</v>
      </c>
      <c r="B35" s="1164" t="s">
        <v>603</v>
      </c>
      <c r="C35" s="1164"/>
      <c r="D35" s="1164" t="s">
        <v>604</v>
      </c>
      <c r="E35" s="1164"/>
      <c r="F35" s="1164" t="s">
        <v>605</v>
      </c>
      <c r="G35" s="1164"/>
    </row>
    <row r="36" spans="1:7" ht="29.25" customHeight="1" x14ac:dyDescent="0.25">
      <c r="A36" s="1164"/>
      <c r="B36" s="675" t="s">
        <v>606</v>
      </c>
      <c r="C36" s="676" t="s">
        <v>607</v>
      </c>
      <c r="D36" s="675" t="s">
        <v>606</v>
      </c>
      <c r="E36" s="676" t="s">
        <v>607</v>
      </c>
      <c r="F36" s="675" t="s">
        <v>606</v>
      </c>
      <c r="G36" s="676" t="s">
        <v>607</v>
      </c>
    </row>
    <row r="37" spans="1:7" ht="18" customHeight="1" x14ac:dyDescent="0.25">
      <c r="A37" s="677"/>
      <c r="B37" s="678"/>
      <c r="C37" s="679" t="str">
        <f t="shared" ref="C37:C43" si="6">IF(B37="Habilitado","Cumple",(IF(B37="No habilitado","No cumple",(IF(B37="Pendiente","La habilitación queda supeditada a la verificación de la entrega de la póliza dentro del sobre económico","")))))</f>
        <v/>
      </c>
      <c r="D37" s="678"/>
      <c r="E37" s="679" t="str">
        <f t="shared" ref="E37:E43" si="7">IF(D37="Habilitado","Cumple",(IF(D37="No habilitado","No cumple",(IF(D37="Pendiente","La habilitación queda supeditada a la verificación de la entrega de la póliza dentro del sobre económico","")))))</f>
        <v/>
      </c>
      <c r="F37" s="678"/>
      <c r="G37" s="679" t="str">
        <f t="shared" ref="G37:G43" si="8">IF(F37="Habilitado","Cumple",(IF(F37="No habilitado","No cumple",(IF(F37="Pendiente","La habilitación queda supeditada a la verificación de la entrega de la póliza dentro del sobre económico","")))))</f>
        <v/>
      </c>
    </row>
    <row r="38" spans="1:7" ht="18" customHeight="1" x14ac:dyDescent="0.25">
      <c r="A38" s="680"/>
      <c r="B38" s="678"/>
      <c r="C38" s="679" t="str">
        <f t="shared" si="6"/>
        <v/>
      </c>
      <c r="D38" s="678"/>
      <c r="E38" s="679" t="str">
        <f t="shared" si="7"/>
        <v/>
      </c>
      <c r="F38" s="678"/>
      <c r="G38" s="679" t="str">
        <f t="shared" si="8"/>
        <v/>
      </c>
    </row>
    <row r="39" spans="1:7" ht="18" customHeight="1" x14ac:dyDescent="0.25">
      <c r="A39" s="681"/>
      <c r="B39" s="678"/>
      <c r="C39" s="679" t="str">
        <f t="shared" si="6"/>
        <v/>
      </c>
      <c r="D39" s="678"/>
      <c r="E39" s="679" t="str">
        <f t="shared" si="7"/>
        <v/>
      </c>
      <c r="F39" s="678"/>
      <c r="G39" s="679" t="str">
        <f t="shared" si="8"/>
        <v/>
      </c>
    </row>
    <row r="40" spans="1:7" ht="18" customHeight="1" x14ac:dyDescent="0.25">
      <c r="A40" s="677"/>
      <c r="B40" s="678"/>
      <c r="C40" s="679" t="str">
        <f t="shared" si="6"/>
        <v/>
      </c>
      <c r="D40" s="678"/>
      <c r="E40" s="679" t="str">
        <f t="shared" si="7"/>
        <v/>
      </c>
      <c r="F40" s="678"/>
      <c r="G40" s="679" t="str">
        <f t="shared" si="8"/>
        <v/>
      </c>
    </row>
    <row r="41" spans="1:7" ht="18" customHeight="1" x14ac:dyDescent="0.25">
      <c r="A41" s="681"/>
      <c r="B41" s="678"/>
      <c r="C41" s="679" t="str">
        <f t="shared" si="6"/>
        <v/>
      </c>
      <c r="D41" s="678"/>
      <c r="E41" s="679" t="str">
        <f t="shared" si="7"/>
        <v/>
      </c>
      <c r="F41" s="678"/>
      <c r="G41" s="679" t="str">
        <f t="shared" si="8"/>
        <v/>
      </c>
    </row>
    <row r="42" spans="1:7" ht="18" customHeight="1" x14ac:dyDescent="0.25">
      <c r="A42" s="677"/>
      <c r="B42" s="678"/>
      <c r="C42" s="679" t="str">
        <f t="shared" si="6"/>
        <v/>
      </c>
      <c r="D42" s="678"/>
      <c r="E42" s="679" t="str">
        <f t="shared" si="7"/>
        <v/>
      </c>
      <c r="F42" s="678"/>
      <c r="G42" s="679" t="str">
        <f t="shared" si="8"/>
        <v/>
      </c>
    </row>
    <row r="43" spans="1:7" ht="18" customHeight="1" x14ac:dyDescent="0.25">
      <c r="A43" s="680"/>
      <c r="B43" s="678"/>
      <c r="C43" s="679" t="str">
        <f t="shared" si="6"/>
        <v/>
      </c>
      <c r="D43" s="678"/>
      <c r="E43" s="679" t="str">
        <f t="shared" si="7"/>
        <v/>
      </c>
      <c r="F43" s="678"/>
      <c r="G43" s="679" t="str">
        <f t="shared" si="8"/>
        <v/>
      </c>
    </row>
  </sheetData>
  <sheetProtection algorithmName="SHA-512" hashValue="syMI6rwIWPcm0P2ZNanb70Vt7nkma+WYg0z11/wS4BqkWJYN2XjwPztXwjbtIEZBkN4TbObPapitHlD1XQMPLg==" saltValue="/AmPrnV7pqNb8v7l0MGv3g==" spinCount="100000" sheet="1" formatCells="0" formatColumns="0" formatRows="0" insertRows="0" autoFilter="0" pivotTables="0"/>
  <mergeCells count="23">
    <mergeCell ref="A34:G34"/>
    <mergeCell ref="A35:A36"/>
    <mergeCell ref="B35:C35"/>
    <mergeCell ref="D35:E35"/>
    <mergeCell ref="F35:G35"/>
    <mergeCell ref="A23:G23"/>
    <mergeCell ref="A24:A25"/>
    <mergeCell ref="B24:C24"/>
    <mergeCell ref="D24:E24"/>
    <mergeCell ref="F24:G24"/>
    <mergeCell ref="A6:C6"/>
    <mergeCell ref="D6:G6"/>
    <mergeCell ref="A12:G12"/>
    <mergeCell ref="A13:A14"/>
    <mergeCell ref="B13:C13"/>
    <mergeCell ref="D13:E13"/>
    <mergeCell ref="F13:G13"/>
    <mergeCell ref="E1:H1"/>
    <mergeCell ref="E2:H2"/>
    <mergeCell ref="A4:C4"/>
    <mergeCell ref="D4:G4"/>
    <mergeCell ref="A5:C5"/>
    <mergeCell ref="D5:G5"/>
  </mergeCells>
  <conditionalFormatting sqref="B15:G43">
    <cfRule type="containsText" dxfId="1" priority="2" operator="containsText" text="Pendiente">
      <formula>NOT(ISERROR(SEARCH("Pendiente",B15)))</formula>
    </cfRule>
    <cfRule type="containsText" dxfId="0" priority="3" operator="containsText" text="No habilitado">
      <formula>NOT(ISERROR(SEARCH("No habilitado",B15)))</formula>
    </cfRule>
  </conditionalFormatting>
  <dataValidations count="1">
    <dataValidation type="list" allowBlank="1" showInputMessage="1" showErrorMessage="1" sqref="B15:B21 D15:D21 F15:F21 B26:B32 D26:D32 F26:F32 B37:B43 D37:D43 F37:F43" xr:uid="{00000000-0002-0000-1200-000000000000}">
      <formula1>"Habilitado,No habilitado,Pendiente"</formula1>
      <formula2>0</formula2>
    </dataValidation>
  </dataValidations>
  <hyperlinks>
    <hyperlink ref="J1" location="ins" display="Instructivo" xr:uid="{00000000-0004-0000-12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K94"/>
  <sheetViews>
    <sheetView showGridLines="0" zoomScaleNormal="100" workbookViewId="0">
      <selection activeCell="F11" sqref="F11"/>
    </sheetView>
  </sheetViews>
  <sheetFormatPr baseColWidth="10" defaultColWidth="18.77734375" defaultRowHeight="18" customHeight="1" x14ac:dyDescent="0.25"/>
  <cols>
    <col min="1" max="1" width="43.6640625" style="683" customWidth="1"/>
    <col min="2" max="2" width="24.33203125" style="683" customWidth="1"/>
    <col min="3" max="3" width="23.77734375" style="683" customWidth="1"/>
    <col min="4" max="4" width="28.77734375" style="683" customWidth="1"/>
    <col min="5" max="16384" width="18.77734375" style="683"/>
  </cols>
  <sheetData>
    <row r="1" spans="1:11" s="15" customFormat="1" ht="39" customHeight="1" x14ac:dyDescent="0.25">
      <c r="B1" s="14" t="str">
        <f>Instructivo!F1</f>
        <v>Sistema de Gestión Integral (SGI)
Instructivo - Componente Financiero EP
Código: F-PGC-21. Versión: 05</v>
      </c>
      <c r="C1" s="14"/>
      <c r="D1" s="14"/>
      <c r="E1" s="14"/>
      <c r="F1" s="132"/>
    </row>
    <row r="2" spans="1:11" s="15" customFormat="1" ht="17.25" customHeight="1" x14ac:dyDescent="0.25">
      <c r="B2" s="1165" t="s">
        <v>610</v>
      </c>
      <c r="C2" s="1165"/>
      <c r="D2" s="1165"/>
      <c r="E2" s="1165"/>
      <c r="I2" s="441"/>
      <c r="J2" s="420"/>
      <c r="K2" s="378"/>
    </row>
    <row r="3" spans="1:11" ht="18" customHeight="1" x14ac:dyDescent="0.25">
      <c r="A3" s="684"/>
      <c r="B3" s="43"/>
      <c r="C3" s="43"/>
      <c r="D3" s="43"/>
    </row>
    <row r="4" spans="1:11" ht="18" customHeight="1" x14ac:dyDescent="0.25">
      <c r="A4" s="41" t="s">
        <v>611</v>
      </c>
      <c r="B4" s="1166" t="s">
        <v>612</v>
      </c>
      <c r="C4" s="1166"/>
      <c r="D4" s="1166"/>
      <c r="E4" s="132" t="s">
        <v>102</v>
      </c>
    </row>
    <row r="5" spans="1:11" ht="18" customHeight="1" x14ac:dyDescent="0.25">
      <c r="A5" s="41" t="s">
        <v>515</v>
      </c>
      <c r="B5" s="1166"/>
      <c r="C5" s="1166"/>
      <c r="D5" s="1166"/>
    </row>
    <row r="6" spans="1:11" ht="18" customHeight="1" x14ac:dyDescent="0.25">
      <c r="A6" s="41" t="s">
        <v>104</v>
      </c>
      <c r="B6" s="1166"/>
      <c r="C6" s="1166"/>
      <c r="D6" s="1166"/>
    </row>
    <row r="7" spans="1:11" ht="39.75" customHeight="1" x14ac:dyDescent="0.25">
      <c r="A7" s="41" t="s">
        <v>105</v>
      </c>
      <c r="B7" s="1166"/>
      <c r="C7" s="1166"/>
      <c r="D7" s="1166"/>
    </row>
    <row r="8" spans="1:11" ht="18" customHeight="1" x14ac:dyDescent="0.25">
      <c r="A8" s="41" t="s">
        <v>613</v>
      </c>
      <c r="B8" s="1166"/>
      <c r="C8" s="1166"/>
      <c r="D8" s="1166"/>
    </row>
    <row r="9" spans="1:11" ht="27.75" customHeight="1" x14ac:dyDescent="0.25">
      <c r="A9" s="41" t="s">
        <v>614</v>
      </c>
      <c r="B9" s="685">
        <v>0.02</v>
      </c>
      <c r="C9" s="686" t="s">
        <v>615</v>
      </c>
      <c r="D9" s="687"/>
    </row>
    <row r="11" spans="1:11" ht="18" customHeight="1" x14ac:dyDescent="0.25">
      <c r="A11" s="1167" t="s">
        <v>616</v>
      </c>
      <c r="B11" s="1167"/>
      <c r="C11" s="1167"/>
      <c r="D11" s="1167"/>
    </row>
    <row r="12" spans="1:11" ht="18" customHeight="1" x14ac:dyDescent="0.25">
      <c r="A12" s="1168" t="s">
        <v>617</v>
      </c>
      <c r="B12" s="1168"/>
      <c r="C12" s="1168"/>
      <c r="D12" s="688">
        <v>0</v>
      </c>
    </row>
    <row r="13" spans="1:11" ht="18" customHeight="1" x14ac:dyDescent="0.25">
      <c r="A13" s="1168" t="s">
        <v>618</v>
      </c>
      <c r="B13" s="1168"/>
      <c r="C13" s="1168"/>
      <c r="D13" s="689">
        <f>D12*$B$9</f>
        <v>0</v>
      </c>
    </row>
    <row r="14" spans="1:11" ht="18" customHeight="1" x14ac:dyDescent="0.25">
      <c r="A14" s="1168" t="s">
        <v>619</v>
      </c>
      <c r="B14" s="1168"/>
      <c r="C14" s="1168"/>
      <c r="D14" s="688">
        <f>D12-D13</f>
        <v>0</v>
      </c>
    </row>
    <row r="15" spans="1:11" ht="18" customHeight="1" x14ac:dyDescent="0.25">
      <c r="A15" s="690"/>
      <c r="B15" s="690"/>
      <c r="C15" s="690"/>
      <c r="D15" s="691"/>
    </row>
    <row r="16" spans="1:11" ht="18" customHeight="1" x14ac:dyDescent="0.25">
      <c r="A16" s="1168" t="s">
        <v>620</v>
      </c>
      <c r="B16" s="1168"/>
      <c r="C16" s="1168"/>
      <c r="D16" s="688">
        <v>0</v>
      </c>
    </row>
    <row r="17" spans="1:4" ht="18" customHeight="1" x14ac:dyDescent="0.25">
      <c r="A17" s="1168" t="s">
        <v>618</v>
      </c>
      <c r="B17" s="1168"/>
      <c r="C17" s="1168"/>
      <c r="D17" s="689">
        <f>D16*$B$9</f>
        <v>0</v>
      </c>
    </row>
    <row r="18" spans="1:4" ht="18" customHeight="1" x14ac:dyDescent="0.25">
      <c r="A18" s="1168" t="s">
        <v>621</v>
      </c>
      <c r="B18" s="1168"/>
      <c r="C18" s="1168"/>
      <c r="D18" s="688">
        <f>+D16-D17</f>
        <v>0</v>
      </c>
    </row>
    <row r="19" spans="1:4" ht="18" customHeight="1" x14ac:dyDescent="0.25">
      <c r="A19" s="690"/>
      <c r="B19" s="690"/>
      <c r="C19" s="690"/>
      <c r="D19" s="692"/>
    </row>
    <row r="20" spans="1:4" ht="18" customHeight="1" x14ac:dyDescent="0.25">
      <c r="A20" s="1168" t="s">
        <v>622</v>
      </c>
      <c r="B20" s="1168"/>
      <c r="C20" s="1168"/>
      <c r="D20" s="688">
        <v>0</v>
      </c>
    </row>
    <row r="21" spans="1:4" ht="18" customHeight="1" x14ac:dyDescent="0.25">
      <c r="A21" s="1168" t="s">
        <v>618</v>
      </c>
      <c r="B21" s="1168"/>
      <c r="C21" s="1168"/>
      <c r="D21" s="689">
        <f>D20*$B$9</f>
        <v>0</v>
      </c>
    </row>
    <row r="22" spans="1:4" ht="18" customHeight="1" x14ac:dyDescent="0.25">
      <c r="A22" s="1168" t="s">
        <v>623</v>
      </c>
      <c r="B22" s="1168"/>
      <c r="C22" s="1168"/>
      <c r="D22" s="688">
        <f>+D20-D21</f>
        <v>0</v>
      </c>
    </row>
    <row r="23" spans="1:4" ht="18" customHeight="1" x14ac:dyDescent="0.25">
      <c r="A23" s="690"/>
      <c r="B23" s="690"/>
      <c r="C23" s="690"/>
      <c r="D23" s="692"/>
    </row>
    <row r="24" spans="1:4" ht="18" customHeight="1" x14ac:dyDescent="0.25">
      <c r="A24" s="1168" t="s">
        <v>624</v>
      </c>
      <c r="B24" s="1168"/>
      <c r="C24" s="1168"/>
      <c r="D24" s="688">
        <v>0</v>
      </c>
    </row>
    <row r="25" spans="1:4" ht="18" customHeight="1" x14ac:dyDescent="0.25">
      <c r="A25" s="1168" t="s">
        <v>618</v>
      </c>
      <c r="B25" s="1168"/>
      <c r="C25" s="1168"/>
      <c r="D25" s="689">
        <f>D24*$B$9</f>
        <v>0</v>
      </c>
    </row>
    <row r="26" spans="1:4" ht="18" customHeight="1" x14ac:dyDescent="0.25">
      <c r="A26" s="1168" t="s">
        <v>625</v>
      </c>
      <c r="B26" s="1168"/>
      <c r="C26" s="1168"/>
      <c r="D26" s="688">
        <f>+D24-D25</f>
        <v>0</v>
      </c>
    </row>
    <row r="27" spans="1:4" ht="18" customHeight="1" x14ac:dyDescent="0.25">
      <c r="A27" s="690"/>
      <c r="B27" s="690"/>
      <c r="C27" s="690"/>
      <c r="D27" s="692"/>
    </row>
    <row r="28" spans="1:4" ht="18" customHeight="1" x14ac:dyDescent="0.25">
      <c r="A28" s="1168" t="s">
        <v>626</v>
      </c>
      <c r="B28" s="1168"/>
      <c r="C28" s="1168"/>
      <c r="D28" s="688">
        <v>0</v>
      </c>
    </row>
    <row r="29" spans="1:4" ht="18" customHeight="1" x14ac:dyDescent="0.25">
      <c r="A29" s="1168" t="s">
        <v>618</v>
      </c>
      <c r="B29" s="1168"/>
      <c r="C29" s="1168"/>
      <c r="D29" s="689">
        <f>D28*$B$9</f>
        <v>0</v>
      </c>
    </row>
    <row r="30" spans="1:4" ht="18" customHeight="1" x14ac:dyDescent="0.25">
      <c r="A30" s="1168" t="s">
        <v>627</v>
      </c>
      <c r="B30" s="1168"/>
      <c r="C30" s="1168"/>
      <c r="D30" s="688">
        <f>+D28-D29</f>
        <v>0</v>
      </c>
    </row>
    <row r="31" spans="1:4" ht="18" customHeight="1" x14ac:dyDescent="0.25">
      <c r="A31" s="690"/>
      <c r="B31" s="690"/>
      <c r="C31" s="690"/>
      <c r="D31" s="692"/>
    </row>
    <row r="32" spans="1:4" ht="18" customHeight="1" x14ac:dyDescent="0.25">
      <c r="A32" s="1168" t="s">
        <v>628</v>
      </c>
      <c r="B32" s="1168"/>
      <c r="C32" s="1168"/>
      <c r="D32" s="688">
        <v>0</v>
      </c>
    </row>
    <row r="33" spans="1:4" ht="18" customHeight="1" x14ac:dyDescent="0.25">
      <c r="A33" s="1168" t="s">
        <v>618</v>
      </c>
      <c r="B33" s="1168"/>
      <c r="C33" s="1168"/>
      <c r="D33" s="689">
        <f>D32*$B$9</f>
        <v>0</v>
      </c>
    </row>
    <row r="34" spans="1:4" ht="18" customHeight="1" x14ac:dyDescent="0.25">
      <c r="A34" s="1168" t="s">
        <v>629</v>
      </c>
      <c r="B34" s="1168"/>
      <c r="C34" s="1168"/>
      <c r="D34" s="688">
        <f>+D32-D33</f>
        <v>0</v>
      </c>
    </row>
    <row r="35" spans="1:4" ht="18" customHeight="1" x14ac:dyDescent="0.25">
      <c r="A35" s="690"/>
      <c r="B35" s="690"/>
      <c r="C35" s="690"/>
      <c r="D35" s="692"/>
    </row>
    <row r="36" spans="1:4" ht="18" customHeight="1" x14ac:dyDescent="0.25">
      <c r="A36" s="1168" t="s">
        <v>630</v>
      </c>
      <c r="B36" s="1168"/>
      <c r="C36" s="1168"/>
      <c r="D36" s="688">
        <v>0</v>
      </c>
    </row>
    <row r="37" spans="1:4" ht="18" customHeight="1" x14ac:dyDescent="0.25">
      <c r="A37" s="1168" t="s">
        <v>618</v>
      </c>
      <c r="B37" s="1168"/>
      <c r="C37" s="1168"/>
      <c r="D37" s="689">
        <f>D36*$B$9</f>
        <v>0</v>
      </c>
    </row>
    <row r="38" spans="1:4" ht="18" customHeight="1" x14ac:dyDescent="0.25">
      <c r="A38" s="1168" t="s">
        <v>631</v>
      </c>
      <c r="B38" s="1168"/>
      <c r="C38" s="1168"/>
      <c r="D38" s="688">
        <f>+D36-D37</f>
        <v>0</v>
      </c>
    </row>
    <row r="39" spans="1:4" ht="18" customHeight="1" x14ac:dyDescent="0.25">
      <c r="A39" s="690"/>
      <c r="B39" s="690"/>
      <c r="C39" s="690"/>
      <c r="D39" s="692"/>
    </row>
    <row r="40" spans="1:4" ht="18" customHeight="1" x14ac:dyDescent="0.25">
      <c r="A40" s="1168" t="s">
        <v>632</v>
      </c>
      <c r="B40" s="1168"/>
      <c r="C40" s="1168"/>
      <c r="D40" s="688">
        <v>0</v>
      </c>
    </row>
    <row r="41" spans="1:4" ht="18" customHeight="1" x14ac:dyDescent="0.25">
      <c r="A41" s="1168" t="s">
        <v>618</v>
      </c>
      <c r="B41" s="1168"/>
      <c r="C41" s="1168"/>
      <c r="D41" s="689">
        <f>D40*$B$9</f>
        <v>0</v>
      </c>
    </row>
    <row r="42" spans="1:4" ht="18" customHeight="1" x14ac:dyDescent="0.25">
      <c r="A42" s="1168" t="s">
        <v>633</v>
      </c>
      <c r="B42" s="1168"/>
      <c r="C42" s="1168"/>
      <c r="D42" s="688">
        <f>+D40-D41</f>
        <v>0</v>
      </c>
    </row>
    <row r="43" spans="1:4" ht="18" customHeight="1" x14ac:dyDescent="0.25">
      <c r="A43" s="690"/>
      <c r="B43" s="690"/>
      <c r="C43" s="690"/>
      <c r="D43" s="692"/>
    </row>
    <row r="44" spans="1:4" ht="18" customHeight="1" x14ac:dyDescent="0.25">
      <c r="A44" s="1168" t="s">
        <v>634</v>
      </c>
      <c r="B44" s="1168"/>
      <c r="C44" s="1168"/>
      <c r="D44" s="688">
        <v>0</v>
      </c>
    </row>
    <row r="45" spans="1:4" ht="18" customHeight="1" x14ac:dyDescent="0.25">
      <c r="A45" s="1168" t="s">
        <v>618</v>
      </c>
      <c r="B45" s="1168"/>
      <c r="C45" s="1168"/>
      <c r="D45" s="689">
        <f>D44*$B$9</f>
        <v>0</v>
      </c>
    </row>
    <row r="46" spans="1:4" ht="18" customHeight="1" x14ac:dyDescent="0.25">
      <c r="A46" s="1168" t="s">
        <v>635</v>
      </c>
      <c r="B46" s="1168"/>
      <c r="C46" s="1168"/>
      <c r="D46" s="688">
        <f>+D44-D45</f>
        <v>0</v>
      </c>
    </row>
    <row r="47" spans="1:4" ht="18" customHeight="1" x14ac:dyDescent="0.25">
      <c r="A47" s="690"/>
      <c r="B47" s="690"/>
      <c r="C47" s="690"/>
      <c r="D47" s="692"/>
    </row>
    <row r="48" spans="1:4" ht="18" customHeight="1" x14ac:dyDescent="0.25">
      <c r="A48" s="1168" t="s">
        <v>636</v>
      </c>
      <c r="B48" s="1168"/>
      <c r="C48" s="1168"/>
      <c r="D48" s="688">
        <v>0</v>
      </c>
    </row>
    <row r="49" spans="1:4" ht="18" customHeight="1" x14ac:dyDescent="0.25">
      <c r="A49" s="1168" t="s">
        <v>618</v>
      </c>
      <c r="B49" s="1168"/>
      <c r="C49" s="1168"/>
      <c r="D49" s="689">
        <f>D48*$B$9</f>
        <v>0</v>
      </c>
    </row>
    <row r="50" spans="1:4" ht="18" customHeight="1" x14ac:dyDescent="0.25">
      <c r="A50" s="1168" t="s">
        <v>637</v>
      </c>
      <c r="B50" s="1168"/>
      <c r="C50" s="1168"/>
      <c r="D50" s="688">
        <f>+D48-D49</f>
        <v>0</v>
      </c>
    </row>
    <row r="51" spans="1:4" ht="18" customHeight="1" x14ac:dyDescent="0.25">
      <c r="A51" s="690"/>
      <c r="B51" s="690"/>
      <c r="C51" s="690"/>
      <c r="D51" s="692"/>
    </row>
    <row r="52" spans="1:4" ht="18" customHeight="1" x14ac:dyDescent="0.25">
      <c r="A52" s="1168" t="s">
        <v>638</v>
      </c>
      <c r="B52" s="1168"/>
      <c r="C52" s="1168"/>
      <c r="D52" s="688">
        <v>0</v>
      </c>
    </row>
    <row r="53" spans="1:4" ht="18" customHeight="1" x14ac:dyDescent="0.25">
      <c r="A53" s="1168" t="s">
        <v>618</v>
      </c>
      <c r="B53" s="1168"/>
      <c r="C53" s="1168"/>
      <c r="D53" s="689">
        <f>D52*$B$9</f>
        <v>0</v>
      </c>
    </row>
    <row r="54" spans="1:4" ht="18" customHeight="1" x14ac:dyDescent="0.25">
      <c r="A54" s="1168" t="s">
        <v>639</v>
      </c>
      <c r="B54" s="1168"/>
      <c r="C54" s="1168"/>
      <c r="D54" s="688">
        <f>+D52-D53</f>
        <v>0</v>
      </c>
    </row>
    <row r="55" spans="1:4" ht="18" customHeight="1" x14ac:dyDescent="0.25">
      <c r="A55" s="690"/>
      <c r="B55" s="690"/>
      <c r="C55" s="690"/>
      <c r="D55" s="692"/>
    </row>
    <row r="56" spans="1:4" ht="18" customHeight="1" x14ac:dyDescent="0.25">
      <c r="A56" s="1168" t="s">
        <v>640</v>
      </c>
      <c r="B56" s="1168"/>
      <c r="C56" s="1168"/>
      <c r="D56" s="688">
        <v>0</v>
      </c>
    </row>
    <row r="57" spans="1:4" ht="18" customHeight="1" x14ac:dyDescent="0.25">
      <c r="A57" s="1168" t="s">
        <v>618</v>
      </c>
      <c r="B57" s="1168"/>
      <c r="C57" s="1168"/>
      <c r="D57" s="689">
        <f>D56*$B$9</f>
        <v>0</v>
      </c>
    </row>
    <row r="58" spans="1:4" ht="18" customHeight="1" x14ac:dyDescent="0.25">
      <c r="A58" s="1168" t="s">
        <v>641</v>
      </c>
      <c r="B58" s="1168"/>
      <c r="C58" s="1168"/>
      <c r="D58" s="688">
        <f>+D56-D57</f>
        <v>0</v>
      </c>
    </row>
    <row r="59" spans="1:4" ht="18" customHeight="1" x14ac:dyDescent="0.25">
      <c r="A59" s="690"/>
      <c r="B59" s="690"/>
      <c r="C59" s="690"/>
      <c r="D59" s="692"/>
    </row>
    <row r="60" spans="1:4" ht="18" customHeight="1" x14ac:dyDescent="0.25">
      <c r="A60" s="1168" t="s">
        <v>642</v>
      </c>
      <c r="B60" s="1168"/>
      <c r="C60" s="1168"/>
      <c r="D60" s="688">
        <v>0</v>
      </c>
    </row>
    <row r="61" spans="1:4" ht="18" customHeight="1" x14ac:dyDescent="0.25">
      <c r="A61" s="1168" t="s">
        <v>618</v>
      </c>
      <c r="B61" s="1168"/>
      <c r="C61" s="1168"/>
      <c r="D61" s="689">
        <f>D60*$B$9</f>
        <v>0</v>
      </c>
    </row>
    <row r="62" spans="1:4" ht="18" customHeight="1" x14ac:dyDescent="0.25">
      <c r="A62" s="1168" t="s">
        <v>643</v>
      </c>
      <c r="B62" s="1168"/>
      <c r="C62" s="1168"/>
      <c r="D62" s="688">
        <f>+D60-D61</f>
        <v>0</v>
      </c>
    </row>
    <row r="63" spans="1:4" ht="18" customHeight="1" x14ac:dyDescent="0.25">
      <c r="D63" s="693"/>
    </row>
    <row r="64" spans="1:4" ht="18" customHeight="1" x14ac:dyDescent="0.25">
      <c r="A64" s="1168" t="s">
        <v>644</v>
      </c>
      <c r="B64" s="1168"/>
      <c r="C64" s="1168"/>
      <c r="D64" s="688">
        <v>0</v>
      </c>
    </row>
    <row r="65" spans="1:4" ht="18" customHeight="1" x14ac:dyDescent="0.25">
      <c r="A65" s="1168" t="s">
        <v>618</v>
      </c>
      <c r="B65" s="1168"/>
      <c r="C65" s="1168"/>
      <c r="D65" s="689">
        <f>D64*$B$9</f>
        <v>0</v>
      </c>
    </row>
    <row r="66" spans="1:4" ht="18" customHeight="1" x14ac:dyDescent="0.25">
      <c r="A66" s="1168" t="s">
        <v>645</v>
      </c>
      <c r="B66" s="1168"/>
      <c r="C66" s="1168"/>
      <c r="D66" s="688">
        <f>+D64-D65</f>
        <v>0</v>
      </c>
    </row>
    <row r="67" spans="1:4" ht="18" customHeight="1" x14ac:dyDescent="0.25">
      <c r="A67" s="690"/>
      <c r="B67" s="690"/>
      <c r="C67" s="690"/>
      <c r="D67" s="692"/>
    </row>
    <row r="68" spans="1:4" ht="18" customHeight="1" x14ac:dyDescent="0.25">
      <c r="A68" s="1168" t="s">
        <v>646</v>
      </c>
      <c r="B68" s="1168"/>
      <c r="C68" s="1168"/>
      <c r="D68" s="688">
        <v>0</v>
      </c>
    </row>
    <row r="69" spans="1:4" ht="18" customHeight="1" x14ac:dyDescent="0.25">
      <c r="A69" s="1168" t="s">
        <v>618</v>
      </c>
      <c r="B69" s="1168"/>
      <c r="C69" s="1168"/>
      <c r="D69" s="689">
        <f>D68*$B$9</f>
        <v>0</v>
      </c>
    </row>
    <row r="70" spans="1:4" ht="18" customHeight="1" x14ac:dyDescent="0.25">
      <c r="A70" s="1168" t="s">
        <v>647</v>
      </c>
      <c r="B70" s="1168"/>
      <c r="C70" s="1168"/>
      <c r="D70" s="688">
        <f>+D68-D69</f>
        <v>0</v>
      </c>
    </row>
    <row r="71" spans="1:4" ht="18" customHeight="1" x14ac:dyDescent="0.25">
      <c r="A71" s="690"/>
      <c r="B71" s="690"/>
      <c r="C71" s="690"/>
      <c r="D71" s="692"/>
    </row>
    <row r="72" spans="1:4" ht="18" customHeight="1" x14ac:dyDescent="0.25">
      <c r="A72" s="1168" t="s">
        <v>648</v>
      </c>
      <c r="B72" s="1168"/>
      <c r="C72" s="1168"/>
      <c r="D72" s="688">
        <v>0</v>
      </c>
    </row>
    <row r="73" spans="1:4" ht="18" customHeight="1" x14ac:dyDescent="0.25">
      <c r="A73" s="1168" t="s">
        <v>618</v>
      </c>
      <c r="B73" s="1168"/>
      <c r="C73" s="1168"/>
      <c r="D73" s="689">
        <f>D72*$B$9</f>
        <v>0</v>
      </c>
    </row>
    <row r="74" spans="1:4" ht="18" customHeight="1" x14ac:dyDescent="0.25">
      <c r="A74" s="1168" t="s">
        <v>649</v>
      </c>
      <c r="B74" s="1168"/>
      <c r="C74" s="1168"/>
      <c r="D74" s="688">
        <f>+D72-D73</f>
        <v>0</v>
      </c>
    </row>
    <row r="75" spans="1:4" ht="18" customHeight="1" x14ac:dyDescent="0.25">
      <c r="A75" s="690"/>
      <c r="B75" s="690"/>
      <c r="C75" s="690"/>
      <c r="D75" s="692"/>
    </row>
    <row r="76" spans="1:4" ht="18" customHeight="1" x14ac:dyDescent="0.25">
      <c r="A76" s="1168" t="s">
        <v>650</v>
      </c>
      <c r="B76" s="1168"/>
      <c r="C76" s="1168"/>
      <c r="D76" s="688">
        <v>0</v>
      </c>
    </row>
    <row r="77" spans="1:4" ht="18" customHeight="1" x14ac:dyDescent="0.25">
      <c r="A77" s="1168" t="s">
        <v>618</v>
      </c>
      <c r="B77" s="1168"/>
      <c r="C77" s="1168"/>
      <c r="D77" s="689">
        <f>D76*$B$9</f>
        <v>0</v>
      </c>
    </row>
    <row r="78" spans="1:4" ht="18" customHeight="1" x14ac:dyDescent="0.25">
      <c r="A78" s="1168" t="s">
        <v>651</v>
      </c>
      <c r="B78" s="1168"/>
      <c r="C78" s="1168"/>
      <c r="D78" s="688">
        <f>+D76-D77</f>
        <v>0</v>
      </c>
    </row>
    <row r="79" spans="1:4" ht="18" customHeight="1" x14ac:dyDescent="0.25">
      <c r="A79" s="690"/>
      <c r="B79" s="690"/>
      <c r="C79" s="690"/>
      <c r="D79" s="692"/>
    </row>
    <row r="80" spans="1:4" ht="18" customHeight="1" x14ac:dyDescent="0.25">
      <c r="A80" s="1168" t="s">
        <v>652</v>
      </c>
      <c r="B80" s="1168"/>
      <c r="C80" s="1168"/>
      <c r="D80" s="688">
        <v>0</v>
      </c>
    </row>
    <row r="81" spans="1:4" ht="18" customHeight="1" x14ac:dyDescent="0.25">
      <c r="A81" s="1168" t="s">
        <v>618</v>
      </c>
      <c r="B81" s="1168"/>
      <c r="C81" s="1168"/>
      <c r="D81" s="689">
        <f>D80*$B$9</f>
        <v>0</v>
      </c>
    </row>
    <row r="82" spans="1:4" ht="18" customHeight="1" x14ac:dyDescent="0.25">
      <c r="A82" s="1168" t="s">
        <v>653</v>
      </c>
      <c r="B82" s="1168"/>
      <c r="C82" s="1168"/>
      <c r="D82" s="688">
        <f>+D80-D81</f>
        <v>0</v>
      </c>
    </row>
    <row r="83" spans="1:4" ht="18" customHeight="1" x14ac:dyDescent="0.25">
      <c r="D83" s="693"/>
    </row>
    <row r="84" spans="1:4" ht="18" customHeight="1" x14ac:dyDescent="0.25">
      <c r="A84" s="1168" t="s">
        <v>654</v>
      </c>
      <c r="B84" s="1168"/>
      <c r="C84" s="1168"/>
      <c r="D84" s="688">
        <v>0</v>
      </c>
    </row>
    <row r="85" spans="1:4" ht="18" customHeight="1" x14ac:dyDescent="0.25">
      <c r="A85" s="1168" t="s">
        <v>618</v>
      </c>
      <c r="B85" s="1168"/>
      <c r="C85" s="1168"/>
      <c r="D85" s="689">
        <f>D84*$B$9</f>
        <v>0</v>
      </c>
    </row>
    <row r="86" spans="1:4" ht="18" customHeight="1" x14ac:dyDescent="0.25">
      <c r="A86" s="1168" t="s">
        <v>655</v>
      </c>
      <c r="B86" s="1168"/>
      <c r="C86" s="1168"/>
      <c r="D86" s="688">
        <f>+D84-D85</f>
        <v>0</v>
      </c>
    </row>
    <row r="87" spans="1:4" ht="18" customHeight="1" x14ac:dyDescent="0.25">
      <c r="A87" s="690"/>
      <c r="B87" s="690"/>
      <c r="C87" s="690"/>
      <c r="D87" s="692"/>
    </row>
    <row r="88" spans="1:4" ht="18" customHeight="1" x14ac:dyDescent="0.25">
      <c r="A88" s="1168" t="s">
        <v>656</v>
      </c>
      <c r="B88" s="1168"/>
      <c r="C88" s="1168"/>
      <c r="D88" s="688">
        <v>0</v>
      </c>
    </row>
    <row r="89" spans="1:4" ht="18" customHeight="1" x14ac:dyDescent="0.25">
      <c r="A89" s="1168" t="s">
        <v>618</v>
      </c>
      <c r="B89" s="1168"/>
      <c r="C89" s="1168"/>
      <c r="D89" s="689">
        <f>D88*$B$9</f>
        <v>0</v>
      </c>
    </row>
    <row r="90" spans="1:4" ht="18" customHeight="1" x14ac:dyDescent="0.25">
      <c r="A90" s="1168" t="s">
        <v>657</v>
      </c>
      <c r="B90" s="1168"/>
      <c r="C90" s="1168"/>
      <c r="D90" s="688">
        <f>+D88-D89</f>
        <v>0</v>
      </c>
    </row>
    <row r="91" spans="1:4" ht="18" customHeight="1" x14ac:dyDescent="0.25">
      <c r="A91" s="690"/>
      <c r="B91" s="690"/>
      <c r="C91" s="690"/>
      <c r="D91" s="692"/>
    </row>
    <row r="92" spans="1:4" ht="18" customHeight="1" x14ac:dyDescent="0.25">
      <c r="A92" s="1168" t="s">
        <v>658</v>
      </c>
      <c r="B92" s="1168"/>
      <c r="C92" s="1168"/>
      <c r="D92" s="688">
        <v>0</v>
      </c>
    </row>
    <row r="93" spans="1:4" ht="18" customHeight="1" x14ac:dyDescent="0.25">
      <c r="A93" s="1168" t="s">
        <v>618</v>
      </c>
      <c r="B93" s="1168"/>
      <c r="C93" s="1168"/>
      <c r="D93" s="689">
        <f>D92*$B$9</f>
        <v>0</v>
      </c>
    </row>
    <row r="94" spans="1:4" ht="18" customHeight="1" x14ac:dyDescent="0.25">
      <c r="A94" s="1168" t="s">
        <v>659</v>
      </c>
      <c r="B94" s="1168"/>
      <c r="C94" s="1168"/>
      <c r="D94" s="688">
        <f>+D92-D93</f>
        <v>0</v>
      </c>
    </row>
  </sheetData>
  <sheetProtection algorithmName="SHA-512" hashValue="c7ose/zu0FNrPZmLuBa+ihfkE/pIKYLS4g0DjsAzebQZ/94dq7YcrC2x7EMf3luKAox7pzUUtu6n68FhrSoLNw==" saltValue="ktv2DyOyz+c/J5YKvXyxHg==" spinCount="100000" sheet="1" formatCells="0" formatColumns="0" formatRows="0" insertRows="0" autoFilter="0" pivotTables="0"/>
  <mergeCells count="71">
    <mergeCell ref="A94:C94"/>
    <mergeCell ref="A88:C88"/>
    <mergeCell ref="A89:C89"/>
    <mergeCell ref="A90:C90"/>
    <mergeCell ref="A92:C92"/>
    <mergeCell ref="A93:C93"/>
    <mergeCell ref="A81:C81"/>
    <mergeCell ref="A82:C82"/>
    <mergeCell ref="A84:C84"/>
    <mergeCell ref="A85:C85"/>
    <mergeCell ref="A86:C86"/>
    <mergeCell ref="A74:C74"/>
    <mergeCell ref="A76:C76"/>
    <mergeCell ref="A77:C77"/>
    <mergeCell ref="A78:C78"/>
    <mergeCell ref="A80:C80"/>
    <mergeCell ref="A68:C68"/>
    <mergeCell ref="A69:C69"/>
    <mergeCell ref="A70:C70"/>
    <mergeCell ref="A72:C72"/>
    <mergeCell ref="A73:C73"/>
    <mergeCell ref="A61:C61"/>
    <mergeCell ref="A62:C62"/>
    <mergeCell ref="A64:C64"/>
    <mergeCell ref="A65:C65"/>
    <mergeCell ref="A66:C66"/>
    <mergeCell ref="A54:C54"/>
    <mergeCell ref="A56:C56"/>
    <mergeCell ref="A57:C57"/>
    <mergeCell ref="A58:C58"/>
    <mergeCell ref="A60:C60"/>
    <mergeCell ref="A48:C48"/>
    <mergeCell ref="A49:C49"/>
    <mergeCell ref="A50:C50"/>
    <mergeCell ref="A52:C52"/>
    <mergeCell ref="A53:C53"/>
    <mergeCell ref="A41:C41"/>
    <mergeCell ref="A42:C42"/>
    <mergeCell ref="A44:C44"/>
    <mergeCell ref="A45:C45"/>
    <mergeCell ref="A46:C46"/>
    <mergeCell ref="A34:C34"/>
    <mergeCell ref="A36:C36"/>
    <mergeCell ref="A37:C37"/>
    <mergeCell ref="A38:C38"/>
    <mergeCell ref="A40:C40"/>
    <mergeCell ref="A28:C28"/>
    <mergeCell ref="A29:C29"/>
    <mergeCell ref="A30:C30"/>
    <mergeCell ref="A32:C32"/>
    <mergeCell ref="A33:C33"/>
    <mergeCell ref="A21:C21"/>
    <mergeCell ref="A22:C22"/>
    <mergeCell ref="A24:C24"/>
    <mergeCell ref="A25:C25"/>
    <mergeCell ref="A26:C26"/>
    <mergeCell ref="A14:C14"/>
    <mergeCell ref="A16:C16"/>
    <mergeCell ref="A17:C17"/>
    <mergeCell ref="A18:C18"/>
    <mergeCell ref="A20:C20"/>
    <mergeCell ref="B7:D7"/>
    <mergeCell ref="B8:D8"/>
    <mergeCell ref="A11:D11"/>
    <mergeCell ref="A12:C12"/>
    <mergeCell ref="A13:C13"/>
    <mergeCell ref="B1:E1"/>
    <mergeCell ref="B2:E2"/>
    <mergeCell ref="B4:D4"/>
    <mergeCell ref="B5:D5"/>
    <mergeCell ref="B6:D6"/>
  </mergeCells>
  <hyperlinks>
    <hyperlink ref="E4" location="ins" display="Instructivo" xr:uid="{00000000-0004-0000-13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K45"/>
  <sheetViews>
    <sheetView showGridLines="0" zoomScaleNormal="100" workbookViewId="0">
      <selection activeCell="J11" sqref="J11"/>
    </sheetView>
  </sheetViews>
  <sheetFormatPr baseColWidth="10" defaultColWidth="18.77734375" defaultRowHeight="18" customHeight="1" x14ac:dyDescent="0.25"/>
  <cols>
    <col min="1" max="1" width="10.77734375" style="683" customWidth="1"/>
    <col min="2" max="2" width="26.6640625" style="683" customWidth="1"/>
    <col min="3" max="7" width="18.77734375" style="683"/>
    <col min="8" max="8" width="10.77734375" style="683" customWidth="1"/>
    <col min="9" max="16384" width="18.77734375" style="683"/>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17.25" customHeight="1" x14ac:dyDescent="0.25">
      <c r="E2" s="13" t="s">
        <v>660</v>
      </c>
      <c r="F2" s="13"/>
      <c r="G2" s="13"/>
      <c r="H2" s="13"/>
      <c r="I2" s="441"/>
      <c r="J2" s="420"/>
      <c r="K2" s="378"/>
    </row>
    <row r="4" spans="1:11" ht="18" customHeight="1" x14ac:dyDescent="0.25">
      <c r="A4" s="694"/>
      <c r="B4" s="695"/>
      <c r="C4" s="695"/>
      <c r="D4" s="695"/>
      <c r="E4" s="695"/>
      <c r="F4" s="695"/>
      <c r="G4" s="695"/>
      <c r="H4" s="696"/>
    </row>
    <row r="5" spans="1:11" ht="18" customHeight="1" x14ac:dyDescent="0.25">
      <c r="A5" s="697"/>
      <c r="B5" s="1169" t="s">
        <v>424</v>
      </c>
      <c r="C5" s="1169"/>
      <c r="D5" s="1169"/>
      <c r="E5" s="1169"/>
      <c r="F5" s="1169"/>
      <c r="G5" s="1169"/>
      <c r="H5" s="698"/>
    </row>
    <row r="6" spans="1:11" ht="26.25" customHeight="1" x14ac:dyDescent="0.25">
      <c r="A6" s="697"/>
      <c r="B6" s="1170" t="s">
        <v>661</v>
      </c>
      <c r="C6" s="1170"/>
      <c r="D6" s="1170"/>
      <c r="E6" s="1170"/>
      <c r="F6" s="1170"/>
      <c r="G6" s="1170"/>
      <c r="H6" s="698"/>
    </row>
    <row r="7" spans="1:11" ht="18" customHeight="1" x14ac:dyDescent="0.25">
      <c r="A7" s="697"/>
      <c r="H7" s="698"/>
    </row>
    <row r="8" spans="1:11" ht="18" customHeight="1" x14ac:dyDescent="0.25">
      <c r="A8" s="697"/>
      <c r="B8" s="699" t="s">
        <v>662</v>
      </c>
      <c r="C8" s="1171" t="s">
        <v>663</v>
      </c>
      <c r="D8" s="1171"/>
      <c r="E8" s="1171"/>
      <c r="F8" s="1171"/>
      <c r="G8" s="1171"/>
      <c r="H8" s="698"/>
    </row>
    <row r="9" spans="1:11" ht="18" customHeight="1" x14ac:dyDescent="0.25">
      <c r="A9" s="697"/>
      <c r="B9" s="699" t="s">
        <v>515</v>
      </c>
      <c r="C9" s="700"/>
      <c r="D9" s="701"/>
      <c r="E9" s="701"/>
      <c r="F9" s="699" t="s">
        <v>664</v>
      </c>
      <c r="G9" s="702"/>
      <c r="H9" s="698"/>
    </row>
    <row r="10" spans="1:11" ht="18" customHeight="1" x14ac:dyDescent="0.25">
      <c r="A10" s="697"/>
      <c r="B10" s="699" t="s">
        <v>665</v>
      </c>
      <c r="C10" s="1172"/>
      <c r="D10" s="1172"/>
      <c r="E10" s="1172"/>
      <c r="F10" s="1172"/>
      <c r="G10" s="1172"/>
      <c r="H10" s="698"/>
    </row>
    <row r="11" spans="1:11" ht="18" customHeight="1" x14ac:dyDescent="0.25">
      <c r="A11" s="697"/>
      <c r="B11" s="699"/>
      <c r="H11" s="698"/>
    </row>
    <row r="12" spans="1:11" ht="18" customHeight="1" x14ac:dyDescent="0.25">
      <c r="A12" s="697"/>
      <c r="B12" s="699" t="s">
        <v>666</v>
      </c>
      <c r="C12" s="701"/>
      <c r="D12" s="701"/>
      <c r="H12" s="698"/>
    </row>
    <row r="13" spans="1:11" ht="18" customHeight="1" x14ac:dyDescent="0.25">
      <c r="A13" s="697"/>
      <c r="B13" s="699"/>
      <c r="H13" s="698"/>
    </row>
    <row r="14" spans="1:11" ht="18" customHeight="1" x14ac:dyDescent="0.25">
      <c r="A14" s="697"/>
      <c r="B14" s="699" t="s">
        <v>667</v>
      </c>
      <c r="C14" s="701"/>
      <c r="H14" s="698"/>
    </row>
    <row r="15" spans="1:11" ht="18" customHeight="1" x14ac:dyDescent="0.25">
      <c r="A15" s="697"/>
      <c r="B15" s="699"/>
      <c r="H15" s="698"/>
    </row>
    <row r="16" spans="1:11" ht="18" customHeight="1" x14ac:dyDescent="0.25">
      <c r="A16" s="697"/>
      <c r="B16" s="699" t="s">
        <v>668</v>
      </c>
      <c r="C16" s="701" t="s">
        <v>669</v>
      </c>
      <c r="D16" s="701"/>
      <c r="E16" s="701"/>
      <c r="F16" s="701"/>
      <c r="G16" s="701"/>
      <c r="H16" s="698"/>
    </row>
    <row r="17" spans="1:8" ht="18" customHeight="1" x14ac:dyDescent="0.25">
      <c r="A17" s="697"/>
      <c r="B17" s="699"/>
      <c r="H17" s="698"/>
    </row>
    <row r="18" spans="1:8" ht="18" customHeight="1" x14ac:dyDescent="0.25">
      <c r="A18" s="697"/>
      <c r="B18" s="699" t="s">
        <v>670</v>
      </c>
      <c r="C18" s="701"/>
      <c r="D18" s="701"/>
      <c r="E18" s="701"/>
      <c r="F18" s="701"/>
      <c r="G18" s="701"/>
      <c r="H18" s="698"/>
    </row>
    <row r="19" spans="1:8" ht="18" customHeight="1" x14ac:dyDescent="0.25">
      <c r="A19" s="697"/>
      <c r="B19" s="699"/>
      <c r="H19" s="698"/>
    </row>
    <row r="20" spans="1:8" ht="18" customHeight="1" x14ac:dyDescent="0.25">
      <c r="A20" s="697"/>
      <c r="B20" s="699" t="s">
        <v>671</v>
      </c>
      <c r="C20" s="701"/>
      <c r="D20" s="701"/>
      <c r="E20" s="701"/>
      <c r="F20" s="701"/>
      <c r="G20" s="701"/>
      <c r="H20" s="698"/>
    </row>
    <row r="21" spans="1:8" ht="18" customHeight="1" x14ac:dyDescent="0.25">
      <c r="A21" s="697"/>
      <c r="H21" s="698"/>
    </row>
    <row r="22" spans="1:8" ht="18" customHeight="1" x14ac:dyDescent="0.25">
      <c r="A22" s="703"/>
      <c r="B22" s="701"/>
      <c r="C22" s="701"/>
      <c r="D22" s="701"/>
      <c r="E22" s="701"/>
      <c r="F22" s="701"/>
      <c r="G22" s="701"/>
      <c r="H22" s="704"/>
    </row>
    <row r="24" spans="1:8" ht="18" customHeight="1" x14ac:dyDescent="0.25">
      <c r="A24" s="705"/>
      <c r="B24" s="705"/>
      <c r="C24" s="705"/>
      <c r="D24" s="705"/>
      <c r="E24" s="705"/>
      <c r="F24" s="705"/>
      <c r="G24" s="705"/>
      <c r="H24" s="705"/>
    </row>
    <row r="27" spans="1:8" ht="18" customHeight="1" x14ac:dyDescent="0.25">
      <c r="A27" s="694"/>
      <c r="B27" s="695"/>
      <c r="C27" s="695"/>
      <c r="D27" s="695"/>
      <c r="E27" s="695"/>
      <c r="F27" s="695"/>
      <c r="G27" s="695"/>
      <c r="H27" s="696"/>
    </row>
    <row r="28" spans="1:8" ht="18" customHeight="1" x14ac:dyDescent="0.25">
      <c r="A28" s="697"/>
      <c r="B28" s="1169" t="s">
        <v>424</v>
      </c>
      <c r="C28" s="1169"/>
      <c r="D28" s="1169"/>
      <c r="E28" s="1169"/>
      <c r="F28" s="1169"/>
      <c r="G28" s="1169"/>
      <c r="H28" s="698"/>
    </row>
    <row r="29" spans="1:8" ht="27.75" customHeight="1" x14ac:dyDescent="0.25">
      <c r="A29" s="697"/>
      <c r="B29" s="1170" t="s">
        <v>661</v>
      </c>
      <c r="C29" s="1170"/>
      <c r="D29" s="1170"/>
      <c r="E29" s="1170"/>
      <c r="F29" s="1170"/>
      <c r="G29" s="1170"/>
      <c r="H29" s="698"/>
    </row>
    <row r="30" spans="1:8" ht="18" customHeight="1" x14ac:dyDescent="0.25">
      <c r="A30" s="697"/>
      <c r="H30" s="698"/>
    </row>
    <row r="31" spans="1:8" ht="18" customHeight="1" x14ac:dyDescent="0.25">
      <c r="A31" s="697"/>
      <c r="B31" s="699" t="s">
        <v>662</v>
      </c>
      <c r="C31" s="1171" t="s">
        <v>663</v>
      </c>
      <c r="D31" s="1171"/>
      <c r="E31" s="1171"/>
      <c r="F31" s="1171"/>
      <c r="G31" s="1171"/>
      <c r="H31" s="698"/>
    </row>
    <row r="32" spans="1:8" ht="18" customHeight="1" x14ac:dyDescent="0.25">
      <c r="A32" s="697"/>
      <c r="B32" s="699" t="s">
        <v>515</v>
      </c>
      <c r="C32" s="700"/>
      <c r="D32" s="701"/>
      <c r="E32" s="701"/>
      <c r="F32" s="699" t="s">
        <v>664</v>
      </c>
      <c r="G32" s="702"/>
      <c r="H32" s="698"/>
    </row>
    <row r="33" spans="1:8" ht="18" customHeight="1" x14ac:dyDescent="0.25">
      <c r="A33" s="697"/>
      <c r="B33" s="699" t="s">
        <v>665</v>
      </c>
      <c r="C33" s="1172"/>
      <c r="D33" s="1172"/>
      <c r="E33" s="1172"/>
      <c r="F33" s="1172"/>
      <c r="G33" s="1172"/>
      <c r="H33" s="698"/>
    </row>
    <row r="34" spans="1:8" ht="18" customHeight="1" x14ac:dyDescent="0.25">
      <c r="A34" s="697"/>
      <c r="B34" s="699"/>
      <c r="H34" s="698"/>
    </row>
    <row r="35" spans="1:8" ht="18" customHeight="1" x14ac:dyDescent="0.25">
      <c r="A35" s="697"/>
      <c r="B35" s="699" t="s">
        <v>666</v>
      </c>
      <c r="C35" s="701"/>
      <c r="D35" s="701"/>
      <c r="H35" s="698"/>
    </row>
    <row r="36" spans="1:8" ht="18" customHeight="1" x14ac:dyDescent="0.25">
      <c r="A36" s="697"/>
      <c r="B36" s="699"/>
      <c r="H36" s="698"/>
    </row>
    <row r="37" spans="1:8" ht="18" customHeight="1" x14ac:dyDescent="0.25">
      <c r="A37" s="697"/>
      <c r="B37" s="699" t="s">
        <v>667</v>
      </c>
      <c r="C37" s="701"/>
      <c r="H37" s="698"/>
    </row>
    <row r="38" spans="1:8" ht="18" customHeight="1" x14ac:dyDescent="0.25">
      <c r="A38" s="697"/>
      <c r="B38" s="699"/>
      <c r="H38" s="698"/>
    </row>
    <row r="39" spans="1:8" ht="18" customHeight="1" x14ac:dyDescent="0.25">
      <c r="A39" s="697"/>
      <c r="B39" s="699" t="s">
        <v>668</v>
      </c>
      <c r="C39" s="701" t="s">
        <v>669</v>
      </c>
      <c r="D39" s="701"/>
      <c r="E39" s="701"/>
      <c r="F39" s="701"/>
      <c r="G39" s="701"/>
      <c r="H39" s="698"/>
    </row>
    <row r="40" spans="1:8" ht="18" customHeight="1" x14ac:dyDescent="0.25">
      <c r="A40" s="697"/>
      <c r="B40" s="699"/>
      <c r="H40" s="698"/>
    </row>
    <row r="41" spans="1:8" ht="18" customHeight="1" x14ac:dyDescent="0.25">
      <c r="A41" s="697"/>
      <c r="B41" s="699" t="s">
        <v>670</v>
      </c>
      <c r="C41" s="701"/>
      <c r="D41" s="701"/>
      <c r="E41" s="701"/>
      <c r="F41" s="701"/>
      <c r="G41" s="701"/>
      <c r="H41" s="698"/>
    </row>
    <row r="42" spans="1:8" ht="18" customHeight="1" x14ac:dyDescent="0.25">
      <c r="A42" s="697"/>
      <c r="B42" s="699"/>
      <c r="H42" s="698"/>
    </row>
    <row r="43" spans="1:8" ht="18" customHeight="1" x14ac:dyDescent="0.25">
      <c r="A43" s="697"/>
      <c r="B43" s="699" t="s">
        <v>671</v>
      </c>
      <c r="C43" s="701"/>
      <c r="D43" s="701"/>
      <c r="E43" s="701"/>
      <c r="F43" s="701"/>
      <c r="G43" s="701"/>
      <c r="H43" s="698"/>
    </row>
    <row r="44" spans="1:8" ht="18" customHeight="1" x14ac:dyDescent="0.25">
      <c r="A44" s="697"/>
      <c r="H44" s="698"/>
    </row>
    <row r="45" spans="1:8" ht="18" customHeight="1" x14ac:dyDescent="0.25">
      <c r="A45" s="703"/>
      <c r="B45" s="701"/>
      <c r="C45" s="701"/>
      <c r="D45" s="701"/>
      <c r="E45" s="701"/>
      <c r="F45" s="701"/>
      <c r="G45" s="701"/>
      <c r="H45" s="704"/>
    </row>
  </sheetData>
  <sheetProtection algorithmName="SHA-512" hashValue="3wx8XHanJk9zVOw85W+OHkaqAOjwVVc8VbPCYgMouS25pP4DLiHBg5sonokcIg5YEMjm920F+pJ+YnO39uczpw==" saltValue="Hvaf11SvPg7z36cV7nH4dQ==" spinCount="100000" sheet="1" formatCells="0" formatColumns="0" formatRows="0" insertRows="0" autoFilter="0" pivotTables="0"/>
  <mergeCells count="10">
    <mergeCell ref="C10:G10"/>
    <mergeCell ref="B28:G28"/>
    <mergeCell ref="B29:G29"/>
    <mergeCell ref="C31:G31"/>
    <mergeCell ref="C33:G33"/>
    <mergeCell ref="E1:H1"/>
    <mergeCell ref="E2:H2"/>
    <mergeCell ref="B5:G5"/>
    <mergeCell ref="B6:G6"/>
    <mergeCell ref="C8:G8"/>
  </mergeCells>
  <hyperlinks>
    <hyperlink ref="J1" location="ins" display="Instructivo" xr:uid="{00000000-0004-0000-1400-000000000000}"/>
  </hyperlinks>
  <printOptions horizontalCentered="1" verticalCentered="1"/>
  <pageMargins left="0.70833333333333304" right="0.70833333333333304" top="0.55138888888888904" bottom="0.55138888888888904" header="0.511811023622047" footer="0.511811023622047"/>
  <pageSetup fitToHeight="0" orientation="portrait" horizontalDpi="300" verticalDpi="300"/>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K47"/>
  <sheetViews>
    <sheetView showGridLines="0" zoomScaleNormal="100" workbookViewId="0"/>
  </sheetViews>
  <sheetFormatPr baseColWidth="10" defaultColWidth="18.77734375" defaultRowHeight="18" customHeight="1" x14ac:dyDescent="0.25"/>
  <cols>
    <col min="1" max="1" width="10.77734375" style="706" customWidth="1"/>
    <col min="2" max="2" width="26.109375" style="706" customWidth="1"/>
    <col min="3" max="7" width="18.77734375" style="706"/>
    <col min="8" max="8" width="10.77734375" style="706" customWidth="1"/>
    <col min="9" max="16384" width="18.77734375" style="706"/>
  </cols>
  <sheetData>
    <row r="1" spans="1:11" s="15" customFormat="1" ht="39" customHeight="1" x14ac:dyDescent="0.25">
      <c r="E1" s="14" t="str">
        <f>Instructivo!F1</f>
        <v>Sistema de Gestión Integral (SGI)
Instructivo - Componente Financiero EP
Código: F-PGC-21. Versión: 05</v>
      </c>
      <c r="F1" s="14"/>
      <c r="G1" s="14"/>
      <c r="H1" s="14"/>
      <c r="J1" s="132" t="s">
        <v>102</v>
      </c>
    </row>
    <row r="2" spans="1:11" s="15" customFormat="1" ht="17.25" customHeight="1" x14ac:dyDescent="0.25">
      <c r="E2" s="13" t="s">
        <v>672</v>
      </c>
      <c r="F2" s="13"/>
      <c r="G2" s="13"/>
      <c r="H2" s="13"/>
      <c r="I2" s="441"/>
      <c r="J2" s="420"/>
      <c r="K2" s="378"/>
    </row>
    <row r="3" spans="1:11" ht="9" customHeight="1" x14ac:dyDescent="0.25"/>
    <row r="4" spans="1:11" ht="9" customHeight="1" x14ac:dyDescent="0.25">
      <c r="A4" s="683"/>
      <c r="B4" s="683"/>
      <c r="C4" s="683"/>
      <c r="D4" s="683"/>
      <c r="E4" s="683"/>
      <c r="F4" s="683"/>
      <c r="G4" s="683"/>
      <c r="H4" s="683"/>
    </row>
    <row r="5" spans="1:11" ht="18" customHeight="1" x14ac:dyDescent="0.25">
      <c r="A5" s="694"/>
      <c r="B5" s="695"/>
      <c r="C5" s="695"/>
      <c r="D5" s="695"/>
      <c r="E5" s="695"/>
      <c r="F5" s="695"/>
      <c r="G5" s="695"/>
      <c r="H5" s="696"/>
    </row>
    <row r="6" spans="1:11" ht="18" customHeight="1" x14ac:dyDescent="0.25">
      <c r="A6" s="697"/>
      <c r="B6" s="1169" t="s">
        <v>424</v>
      </c>
      <c r="C6" s="1169"/>
      <c r="D6" s="1169"/>
      <c r="E6" s="1169"/>
      <c r="F6" s="1169"/>
      <c r="G6" s="1169"/>
      <c r="H6" s="698"/>
    </row>
    <row r="7" spans="1:11" ht="27.75" customHeight="1" x14ac:dyDescent="0.25">
      <c r="A7" s="697"/>
      <c r="B7" s="1170" t="s">
        <v>673</v>
      </c>
      <c r="C7" s="1170"/>
      <c r="D7" s="1170"/>
      <c r="E7" s="1170"/>
      <c r="F7" s="1170"/>
      <c r="G7" s="1170"/>
      <c r="H7" s="698"/>
    </row>
    <row r="8" spans="1:11" ht="18" customHeight="1" x14ac:dyDescent="0.25">
      <c r="A8" s="697"/>
      <c r="B8" s="683"/>
      <c r="C8" s="683"/>
      <c r="D8" s="683"/>
      <c r="E8" s="683"/>
      <c r="F8" s="683"/>
      <c r="G8" s="683"/>
      <c r="H8" s="698"/>
    </row>
    <row r="9" spans="1:11" ht="18" customHeight="1" x14ac:dyDescent="0.25">
      <c r="A9" s="697"/>
      <c r="B9" s="699" t="s">
        <v>662</v>
      </c>
      <c r="C9" s="1171" t="s">
        <v>663</v>
      </c>
      <c r="D9" s="1171"/>
      <c r="E9" s="1171"/>
      <c r="F9" s="1171"/>
      <c r="G9" s="1171"/>
      <c r="H9" s="698"/>
    </row>
    <row r="10" spans="1:11" ht="18" customHeight="1" x14ac:dyDescent="0.25">
      <c r="A10" s="697"/>
      <c r="B10" s="699" t="s">
        <v>515</v>
      </c>
      <c r="C10" s="700"/>
      <c r="D10" s="701"/>
      <c r="E10" s="701"/>
      <c r="F10" s="699" t="s">
        <v>664</v>
      </c>
      <c r="G10" s="702"/>
      <c r="H10" s="698"/>
    </row>
    <row r="11" spans="1:11" ht="18" customHeight="1" x14ac:dyDescent="0.25">
      <c r="A11" s="697"/>
      <c r="B11" s="699" t="s">
        <v>665</v>
      </c>
      <c r="C11" s="1172"/>
      <c r="D11" s="1172"/>
      <c r="E11" s="1172"/>
      <c r="F11" s="1172"/>
      <c r="G11" s="1172"/>
      <c r="H11" s="698"/>
    </row>
    <row r="12" spans="1:11" ht="18" customHeight="1" x14ac:dyDescent="0.25">
      <c r="A12" s="697"/>
      <c r="B12" s="699"/>
      <c r="C12" s="683"/>
      <c r="D12" s="683"/>
      <c r="E12" s="683"/>
      <c r="F12" s="683"/>
      <c r="G12" s="683"/>
      <c r="H12" s="698"/>
    </row>
    <row r="13" spans="1:11" ht="18" customHeight="1" x14ac:dyDescent="0.25">
      <c r="A13" s="697"/>
      <c r="B13" s="699" t="s">
        <v>666</v>
      </c>
      <c r="C13" s="701"/>
      <c r="D13" s="701"/>
      <c r="E13" s="683"/>
      <c r="F13" s="683"/>
      <c r="G13" s="683"/>
      <c r="H13" s="698"/>
    </row>
    <row r="14" spans="1:11" ht="18" customHeight="1" x14ac:dyDescent="0.25">
      <c r="A14" s="697"/>
      <c r="B14" s="699"/>
      <c r="C14" s="683"/>
      <c r="D14" s="683"/>
      <c r="E14" s="683"/>
      <c r="F14" s="683"/>
      <c r="G14" s="683"/>
      <c r="H14" s="698"/>
    </row>
    <row r="15" spans="1:11" ht="18" customHeight="1" x14ac:dyDescent="0.25">
      <c r="A15" s="697"/>
      <c r="B15" s="699" t="s">
        <v>667</v>
      </c>
      <c r="C15" s="701"/>
      <c r="D15" s="683"/>
      <c r="E15" s="683"/>
      <c r="F15" s="683"/>
      <c r="G15" s="683"/>
      <c r="H15" s="698"/>
    </row>
    <row r="16" spans="1:11" ht="18" customHeight="1" x14ac:dyDescent="0.25">
      <c r="A16" s="697"/>
      <c r="B16" s="699"/>
      <c r="C16" s="683"/>
      <c r="D16" s="683"/>
      <c r="E16" s="683"/>
      <c r="F16" s="683"/>
      <c r="G16" s="683"/>
      <c r="H16" s="698"/>
    </row>
    <row r="17" spans="1:8" ht="18" customHeight="1" x14ac:dyDescent="0.25">
      <c r="A17" s="697"/>
      <c r="B17" s="699" t="s">
        <v>674</v>
      </c>
      <c r="C17" s="701"/>
      <c r="D17" s="701"/>
      <c r="E17" s="701"/>
      <c r="F17" s="701"/>
      <c r="G17" s="701"/>
      <c r="H17" s="698"/>
    </row>
    <row r="18" spans="1:8" ht="18" customHeight="1" x14ac:dyDescent="0.25">
      <c r="A18" s="697"/>
      <c r="B18" s="699"/>
      <c r="C18" s="683"/>
      <c r="D18" s="683"/>
      <c r="E18" s="683"/>
      <c r="F18" s="683"/>
      <c r="G18" s="683"/>
      <c r="H18" s="698"/>
    </row>
    <row r="19" spans="1:8" ht="18" customHeight="1" x14ac:dyDescent="0.25">
      <c r="A19" s="697"/>
      <c r="B19" s="699" t="s">
        <v>670</v>
      </c>
      <c r="C19" s="701"/>
      <c r="D19" s="701"/>
      <c r="E19" s="701"/>
      <c r="F19" s="701"/>
      <c r="G19" s="701"/>
      <c r="H19" s="698"/>
    </row>
    <row r="20" spans="1:8" ht="18" customHeight="1" x14ac:dyDescent="0.25">
      <c r="A20" s="697"/>
      <c r="B20" s="699"/>
      <c r="C20" s="683"/>
      <c r="D20" s="683"/>
      <c r="E20" s="683"/>
      <c r="F20" s="683"/>
      <c r="G20" s="683"/>
      <c r="H20" s="698"/>
    </row>
    <row r="21" spans="1:8" ht="18" customHeight="1" x14ac:dyDescent="0.25">
      <c r="A21" s="697"/>
      <c r="B21" s="699" t="s">
        <v>671</v>
      </c>
      <c r="C21" s="701"/>
      <c r="D21" s="701"/>
      <c r="E21" s="701"/>
      <c r="F21" s="701"/>
      <c r="G21" s="701"/>
      <c r="H21" s="698"/>
    </row>
    <row r="22" spans="1:8" ht="18" customHeight="1" x14ac:dyDescent="0.25">
      <c r="A22" s="697"/>
      <c r="B22" s="683"/>
      <c r="C22" s="683"/>
      <c r="D22" s="683"/>
      <c r="E22" s="683"/>
      <c r="F22" s="683"/>
      <c r="G22" s="683"/>
      <c r="H22" s="698"/>
    </row>
    <row r="23" spans="1:8" ht="18" customHeight="1" x14ac:dyDescent="0.25">
      <c r="A23" s="703"/>
      <c r="B23" s="701"/>
      <c r="C23" s="701"/>
      <c r="D23" s="701"/>
      <c r="E23" s="701"/>
      <c r="F23" s="701"/>
      <c r="G23" s="701"/>
      <c r="H23" s="704"/>
    </row>
    <row r="24" spans="1:8" ht="18" customHeight="1" x14ac:dyDescent="0.25">
      <c r="A24" s="683"/>
      <c r="B24" s="683"/>
      <c r="C24" s="683"/>
      <c r="D24" s="683"/>
      <c r="E24" s="683"/>
      <c r="F24" s="683"/>
      <c r="G24" s="683"/>
      <c r="H24" s="683"/>
    </row>
    <row r="25" spans="1:8" ht="18" customHeight="1" x14ac:dyDescent="0.25">
      <c r="A25" s="705"/>
      <c r="B25" s="705"/>
      <c r="C25" s="705"/>
      <c r="D25" s="705"/>
      <c r="E25" s="705"/>
      <c r="F25" s="705"/>
      <c r="G25" s="705"/>
      <c r="H25" s="705"/>
    </row>
    <row r="26" spans="1:8" ht="18" customHeight="1" x14ac:dyDescent="0.25">
      <c r="A26" s="683"/>
      <c r="B26" s="683"/>
      <c r="C26" s="683"/>
      <c r="D26" s="683"/>
      <c r="E26" s="683"/>
      <c r="F26" s="683"/>
      <c r="G26" s="683"/>
      <c r="H26" s="683"/>
    </row>
    <row r="27" spans="1:8" ht="18" customHeight="1" x14ac:dyDescent="0.25">
      <c r="A27" s="683"/>
      <c r="B27" s="683"/>
      <c r="C27" s="683"/>
      <c r="D27" s="683"/>
      <c r="E27" s="683"/>
      <c r="F27" s="683"/>
      <c r="G27" s="683"/>
      <c r="H27" s="683"/>
    </row>
    <row r="28" spans="1:8" ht="18" customHeight="1" x14ac:dyDescent="0.25">
      <c r="A28" s="694"/>
      <c r="B28" s="695"/>
      <c r="C28" s="695"/>
      <c r="D28" s="695"/>
      <c r="E28" s="695"/>
      <c r="F28" s="695"/>
      <c r="G28" s="695"/>
      <c r="H28" s="696"/>
    </row>
    <row r="29" spans="1:8" ht="18" customHeight="1" x14ac:dyDescent="0.25">
      <c r="A29" s="697"/>
      <c r="B29" s="1169" t="s">
        <v>424</v>
      </c>
      <c r="C29" s="1169"/>
      <c r="D29" s="1169"/>
      <c r="E29" s="1169"/>
      <c r="F29" s="1169"/>
      <c r="G29" s="1169"/>
      <c r="H29" s="698"/>
    </row>
    <row r="30" spans="1:8" ht="27.75" customHeight="1" x14ac:dyDescent="0.25">
      <c r="A30" s="697"/>
      <c r="B30" s="1170" t="s">
        <v>673</v>
      </c>
      <c r="C30" s="1170"/>
      <c r="D30" s="1170"/>
      <c r="E30" s="1170"/>
      <c r="F30" s="1170"/>
      <c r="G30" s="1170"/>
      <c r="H30" s="698"/>
    </row>
    <row r="31" spans="1:8" ht="18" customHeight="1" x14ac:dyDescent="0.25">
      <c r="A31" s="697"/>
      <c r="B31" s="683"/>
      <c r="C31" s="683"/>
      <c r="D31" s="683"/>
      <c r="E31" s="683"/>
      <c r="F31" s="683"/>
      <c r="G31" s="683"/>
      <c r="H31" s="698"/>
    </row>
    <row r="32" spans="1:8" ht="18" customHeight="1" x14ac:dyDescent="0.25">
      <c r="A32" s="697"/>
      <c r="B32" s="699" t="s">
        <v>662</v>
      </c>
      <c r="C32" s="1171" t="s">
        <v>663</v>
      </c>
      <c r="D32" s="1171"/>
      <c r="E32" s="1171"/>
      <c r="F32" s="1171"/>
      <c r="G32" s="1171"/>
      <c r="H32" s="698"/>
    </row>
    <row r="33" spans="1:8" ht="18" customHeight="1" x14ac:dyDescent="0.25">
      <c r="A33" s="697"/>
      <c r="B33" s="699" t="s">
        <v>515</v>
      </c>
      <c r="C33" s="700"/>
      <c r="D33" s="701"/>
      <c r="E33" s="701"/>
      <c r="F33" s="699" t="s">
        <v>664</v>
      </c>
      <c r="G33" s="702"/>
      <c r="H33" s="698"/>
    </row>
    <row r="34" spans="1:8" ht="18" customHeight="1" x14ac:dyDescent="0.25">
      <c r="A34" s="697"/>
      <c r="B34" s="699" t="s">
        <v>665</v>
      </c>
      <c r="C34" s="1172"/>
      <c r="D34" s="1172"/>
      <c r="E34" s="1172"/>
      <c r="F34" s="1172"/>
      <c r="G34" s="1172"/>
      <c r="H34" s="698"/>
    </row>
    <row r="35" spans="1:8" ht="18" customHeight="1" x14ac:dyDescent="0.25">
      <c r="A35" s="697"/>
      <c r="B35" s="699"/>
      <c r="C35" s="683"/>
      <c r="D35" s="683"/>
      <c r="E35" s="683"/>
      <c r="F35" s="683"/>
      <c r="G35" s="683"/>
      <c r="H35" s="698"/>
    </row>
    <row r="36" spans="1:8" ht="18" customHeight="1" x14ac:dyDescent="0.25">
      <c r="A36" s="697"/>
      <c r="B36" s="699" t="s">
        <v>666</v>
      </c>
      <c r="C36" s="701"/>
      <c r="D36" s="701"/>
      <c r="E36" s="683"/>
      <c r="F36" s="683"/>
      <c r="G36" s="683"/>
      <c r="H36" s="698"/>
    </row>
    <row r="37" spans="1:8" ht="18" customHeight="1" x14ac:dyDescent="0.25">
      <c r="A37" s="697"/>
      <c r="B37" s="699"/>
      <c r="C37" s="683"/>
      <c r="D37" s="683"/>
      <c r="E37" s="683"/>
      <c r="F37" s="683"/>
      <c r="G37" s="683"/>
      <c r="H37" s="698"/>
    </row>
    <row r="38" spans="1:8" ht="18" customHeight="1" x14ac:dyDescent="0.25">
      <c r="A38" s="697"/>
      <c r="B38" s="699" t="s">
        <v>667</v>
      </c>
      <c r="C38" s="701"/>
      <c r="D38" s="683"/>
      <c r="E38" s="683"/>
      <c r="F38" s="683"/>
      <c r="G38" s="683"/>
      <c r="H38" s="698"/>
    </row>
    <row r="39" spans="1:8" ht="18" customHeight="1" x14ac:dyDescent="0.25">
      <c r="A39" s="697"/>
      <c r="B39" s="699"/>
      <c r="C39" s="683"/>
      <c r="D39" s="683"/>
      <c r="E39" s="683"/>
      <c r="F39" s="683"/>
      <c r="G39" s="683"/>
      <c r="H39" s="698"/>
    </row>
    <row r="40" spans="1:8" ht="18" customHeight="1" x14ac:dyDescent="0.25">
      <c r="A40" s="697"/>
      <c r="B40" s="699" t="s">
        <v>674</v>
      </c>
      <c r="C40" s="701"/>
      <c r="D40" s="701"/>
      <c r="E40" s="701"/>
      <c r="F40" s="701"/>
      <c r="G40" s="701"/>
      <c r="H40" s="698"/>
    </row>
    <row r="41" spans="1:8" ht="18" customHeight="1" x14ac:dyDescent="0.25">
      <c r="A41" s="697"/>
      <c r="B41" s="699"/>
      <c r="C41" s="683"/>
      <c r="D41" s="683"/>
      <c r="E41" s="683"/>
      <c r="F41" s="683"/>
      <c r="G41" s="683"/>
      <c r="H41" s="698"/>
    </row>
    <row r="42" spans="1:8" ht="18" customHeight="1" x14ac:dyDescent="0.25">
      <c r="A42" s="697"/>
      <c r="B42" s="699" t="s">
        <v>670</v>
      </c>
      <c r="C42" s="701"/>
      <c r="D42" s="701"/>
      <c r="E42" s="701"/>
      <c r="F42" s="701"/>
      <c r="G42" s="701"/>
      <c r="H42" s="698"/>
    </row>
    <row r="43" spans="1:8" ht="18" customHeight="1" x14ac:dyDescent="0.25">
      <c r="A43" s="697"/>
      <c r="B43" s="699"/>
      <c r="C43" s="683"/>
      <c r="D43" s="683"/>
      <c r="E43" s="683"/>
      <c r="F43" s="683"/>
      <c r="G43" s="683"/>
      <c r="H43" s="698"/>
    </row>
    <row r="44" spans="1:8" ht="18" customHeight="1" x14ac:dyDescent="0.25">
      <c r="A44" s="697"/>
      <c r="B44" s="699" t="s">
        <v>671</v>
      </c>
      <c r="C44" s="701"/>
      <c r="D44" s="701"/>
      <c r="E44" s="701"/>
      <c r="F44" s="701"/>
      <c r="G44" s="701"/>
      <c r="H44" s="698"/>
    </row>
    <row r="45" spans="1:8" ht="18" customHeight="1" x14ac:dyDescent="0.25">
      <c r="A45" s="697"/>
      <c r="B45" s="683"/>
      <c r="C45" s="683"/>
      <c r="D45" s="683"/>
      <c r="E45" s="683"/>
      <c r="F45" s="683"/>
      <c r="G45" s="683"/>
      <c r="H45" s="698"/>
    </row>
    <row r="46" spans="1:8" ht="18" customHeight="1" x14ac:dyDescent="0.25">
      <c r="A46" s="703"/>
      <c r="B46" s="701"/>
      <c r="C46" s="701"/>
      <c r="D46" s="701"/>
      <c r="E46" s="701"/>
      <c r="F46" s="701"/>
      <c r="G46" s="701"/>
      <c r="H46" s="704"/>
    </row>
    <row r="47" spans="1:8" ht="18" customHeight="1" x14ac:dyDescent="0.25">
      <c r="A47" s="683"/>
      <c r="B47" s="683"/>
      <c r="C47" s="683"/>
      <c r="D47" s="683"/>
      <c r="E47" s="683"/>
      <c r="F47" s="683"/>
      <c r="G47" s="683"/>
      <c r="H47" s="683"/>
    </row>
  </sheetData>
  <sheetProtection algorithmName="SHA-512" hashValue="ogb0roE95iin0ia9kPQMMcH5zhlgAEhoJxzwLuJUqF8wN6DCnC7pqEBiaAiOEj9jb4KnO3qN78syILeYC8Gf2A==" saltValue="Aq4c/3KUWBGM53FjyiwIYg==" spinCount="100000" sheet="1" formatCells="0" formatColumns="0" formatRows="0" insertRows="0" autoFilter="0" pivotTables="0"/>
  <mergeCells count="10">
    <mergeCell ref="C11:G11"/>
    <mergeCell ref="B29:G29"/>
    <mergeCell ref="B30:G30"/>
    <mergeCell ref="C32:G32"/>
    <mergeCell ref="C34:G34"/>
    <mergeCell ref="E1:H1"/>
    <mergeCell ref="E2:H2"/>
    <mergeCell ref="B6:G6"/>
    <mergeCell ref="B7:G7"/>
    <mergeCell ref="C9:G9"/>
  </mergeCells>
  <hyperlinks>
    <hyperlink ref="J1" location="Instructivo!D10" display="Instructivo" xr:uid="{00000000-0004-0000-1500-000000000000}"/>
  </hyperlinks>
  <printOptions horizontalCentered="1"/>
  <pageMargins left="0.70833333333333304" right="0.70833333333333304" top="0.55138888888888904" bottom="0.55138888888888904" header="0.511811023622047" footer="0.511811023622047"/>
  <pageSetup fitToHeight="0" orientation="portrait" horizontalDpi="300" verticalDpi="300"/>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K114"/>
  <sheetViews>
    <sheetView showGridLines="0" zoomScaleNormal="100" workbookViewId="0">
      <selection activeCell="F4" sqref="F4"/>
    </sheetView>
  </sheetViews>
  <sheetFormatPr baseColWidth="10" defaultColWidth="11.33203125" defaultRowHeight="18" customHeight="1" x14ac:dyDescent="0.25"/>
  <cols>
    <col min="1" max="1" width="31.77734375" style="707" customWidth="1"/>
    <col min="2" max="4" width="24.77734375" style="707" customWidth="1"/>
    <col min="5" max="5" width="18.33203125" style="707" customWidth="1"/>
    <col min="6" max="16384" width="11.33203125" style="707"/>
  </cols>
  <sheetData>
    <row r="1" spans="1:11" s="15" customFormat="1" ht="39" customHeight="1" x14ac:dyDescent="0.25">
      <c r="B1" s="1129" t="str">
        <f>Instructivo!F1</f>
        <v>Sistema de Gestión Integral (SGI)
Instructivo - Componente Financiero EP
Código: F-PGC-21. Versión: 05</v>
      </c>
      <c r="C1" s="1129"/>
      <c r="D1" s="1129"/>
      <c r="E1" s="1129"/>
      <c r="F1" s="132"/>
    </row>
    <row r="2" spans="1:11" s="15" customFormat="1" ht="17.25" customHeight="1" x14ac:dyDescent="0.25">
      <c r="B2" s="1173" t="s">
        <v>675</v>
      </c>
      <c r="C2" s="1173"/>
      <c r="D2" s="1173"/>
      <c r="E2" s="1173"/>
      <c r="I2" s="441"/>
      <c r="J2" s="420"/>
      <c r="K2" s="378"/>
    </row>
    <row r="3" spans="1:11" ht="4.5" customHeight="1" x14ac:dyDescent="0.25"/>
    <row r="4" spans="1:11" ht="4.5" customHeight="1" x14ac:dyDescent="0.25">
      <c r="A4" s="708"/>
      <c r="B4" s="708"/>
    </row>
    <row r="5" spans="1:11" ht="18" customHeight="1" x14ac:dyDescent="0.25">
      <c r="A5" s="709" t="s">
        <v>676</v>
      </c>
      <c r="B5" s="1174">
        <f>Honorarios!B4</f>
        <v>2025</v>
      </c>
      <c r="C5" s="1174"/>
      <c r="D5" s="1174"/>
      <c r="E5" s="132"/>
    </row>
    <row r="6" spans="1:11" ht="18" customHeight="1" x14ac:dyDescent="0.25">
      <c r="A6" s="709" t="s">
        <v>677</v>
      </c>
      <c r="B6" s="1174" t="s">
        <v>678</v>
      </c>
      <c r="C6" s="1174"/>
      <c r="D6" s="1174"/>
    </row>
    <row r="7" spans="1:11" ht="6" customHeight="1" x14ac:dyDescent="0.25"/>
    <row r="8" spans="1:11" ht="18" customHeight="1" x14ac:dyDescent="0.25">
      <c r="A8" s="1175" t="s">
        <v>679</v>
      </c>
      <c r="B8" s="1175"/>
      <c r="C8" s="1175"/>
      <c r="D8" s="1175"/>
    </row>
    <row r="9" spans="1:11" ht="54.75" customHeight="1" x14ac:dyDescent="0.25">
      <c r="A9" s="710" t="s">
        <v>680</v>
      </c>
      <c r="B9" s="710" t="s">
        <v>681</v>
      </c>
      <c r="C9" s="710" t="s">
        <v>682</v>
      </c>
      <c r="D9" s="710" t="s">
        <v>683</v>
      </c>
    </row>
    <row r="10" spans="1:11" ht="18" customHeight="1" x14ac:dyDescent="0.25">
      <c r="A10" s="711" t="s">
        <v>684</v>
      </c>
      <c r="B10" s="712">
        <v>57000</v>
      </c>
      <c r="C10" s="712">
        <v>124000</v>
      </c>
      <c r="D10" s="712">
        <v>190000</v>
      </c>
    </row>
    <row r="11" spans="1:11" ht="18" customHeight="1" x14ac:dyDescent="0.25">
      <c r="A11" s="711" t="s">
        <v>685</v>
      </c>
      <c r="B11" s="712">
        <v>112000</v>
      </c>
      <c r="C11" s="712">
        <v>179000</v>
      </c>
      <c r="D11" s="712">
        <v>245000</v>
      </c>
    </row>
    <row r="12" spans="1:11" ht="18" customHeight="1" x14ac:dyDescent="0.25">
      <c r="A12" s="711" t="s">
        <v>686</v>
      </c>
      <c r="B12" s="712">
        <v>97000</v>
      </c>
      <c r="C12" s="712">
        <v>164000</v>
      </c>
      <c r="D12" s="712">
        <v>230000</v>
      </c>
    </row>
    <row r="13" spans="1:11" ht="18" customHeight="1" x14ac:dyDescent="0.25">
      <c r="A13" s="711" t="s">
        <v>687</v>
      </c>
      <c r="B13" s="712">
        <v>57000</v>
      </c>
      <c r="C13" s="712">
        <v>124000</v>
      </c>
      <c r="D13" s="712">
        <v>190000</v>
      </c>
    </row>
    <row r="14" spans="1:11" ht="18" customHeight="1" x14ac:dyDescent="0.25">
      <c r="A14" s="711" t="s">
        <v>688</v>
      </c>
      <c r="B14" s="712">
        <v>102000</v>
      </c>
      <c r="C14" s="712">
        <v>169000</v>
      </c>
      <c r="D14" s="712">
        <v>235000</v>
      </c>
    </row>
    <row r="15" spans="1:11" ht="18" customHeight="1" x14ac:dyDescent="0.25">
      <c r="A15" s="711" t="s">
        <v>689</v>
      </c>
      <c r="B15" s="712">
        <v>137000</v>
      </c>
      <c r="C15" s="712">
        <v>204000</v>
      </c>
      <c r="D15" s="712">
        <v>270000</v>
      </c>
    </row>
    <row r="16" spans="1:11" ht="18" customHeight="1" x14ac:dyDescent="0.25">
      <c r="A16" s="711" t="s">
        <v>690</v>
      </c>
      <c r="B16" s="712">
        <v>87000</v>
      </c>
      <c r="C16" s="712">
        <v>154000</v>
      </c>
      <c r="D16" s="712">
        <v>220000</v>
      </c>
    </row>
    <row r="17" spans="1:4" ht="18" customHeight="1" x14ac:dyDescent="0.25">
      <c r="A17" s="711" t="s">
        <v>691</v>
      </c>
      <c r="B17" s="712">
        <v>67000</v>
      </c>
      <c r="C17" s="712">
        <v>134000</v>
      </c>
      <c r="D17" s="712">
        <v>200000</v>
      </c>
    </row>
    <row r="18" spans="1:4" ht="18" customHeight="1" x14ac:dyDescent="0.25">
      <c r="A18" s="711" t="s">
        <v>692</v>
      </c>
      <c r="B18" s="712">
        <v>17000</v>
      </c>
      <c r="C18" s="712">
        <v>50000</v>
      </c>
      <c r="D18" s="713" t="s">
        <v>693</v>
      </c>
    </row>
    <row r="19" spans="1:4" ht="18" customHeight="1" x14ac:dyDescent="0.25">
      <c r="A19" s="711" t="s">
        <v>694</v>
      </c>
      <c r="B19" s="712">
        <v>15000</v>
      </c>
      <c r="C19" s="712">
        <v>48000</v>
      </c>
      <c r="D19" s="713" t="s">
        <v>693</v>
      </c>
    </row>
    <row r="20" spans="1:4" ht="18" customHeight="1" x14ac:dyDescent="0.25">
      <c r="A20" s="711" t="s">
        <v>695</v>
      </c>
      <c r="B20" s="712">
        <v>67000</v>
      </c>
      <c r="C20" s="712">
        <v>134000</v>
      </c>
      <c r="D20" s="712">
        <v>200000</v>
      </c>
    </row>
    <row r="21" spans="1:4" ht="18" customHeight="1" x14ac:dyDescent="0.25">
      <c r="A21" s="711" t="s">
        <v>696</v>
      </c>
      <c r="B21" s="712">
        <v>107000</v>
      </c>
      <c r="C21" s="712">
        <v>174000</v>
      </c>
      <c r="D21" s="712">
        <v>240000</v>
      </c>
    </row>
    <row r="22" spans="1:4" ht="18" customHeight="1" x14ac:dyDescent="0.25">
      <c r="A22" s="711" t="s">
        <v>697</v>
      </c>
      <c r="B22" s="712">
        <v>112000</v>
      </c>
      <c r="C22" s="712">
        <v>179000</v>
      </c>
      <c r="D22" s="712">
        <v>245000</v>
      </c>
    </row>
    <row r="23" spans="1:4" ht="18" customHeight="1" x14ac:dyDescent="0.25">
      <c r="A23" s="711" t="s">
        <v>698</v>
      </c>
      <c r="B23" s="712">
        <v>112000</v>
      </c>
      <c r="C23" s="712">
        <v>179000</v>
      </c>
      <c r="D23" s="712">
        <v>245000</v>
      </c>
    </row>
    <row r="24" spans="1:4" ht="18" customHeight="1" x14ac:dyDescent="0.25">
      <c r="A24" s="711" t="s">
        <v>699</v>
      </c>
      <c r="B24" s="712">
        <v>92000</v>
      </c>
      <c r="C24" s="712">
        <v>159000</v>
      </c>
      <c r="D24" s="712">
        <v>225000</v>
      </c>
    </row>
    <row r="25" spans="1:4" ht="18" customHeight="1" x14ac:dyDescent="0.25">
      <c r="A25" s="711" t="s">
        <v>700</v>
      </c>
      <c r="B25" s="712">
        <v>233000</v>
      </c>
      <c r="C25" s="712">
        <v>300000</v>
      </c>
      <c r="D25" s="712">
        <v>366000</v>
      </c>
    </row>
    <row r="26" spans="1:4" ht="18" customHeight="1" x14ac:dyDescent="0.25">
      <c r="A26" s="711" t="s">
        <v>701</v>
      </c>
      <c r="B26" s="712">
        <v>112000</v>
      </c>
      <c r="C26" s="712">
        <v>179000</v>
      </c>
      <c r="D26" s="712">
        <v>245000</v>
      </c>
    </row>
    <row r="27" spans="1:4" ht="18" customHeight="1" x14ac:dyDescent="0.25">
      <c r="A27" s="711" t="s">
        <v>702</v>
      </c>
      <c r="B27" s="712">
        <v>17000</v>
      </c>
      <c r="C27" s="712">
        <v>50000</v>
      </c>
      <c r="D27" s="712">
        <v>0</v>
      </c>
    </row>
    <row r="28" spans="1:4" ht="18" customHeight="1" x14ac:dyDescent="0.25">
      <c r="A28" s="711" t="s">
        <v>703</v>
      </c>
      <c r="B28" s="712">
        <v>107000</v>
      </c>
      <c r="C28" s="712">
        <v>174000</v>
      </c>
      <c r="D28" s="712">
        <v>240000</v>
      </c>
    </row>
    <row r="29" spans="1:4" ht="18" customHeight="1" x14ac:dyDescent="0.25">
      <c r="A29" s="711" t="s">
        <v>704</v>
      </c>
      <c r="B29" s="712">
        <v>107000</v>
      </c>
      <c r="C29" s="712">
        <v>174000</v>
      </c>
      <c r="D29" s="712">
        <v>240000</v>
      </c>
    </row>
    <row r="30" spans="1:4" ht="18" customHeight="1" x14ac:dyDescent="0.25">
      <c r="A30" s="711" t="s">
        <v>705</v>
      </c>
      <c r="B30" s="712">
        <v>122000</v>
      </c>
      <c r="C30" s="712">
        <v>189000</v>
      </c>
      <c r="D30" s="712">
        <v>255000</v>
      </c>
    </row>
    <row r="31" spans="1:4" ht="18" customHeight="1" x14ac:dyDescent="0.25">
      <c r="A31" s="711" t="s">
        <v>706</v>
      </c>
      <c r="B31" s="712">
        <v>92000</v>
      </c>
      <c r="C31" s="712">
        <v>159000</v>
      </c>
      <c r="D31" s="712">
        <v>225000</v>
      </c>
    </row>
    <row r="32" spans="1:4" ht="18" customHeight="1" x14ac:dyDescent="0.25">
      <c r="A32" s="711" t="s">
        <v>707</v>
      </c>
      <c r="B32" s="712">
        <v>252000</v>
      </c>
      <c r="C32" s="712">
        <v>319000</v>
      </c>
      <c r="D32" s="712">
        <v>385000</v>
      </c>
    </row>
    <row r="33" spans="1:4" ht="18" customHeight="1" x14ac:dyDescent="0.25">
      <c r="A33" s="711" t="s">
        <v>708</v>
      </c>
      <c r="B33" s="712">
        <v>72000</v>
      </c>
      <c r="C33" s="712">
        <v>139000</v>
      </c>
      <c r="D33" s="712">
        <v>205000</v>
      </c>
    </row>
    <row r="34" spans="1:4" ht="18" customHeight="1" x14ac:dyDescent="0.25">
      <c r="A34" s="711" t="s">
        <v>709</v>
      </c>
      <c r="B34" s="712">
        <v>112000</v>
      </c>
      <c r="C34" s="712">
        <v>179000</v>
      </c>
      <c r="D34" s="712">
        <v>245000</v>
      </c>
    </row>
    <row r="35" spans="1:4" ht="18" customHeight="1" x14ac:dyDescent="0.25">
      <c r="A35" s="711" t="s">
        <v>710</v>
      </c>
      <c r="B35" s="712">
        <v>92000</v>
      </c>
      <c r="C35" s="712">
        <v>159000</v>
      </c>
      <c r="D35" s="712">
        <v>225000</v>
      </c>
    </row>
    <row r="36" spans="1:4" ht="18" customHeight="1" x14ac:dyDescent="0.25">
      <c r="A36" s="711" t="s">
        <v>711</v>
      </c>
      <c r="B36" s="712">
        <v>17000</v>
      </c>
      <c r="C36" s="712">
        <v>50000</v>
      </c>
      <c r="D36" s="713" t="s">
        <v>693</v>
      </c>
    </row>
    <row r="37" spans="1:4" ht="18" customHeight="1" x14ac:dyDescent="0.25">
      <c r="A37" s="711" t="s">
        <v>712</v>
      </c>
      <c r="B37" s="712">
        <v>52000</v>
      </c>
      <c r="C37" s="712">
        <v>119000</v>
      </c>
      <c r="D37" s="712">
        <v>185000</v>
      </c>
    </row>
    <row r="38" spans="1:4" ht="18" customHeight="1" x14ac:dyDescent="0.25">
      <c r="A38" s="711" t="s">
        <v>713</v>
      </c>
      <c r="B38" s="712">
        <v>92000</v>
      </c>
      <c r="C38" s="712">
        <v>159000</v>
      </c>
      <c r="D38" s="712">
        <v>225000</v>
      </c>
    </row>
    <row r="39" spans="1:4" ht="18" customHeight="1" x14ac:dyDescent="0.25">
      <c r="A39" s="711" t="s">
        <v>714</v>
      </c>
      <c r="B39" s="712">
        <v>307000</v>
      </c>
      <c r="C39" s="712">
        <v>374000</v>
      </c>
      <c r="D39" s="712">
        <v>440000</v>
      </c>
    </row>
    <row r="40" spans="1:4" ht="18" customHeight="1" x14ac:dyDescent="0.25">
      <c r="A40" s="711" t="s">
        <v>715</v>
      </c>
      <c r="B40" s="712">
        <v>72000</v>
      </c>
      <c r="C40" s="712">
        <v>139000</v>
      </c>
      <c r="D40" s="712">
        <v>205000</v>
      </c>
    </row>
    <row r="41" spans="1:4" ht="18" customHeight="1" x14ac:dyDescent="0.25">
      <c r="A41" s="711" t="s">
        <v>716</v>
      </c>
      <c r="B41" s="712">
        <v>15000</v>
      </c>
      <c r="C41" s="712">
        <v>48000</v>
      </c>
      <c r="D41" s="712">
        <v>0</v>
      </c>
    </row>
    <row r="42" spans="1:4" ht="18" customHeight="1" x14ac:dyDescent="0.25">
      <c r="A42" s="711" t="s">
        <v>717</v>
      </c>
      <c r="B42" s="712">
        <v>72000</v>
      </c>
      <c r="C42" s="712">
        <v>139000</v>
      </c>
      <c r="D42" s="712">
        <v>205000</v>
      </c>
    </row>
    <row r="43" spans="1:4" ht="18" customHeight="1" x14ac:dyDescent="0.25">
      <c r="A43" s="711" t="s">
        <v>718</v>
      </c>
      <c r="B43" s="712">
        <v>17000</v>
      </c>
      <c r="C43" s="712">
        <v>50000</v>
      </c>
      <c r="D43" s="713" t="s">
        <v>693</v>
      </c>
    </row>
    <row r="44" spans="1:4" ht="18" customHeight="1" x14ac:dyDescent="0.25">
      <c r="A44" s="711" t="s">
        <v>719</v>
      </c>
      <c r="B44" s="712">
        <v>87000</v>
      </c>
      <c r="C44" s="712">
        <v>154000</v>
      </c>
      <c r="D44" s="712">
        <v>220000</v>
      </c>
    </row>
    <row r="45" spans="1:4" ht="18" customHeight="1" x14ac:dyDescent="0.25">
      <c r="A45" s="711" t="s">
        <v>720</v>
      </c>
      <c r="B45" s="712">
        <v>97000</v>
      </c>
      <c r="C45" s="712">
        <v>164000</v>
      </c>
      <c r="D45" s="712">
        <v>230000</v>
      </c>
    </row>
    <row r="46" spans="1:4" ht="18" customHeight="1" x14ac:dyDescent="0.25">
      <c r="A46" s="711" t="s">
        <v>721</v>
      </c>
      <c r="B46" s="712">
        <v>87000</v>
      </c>
      <c r="C46" s="712">
        <v>154000</v>
      </c>
      <c r="D46" s="712">
        <v>220000</v>
      </c>
    </row>
    <row r="47" spans="1:4" ht="18" customHeight="1" x14ac:dyDescent="0.25">
      <c r="A47" s="711" t="s">
        <v>722</v>
      </c>
      <c r="B47" s="712">
        <v>92000</v>
      </c>
      <c r="C47" s="712">
        <v>159000</v>
      </c>
      <c r="D47" s="712">
        <v>225000</v>
      </c>
    </row>
    <row r="48" spans="1:4" ht="18" customHeight="1" x14ac:dyDescent="0.25">
      <c r="A48" s="711" t="s">
        <v>723</v>
      </c>
      <c r="B48" s="712">
        <v>15000</v>
      </c>
      <c r="C48" s="712">
        <v>48000</v>
      </c>
      <c r="D48" s="712">
        <v>0</v>
      </c>
    </row>
    <row r="49" spans="1:4" ht="18" customHeight="1" x14ac:dyDescent="0.25">
      <c r="A49" s="711" t="s">
        <v>724</v>
      </c>
      <c r="B49" s="712">
        <v>137000</v>
      </c>
      <c r="C49" s="712">
        <v>204000</v>
      </c>
      <c r="D49" s="712">
        <v>270000</v>
      </c>
    </row>
    <row r="50" spans="1:4" ht="18" customHeight="1" x14ac:dyDescent="0.25">
      <c r="A50" s="711" t="s">
        <v>725</v>
      </c>
      <c r="B50" s="712">
        <v>122000</v>
      </c>
      <c r="C50" s="712">
        <v>189000</v>
      </c>
      <c r="D50" s="712">
        <v>255000</v>
      </c>
    </row>
    <row r="51" spans="1:4" ht="18" customHeight="1" x14ac:dyDescent="0.25">
      <c r="A51" s="711" t="s">
        <v>726</v>
      </c>
      <c r="B51" s="712">
        <v>119000</v>
      </c>
      <c r="C51" s="712">
        <v>186000</v>
      </c>
      <c r="D51" s="712">
        <v>252000</v>
      </c>
    </row>
    <row r="52" spans="1:4" ht="18" customHeight="1" x14ac:dyDescent="0.25">
      <c r="A52" s="711" t="s">
        <v>727</v>
      </c>
      <c r="B52" s="712">
        <v>15000</v>
      </c>
      <c r="C52" s="712">
        <v>48000</v>
      </c>
      <c r="D52" s="712">
        <v>0</v>
      </c>
    </row>
    <row r="53" spans="1:4" ht="18" customHeight="1" x14ac:dyDescent="0.25">
      <c r="A53" s="711" t="s">
        <v>728</v>
      </c>
      <c r="B53" s="712">
        <v>82000</v>
      </c>
      <c r="C53" s="712">
        <v>149000</v>
      </c>
      <c r="D53" s="712">
        <v>215000</v>
      </c>
    </row>
    <row r="54" spans="1:4" ht="18" customHeight="1" x14ac:dyDescent="0.25">
      <c r="A54" s="711" t="s">
        <v>729</v>
      </c>
      <c r="B54" s="712">
        <v>99000</v>
      </c>
      <c r="C54" s="712">
        <v>166000</v>
      </c>
      <c r="D54" s="712">
        <v>232000</v>
      </c>
    </row>
    <row r="55" spans="1:4" ht="18" customHeight="1" x14ac:dyDescent="0.25">
      <c r="A55" s="711" t="s">
        <v>730</v>
      </c>
      <c r="B55" s="712">
        <v>102000</v>
      </c>
      <c r="C55" s="712">
        <v>169000</v>
      </c>
      <c r="D55" s="712">
        <v>235000</v>
      </c>
    </row>
    <row r="56" spans="1:4" ht="18" customHeight="1" x14ac:dyDescent="0.25">
      <c r="A56" s="711" t="s">
        <v>731</v>
      </c>
      <c r="B56" s="712">
        <v>15000</v>
      </c>
      <c r="C56" s="712">
        <v>48000</v>
      </c>
      <c r="D56" s="713" t="s">
        <v>693</v>
      </c>
    </row>
    <row r="57" spans="1:4" ht="18" customHeight="1" x14ac:dyDescent="0.25">
      <c r="A57" s="711" t="s">
        <v>732</v>
      </c>
      <c r="B57" s="712">
        <v>67000</v>
      </c>
      <c r="C57" s="712">
        <v>134000</v>
      </c>
      <c r="D57" s="712">
        <v>200000</v>
      </c>
    </row>
    <row r="58" spans="1:4" ht="18" customHeight="1" x14ac:dyDescent="0.25">
      <c r="A58" s="711" t="s">
        <v>733</v>
      </c>
      <c r="B58" s="712">
        <v>307000</v>
      </c>
      <c r="C58" s="712">
        <v>374000</v>
      </c>
      <c r="D58" s="712">
        <v>440000</v>
      </c>
    </row>
    <row r="59" spans="1:4" ht="18" customHeight="1" x14ac:dyDescent="0.25">
      <c r="A59" s="711" t="s">
        <v>734</v>
      </c>
      <c r="B59" s="712">
        <v>87000</v>
      </c>
      <c r="C59" s="712">
        <v>154000</v>
      </c>
      <c r="D59" s="712">
        <v>220000</v>
      </c>
    </row>
    <row r="60" spans="1:4" ht="18" customHeight="1" x14ac:dyDescent="0.25">
      <c r="A60" s="711" t="s">
        <v>735</v>
      </c>
      <c r="B60" s="712">
        <v>117000</v>
      </c>
      <c r="C60" s="712">
        <v>184000</v>
      </c>
      <c r="D60" s="712">
        <v>250000</v>
      </c>
    </row>
    <row r="61" spans="1:4" ht="18" customHeight="1" x14ac:dyDescent="0.25">
      <c r="A61" s="711" t="s">
        <v>736</v>
      </c>
      <c r="B61" s="712">
        <v>112000</v>
      </c>
      <c r="C61" s="712">
        <v>179000</v>
      </c>
      <c r="D61" s="712">
        <v>245000</v>
      </c>
    </row>
    <row r="62" spans="1:4" ht="18" customHeight="1" x14ac:dyDescent="0.25">
      <c r="A62" s="711" t="s">
        <v>737</v>
      </c>
      <c r="B62" s="712">
        <v>127000</v>
      </c>
      <c r="C62" s="712">
        <v>194000</v>
      </c>
      <c r="D62" s="712">
        <v>260000</v>
      </c>
    </row>
    <row r="63" spans="1:4" ht="18" customHeight="1" x14ac:dyDescent="0.25">
      <c r="A63" s="711" t="s">
        <v>738</v>
      </c>
      <c r="B63" s="712">
        <v>137000</v>
      </c>
      <c r="C63" s="712">
        <v>204000</v>
      </c>
      <c r="D63" s="712">
        <v>270000</v>
      </c>
    </row>
    <row r="64" spans="1:4" ht="18" customHeight="1" x14ac:dyDescent="0.25">
      <c r="A64" s="711" t="s">
        <v>739</v>
      </c>
      <c r="B64" s="712">
        <v>107000</v>
      </c>
      <c r="C64" s="712">
        <v>174000</v>
      </c>
      <c r="D64" s="712">
        <v>240000</v>
      </c>
    </row>
    <row r="65" spans="1:4" ht="18" customHeight="1" x14ac:dyDescent="0.25">
      <c r="A65" s="711" t="s">
        <v>740</v>
      </c>
      <c r="B65" s="712">
        <v>15000</v>
      </c>
      <c r="C65" s="712">
        <v>48000</v>
      </c>
      <c r="D65" s="712">
        <v>0</v>
      </c>
    </row>
    <row r="66" spans="1:4" ht="18" customHeight="1" x14ac:dyDescent="0.25">
      <c r="A66" s="711" t="s">
        <v>741</v>
      </c>
      <c r="B66" s="712">
        <v>92000</v>
      </c>
      <c r="C66" s="712">
        <v>159000</v>
      </c>
      <c r="D66" s="712">
        <v>225000</v>
      </c>
    </row>
    <row r="67" spans="1:4" ht="18" customHeight="1" x14ac:dyDescent="0.25">
      <c r="A67" s="711" t="s">
        <v>742</v>
      </c>
      <c r="B67" s="712">
        <v>102000</v>
      </c>
      <c r="C67" s="712">
        <v>169000</v>
      </c>
      <c r="D67" s="712">
        <v>235000</v>
      </c>
    </row>
    <row r="68" spans="1:4" ht="18" customHeight="1" x14ac:dyDescent="0.25">
      <c r="A68" s="711" t="s">
        <v>743</v>
      </c>
      <c r="B68" s="712">
        <v>67000</v>
      </c>
      <c r="C68" s="712">
        <v>134000</v>
      </c>
      <c r="D68" s="712">
        <v>200000</v>
      </c>
    </row>
    <row r="69" spans="1:4" ht="18" customHeight="1" x14ac:dyDescent="0.25">
      <c r="A69" s="711" t="s">
        <v>744</v>
      </c>
      <c r="B69" s="712">
        <v>102000</v>
      </c>
      <c r="C69" s="712">
        <v>169000</v>
      </c>
      <c r="D69" s="712">
        <v>235000</v>
      </c>
    </row>
    <row r="70" spans="1:4" ht="18" customHeight="1" x14ac:dyDescent="0.25">
      <c r="A70" s="711" t="s">
        <v>745</v>
      </c>
      <c r="B70" s="712">
        <v>57000</v>
      </c>
      <c r="C70" s="712">
        <v>124000</v>
      </c>
      <c r="D70" s="712">
        <v>190000</v>
      </c>
    </row>
    <row r="71" spans="1:4" ht="18" customHeight="1" x14ac:dyDescent="0.25">
      <c r="A71" s="711" t="s">
        <v>746</v>
      </c>
      <c r="B71" s="712">
        <v>67000</v>
      </c>
      <c r="C71" s="712">
        <v>134000</v>
      </c>
      <c r="D71" s="712">
        <v>200000</v>
      </c>
    </row>
    <row r="72" spans="1:4" ht="18" customHeight="1" x14ac:dyDescent="0.25">
      <c r="A72" s="711" t="s">
        <v>747</v>
      </c>
      <c r="B72" s="712">
        <v>72000</v>
      </c>
      <c r="C72" s="712">
        <v>139000</v>
      </c>
      <c r="D72" s="712">
        <v>205000</v>
      </c>
    </row>
    <row r="73" spans="1:4" ht="18" customHeight="1" x14ac:dyDescent="0.25">
      <c r="A73" s="711" t="s">
        <v>748</v>
      </c>
      <c r="B73" s="712">
        <v>72000</v>
      </c>
      <c r="C73" s="712">
        <v>139000</v>
      </c>
      <c r="D73" s="712">
        <v>205000</v>
      </c>
    </row>
    <row r="74" spans="1:4" ht="18" customHeight="1" x14ac:dyDescent="0.25">
      <c r="A74" s="711" t="s">
        <v>749</v>
      </c>
      <c r="B74" s="712">
        <v>147000</v>
      </c>
      <c r="C74" s="712">
        <v>214000</v>
      </c>
      <c r="D74" s="712">
        <v>280000</v>
      </c>
    </row>
    <row r="75" spans="1:4" ht="18" customHeight="1" x14ac:dyDescent="0.25">
      <c r="A75" s="711" t="s">
        <v>750</v>
      </c>
      <c r="B75" s="712">
        <v>77000</v>
      </c>
      <c r="C75" s="712">
        <v>144000</v>
      </c>
      <c r="D75" s="712">
        <v>210000</v>
      </c>
    </row>
    <row r="76" spans="1:4" ht="18" customHeight="1" x14ac:dyDescent="0.25">
      <c r="A76" s="711" t="s">
        <v>751</v>
      </c>
      <c r="B76" s="712">
        <v>92000</v>
      </c>
      <c r="C76" s="712">
        <v>159000</v>
      </c>
      <c r="D76" s="712">
        <v>225000</v>
      </c>
    </row>
    <row r="77" spans="1:4" ht="18" customHeight="1" x14ac:dyDescent="0.25">
      <c r="A77" s="711" t="s">
        <v>752</v>
      </c>
      <c r="B77" s="712">
        <v>220000</v>
      </c>
      <c r="C77" s="712">
        <v>287000</v>
      </c>
      <c r="D77" s="712">
        <v>353000</v>
      </c>
    </row>
    <row r="78" spans="1:4" ht="18" customHeight="1" x14ac:dyDescent="0.25">
      <c r="A78" s="711" t="s">
        <v>753</v>
      </c>
      <c r="B78" s="712">
        <v>112000</v>
      </c>
      <c r="C78" s="712">
        <v>179000</v>
      </c>
      <c r="D78" s="712">
        <v>245000</v>
      </c>
    </row>
    <row r="79" spans="1:4" ht="18" customHeight="1" x14ac:dyDescent="0.25">
      <c r="A79" s="711" t="s">
        <v>754</v>
      </c>
      <c r="B79" s="712">
        <v>72000</v>
      </c>
      <c r="C79" s="712">
        <v>139000</v>
      </c>
      <c r="D79" s="712">
        <v>205000</v>
      </c>
    </row>
    <row r="80" spans="1:4" ht="18" customHeight="1" x14ac:dyDescent="0.25">
      <c r="A80" s="711" t="s">
        <v>755</v>
      </c>
      <c r="B80" s="712">
        <v>122000</v>
      </c>
      <c r="C80" s="712">
        <v>189000</v>
      </c>
      <c r="D80" s="712">
        <v>255000</v>
      </c>
    </row>
    <row r="81" spans="1:4" ht="18" customHeight="1" x14ac:dyDescent="0.25">
      <c r="A81" s="711" t="s">
        <v>756</v>
      </c>
      <c r="B81" s="712">
        <v>207000</v>
      </c>
      <c r="C81" s="712">
        <v>274000</v>
      </c>
      <c r="D81" s="712">
        <v>340000</v>
      </c>
    </row>
    <row r="82" spans="1:4" ht="18" customHeight="1" x14ac:dyDescent="0.25">
      <c r="A82" s="711" t="s">
        <v>757</v>
      </c>
      <c r="B82" s="712">
        <v>107000</v>
      </c>
      <c r="C82" s="712">
        <v>174000</v>
      </c>
      <c r="D82" s="712">
        <v>240000</v>
      </c>
    </row>
    <row r="83" spans="1:4" ht="18" customHeight="1" x14ac:dyDescent="0.25">
      <c r="A83" s="711" t="s">
        <v>758</v>
      </c>
      <c r="B83" s="712">
        <v>117000</v>
      </c>
      <c r="C83" s="712">
        <v>184000</v>
      </c>
      <c r="D83" s="712">
        <v>250000</v>
      </c>
    </row>
    <row r="84" spans="1:4" ht="18" customHeight="1" x14ac:dyDescent="0.25">
      <c r="A84" s="711" t="s">
        <v>759</v>
      </c>
      <c r="B84" s="712">
        <v>72000</v>
      </c>
      <c r="C84" s="712">
        <v>139000</v>
      </c>
      <c r="D84" s="712">
        <v>205000</v>
      </c>
    </row>
    <row r="85" spans="1:4" ht="18" customHeight="1" x14ac:dyDescent="0.25">
      <c r="A85" s="711" t="s">
        <v>760</v>
      </c>
      <c r="B85" s="712">
        <v>107000</v>
      </c>
      <c r="C85" s="712">
        <v>174000</v>
      </c>
      <c r="D85" s="712">
        <v>240000</v>
      </c>
    </row>
    <row r="86" spans="1:4" ht="18" customHeight="1" x14ac:dyDescent="0.25">
      <c r="A86" s="711" t="s">
        <v>761</v>
      </c>
      <c r="B86" s="712">
        <v>92000</v>
      </c>
      <c r="C86" s="712">
        <v>159000</v>
      </c>
      <c r="D86" s="712">
        <v>225000</v>
      </c>
    </row>
    <row r="87" spans="1:4" ht="18" customHeight="1" x14ac:dyDescent="0.25">
      <c r="A87" s="711" t="s">
        <v>762</v>
      </c>
      <c r="B87" s="712">
        <v>87000</v>
      </c>
      <c r="C87" s="712">
        <v>154000</v>
      </c>
      <c r="D87" s="712">
        <v>220000</v>
      </c>
    </row>
    <row r="88" spans="1:4" ht="18" customHeight="1" x14ac:dyDescent="0.25">
      <c r="A88" s="711" t="s">
        <v>763</v>
      </c>
      <c r="B88" s="712">
        <v>306000</v>
      </c>
      <c r="C88" s="712">
        <v>373000</v>
      </c>
      <c r="D88" s="712">
        <v>439000</v>
      </c>
    </row>
    <row r="89" spans="1:4" ht="18" customHeight="1" x14ac:dyDescent="0.25">
      <c r="A89" s="711" t="s">
        <v>764</v>
      </c>
      <c r="B89" s="712">
        <v>307000</v>
      </c>
      <c r="C89" s="712">
        <v>374000</v>
      </c>
      <c r="D89" s="712">
        <v>440000</v>
      </c>
    </row>
    <row r="90" spans="1:4" ht="18" customHeight="1" x14ac:dyDescent="0.25">
      <c r="A90" s="1176" t="s">
        <v>765</v>
      </c>
      <c r="B90" s="1176"/>
      <c r="C90" s="1176"/>
      <c r="D90" s="1176"/>
    </row>
    <row r="91" spans="1:4" ht="42" customHeight="1" x14ac:dyDescent="0.25">
      <c r="A91" s="1177" t="s">
        <v>766</v>
      </c>
      <c r="B91" s="1177"/>
      <c r="C91" s="1177"/>
      <c r="D91" s="1177"/>
    </row>
    <row r="92" spans="1:4" ht="5.25" customHeight="1" x14ac:dyDescent="0.25">
      <c r="A92" s="714"/>
      <c r="B92" s="714"/>
      <c r="C92" s="715"/>
      <c r="D92" s="714"/>
    </row>
    <row r="93" spans="1:4" ht="19.5" customHeight="1" x14ac:dyDescent="0.25">
      <c r="A93" s="1175" t="s">
        <v>767</v>
      </c>
      <c r="B93" s="1175"/>
      <c r="C93" s="1175"/>
      <c r="D93" s="1175"/>
    </row>
    <row r="94" spans="1:4" ht="30.6" x14ac:dyDescent="0.25">
      <c r="A94" s="710" t="s">
        <v>768</v>
      </c>
      <c r="B94" s="710" t="s">
        <v>769</v>
      </c>
      <c r="C94" s="710" t="s">
        <v>682</v>
      </c>
      <c r="D94" s="710" t="s">
        <v>770</v>
      </c>
    </row>
    <row r="95" spans="1:4" ht="56.25" customHeight="1" x14ac:dyDescent="0.25">
      <c r="A95" s="716" t="s">
        <v>771</v>
      </c>
      <c r="B95" s="717">
        <v>16000</v>
      </c>
      <c r="C95" s="717">
        <v>49000</v>
      </c>
      <c r="D95" s="718">
        <v>0</v>
      </c>
    </row>
    <row r="96" spans="1:4" ht="18" customHeight="1" x14ac:dyDescent="0.25">
      <c r="A96" s="716" t="s">
        <v>772</v>
      </c>
      <c r="B96" s="717">
        <v>42000</v>
      </c>
      <c r="C96" s="717">
        <v>92000</v>
      </c>
      <c r="D96" s="718">
        <v>109000</v>
      </c>
    </row>
    <row r="97" spans="1:4" ht="18" customHeight="1" x14ac:dyDescent="0.25">
      <c r="A97" s="716" t="s">
        <v>773</v>
      </c>
      <c r="B97" s="717">
        <v>94000</v>
      </c>
      <c r="C97" s="717">
        <v>161000</v>
      </c>
      <c r="D97" s="718">
        <v>227000</v>
      </c>
    </row>
    <row r="98" spans="1:4" ht="18" customHeight="1" x14ac:dyDescent="0.25">
      <c r="A98" s="716" t="s">
        <v>774</v>
      </c>
      <c r="B98" s="717">
        <v>103000</v>
      </c>
      <c r="C98" s="717">
        <v>170000</v>
      </c>
      <c r="D98" s="718">
        <v>236000</v>
      </c>
    </row>
    <row r="99" spans="1:4" ht="18" customHeight="1" x14ac:dyDescent="0.25">
      <c r="A99" s="716" t="s">
        <v>775</v>
      </c>
      <c r="B99" s="717">
        <v>89000</v>
      </c>
      <c r="C99" s="717">
        <v>156000</v>
      </c>
      <c r="D99" s="718">
        <v>222000</v>
      </c>
    </row>
    <row r="100" spans="1:4" ht="18" customHeight="1" x14ac:dyDescent="0.25">
      <c r="A100" s="716" t="s">
        <v>776</v>
      </c>
      <c r="B100" s="717">
        <v>262000</v>
      </c>
      <c r="C100" s="717">
        <v>329000</v>
      </c>
      <c r="D100" s="718">
        <v>395000</v>
      </c>
    </row>
    <row r="101" spans="1:4" ht="18" customHeight="1" x14ac:dyDescent="0.25">
      <c r="A101" s="716" t="s">
        <v>777</v>
      </c>
      <c r="B101" s="717">
        <v>95000</v>
      </c>
      <c r="C101" s="717">
        <v>162000</v>
      </c>
      <c r="D101" s="718">
        <v>228000</v>
      </c>
    </row>
    <row r="102" spans="1:4" ht="18" customHeight="1" x14ac:dyDescent="0.25">
      <c r="A102" s="716" t="s">
        <v>778</v>
      </c>
      <c r="B102" s="717">
        <v>128000</v>
      </c>
      <c r="C102" s="717">
        <v>195000</v>
      </c>
      <c r="D102" s="718">
        <v>261000</v>
      </c>
    </row>
    <row r="103" spans="1:4" ht="18" customHeight="1" x14ac:dyDescent="0.25">
      <c r="A103" s="1176" t="s">
        <v>765</v>
      </c>
      <c r="B103" s="1176"/>
      <c r="C103" s="1176"/>
      <c r="D103" s="1176"/>
    </row>
    <row r="104" spans="1:4" ht="38.25" customHeight="1" x14ac:dyDescent="0.25">
      <c r="A104" s="1177" t="s">
        <v>779</v>
      </c>
      <c r="B104" s="1177"/>
      <c r="C104" s="1177"/>
      <c r="D104" s="1177"/>
    </row>
    <row r="105" spans="1:4" ht="27.75" customHeight="1" x14ac:dyDescent="0.25">
      <c r="A105" s="1177" t="s">
        <v>780</v>
      </c>
      <c r="B105" s="1177"/>
      <c r="C105" s="1177"/>
      <c r="D105" s="1177"/>
    </row>
    <row r="106" spans="1:4" ht="27" customHeight="1" x14ac:dyDescent="0.25">
      <c r="A106" s="1178" t="s">
        <v>781</v>
      </c>
      <c r="B106" s="1178"/>
      <c r="C106" s="1178"/>
      <c r="D106" s="1178"/>
    </row>
    <row r="107" spans="1:4" ht="3" customHeight="1" x14ac:dyDescent="0.25">
      <c r="A107" s="719"/>
      <c r="B107" s="719"/>
      <c r="C107" s="720"/>
      <c r="D107" s="720"/>
    </row>
    <row r="108" spans="1:4" s="722" customFormat="1" ht="18" customHeight="1" x14ac:dyDescent="0.25">
      <c r="A108" s="1175" t="s">
        <v>782</v>
      </c>
      <c r="B108" s="1175"/>
      <c r="C108" s="1175"/>
      <c r="D108" s="721"/>
    </row>
    <row r="109" spans="1:4" s="722" customFormat="1" ht="52.5" customHeight="1" x14ac:dyDescent="0.25">
      <c r="A109" s="710" t="s">
        <v>681</v>
      </c>
      <c r="B109" s="710" t="s">
        <v>682</v>
      </c>
      <c r="C109" s="710" t="s">
        <v>770</v>
      </c>
      <c r="D109" s="719"/>
    </row>
    <row r="110" spans="1:4" ht="18" customHeight="1" x14ac:dyDescent="0.25">
      <c r="A110" s="723">
        <v>98000</v>
      </c>
      <c r="B110" s="723">
        <v>158000</v>
      </c>
      <c r="C110" s="724">
        <v>21800</v>
      </c>
      <c r="D110" s="720"/>
    </row>
    <row r="111" spans="1:4" ht="21" customHeight="1" x14ac:dyDescent="0.25">
      <c r="A111" s="1179" t="s">
        <v>783</v>
      </c>
      <c r="B111" s="1179"/>
      <c r="C111" s="1179"/>
      <c r="D111" s="725"/>
    </row>
    <row r="112" spans="1:4" ht="54.75" customHeight="1" x14ac:dyDescent="0.25">
      <c r="A112" s="1180" t="s">
        <v>784</v>
      </c>
      <c r="B112" s="1180"/>
      <c r="C112" s="1180"/>
      <c r="D112" s="726"/>
    </row>
    <row r="113" spans="1:4" ht="29.25" customHeight="1" x14ac:dyDescent="0.25">
      <c r="A113" s="1180" t="s">
        <v>781</v>
      </c>
      <c r="B113" s="1180"/>
      <c r="C113" s="1180"/>
      <c r="D113" s="726"/>
    </row>
    <row r="114" spans="1:4" ht="28.5" customHeight="1" x14ac:dyDescent="0.25">
      <c r="A114" s="1180" t="s">
        <v>785</v>
      </c>
      <c r="B114" s="1180"/>
      <c r="C114" s="1180"/>
    </row>
  </sheetData>
  <sheetProtection algorithmName="SHA-512" hashValue="P6p/9ERpfcpyxDloWEG2ztuu6DboXAWb681Dd35rYuX8jR/bgmcZ7wVJQ/gu/b6B1RKdvz2NlJQjV0kQCVkw9w==" saltValue="db5wHbm1UKQXG8klJiKdfA==" spinCount="100000" sheet="1" formatCells="0" formatColumns="0" formatRows="0" insertRows="0" autoFilter="0" pivotTables="0"/>
  <mergeCells count="17">
    <mergeCell ref="A113:C113"/>
    <mergeCell ref="A114:C114"/>
    <mergeCell ref="A105:D105"/>
    <mergeCell ref="A106:D106"/>
    <mergeCell ref="A108:C108"/>
    <mergeCell ref="A111:C111"/>
    <mergeCell ref="A112:C112"/>
    <mergeCell ref="A90:D90"/>
    <mergeCell ref="A91:D91"/>
    <mergeCell ref="A93:D93"/>
    <mergeCell ref="A103:D103"/>
    <mergeCell ref="A104:D104"/>
    <mergeCell ref="B1:E1"/>
    <mergeCell ref="B2:E2"/>
    <mergeCell ref="B5:D5"/>
    <mergeCell ref="B6:D6"/>
    <mergeCell ref="A8:D8"/>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K18"/>
  <sheetViews>
    <sheetView showGridLines="0" zoomScaleNormal="100" workbookViewId="0">
      <selection activeCell="B14" sqref="B14"/>
    </sheetView>
  </sheetViews>
  <sheetFormatPr baseColWidth="10" defaultColWidth="12" defaultRowHeight="19.5" customHeight="1" x14ac:dyDescent="0.25"/>
  <cols>
    <col min="1" max="1" width="47" style="140" customWidth="1"/>
    <col min="2" max="3" width="33.77734375" style="140" customWidth="1"/>
    <col min="4" max="4" width="18.77734375" style="140" customWidth="1"/>
    <col min="5" max="5" width="15.6640625" style="140" customWidth="1"/>
    <col min="6" max="6" width="12" style="140"/>
    <col min="7" max="7" width="15" style="140" customWidth="1"/>
    <col min="8" max="8" width="22.33203125" style="140" customWidth="1"/>
    <col min="9" max="246" width="12" style="140"/>
    <col min="247" max="247" width="36.33203125" style="140" customWidth="1"/>
    <col min="248" max="248" width="22.33203125" style="140" customWidth="1"/>
    <col min="249" max="249" width="12" style="140"/>
    <col min="250" max="250" width="14.33203125" style="140" customWidth="1"/>
    <col min="251" max="502" width="12" style="140"/>
    <col min="503" max="503" width="36.33203125" style="140" customWidth="1"/>
    <col min="504" max="504" width="22.33203125" style="140" customWidth="1"/>
    <col min="505" max="505" width="12" style="140"/>
    <col min="506" max="506" width="14.33203125" style="140" customWidth="1"/>
    <col min="507" max="758" width="12" style="140"/>
    <col min="759" max="759" width="36.33203125" style="140" customWidth="1"/>
    <col min="760" max="760" width="22.33203125" style="140" customWidth="1"/>
    <col min="761" max="761" width="12" style="140"/>
    <col min="762" max="762" width="14.33203125" style="140" customWidth="1"/>
    <col min="763" max="1014" width="12" style="140"/>
    <col min="1015" max="1015" width="36.33203125" style="140" customWidth="1"/>
    <col min="1016" max="1016" width="22.33203125" style="140" customWidth="1"/>
    <col min="1017" max="1017" width="12" style="140"/>
    <col min="1018" max="1018" width="14.33203125" style="140" customWidth="1"/>
    <col min="1019" max="1270" width="12" style="140"/>
    <col min="1271" max="1271" width="36.33203125" style="140" customWidth="1"/>
    <col min="1272" max="1272" width="22.33203125" style="140" customWidth="1"/>
    <col min="1273" max="1273" width="12" style="140"/>
    <col min="1274" max="1274" width="14.33203125" style="140" customWidth="1"/>
    <col min="1275" max="1526" width="12" style="140"/>
    <col min="1527" max="1527" width="36.33203125" style="140" customWidth="1"/>
    <col min="1528" max="1528" width="22.33203125" style="140" customWidth="1"/>
    <col min="1529" max="1529" width="12" style="140"/>
    <col min="1530" max="1530" width="14.33203125" style="140" customWidth="1"/>
    <col min="1531" max="1782" width="12" style="140"/>
    <col min="1783" max="1783" width="36.33203125" style="140" customWidth="1"/>
    <col min="1784" max="1784" width="22.33203125" style="140" customWidth="1"/>
    <col min="1785" max="1785" width="12" style="140"/>
    <col min="1786" max="1786" width="14.33203125" style="140" customWidth="1"/>
    <col min="1787" max="2038" width="12" style="140"/>
    <col min="2039" max="2039" width="36.33203125" style="140" customWidth="1"/>
    <col min="2040" max="2040" width="22.33203125" style="140" customWidth="1"/>
    <col min="2041" max="2041" width="12" style="140"/>
    <col min="2042" max="2042" width="14.33203125" style="140" customWidth="1"/>
    <col min="2043" max="2294" width="12" style="140"/>
    <col min="2295" max="2295" width="36.33203125" style="140" customWidth="1"/>
    <col min="2296" max="2296" width="22.33203125" style="140" customWidth="1"/>
    <col min="2297" max="2297" width="12" style="140"/>
    <col min="2298" max="2298" width="14.33203125" style="140" customWidth="1"/>
    <col min="2299" max="2550" width="12" style="140"/>
    <col min="2551" max="2551" width="36.33203125" style="140" customWidth="1"/>
    <col min="2552" max="2552" width="22.33203125" style="140" customWidth="1"/>
    <col min="2553" max="2553" width="12" style="140"/>
    <col min="2554" max="2554" width="14.33203125" style="140" customWidth="1"/>
    <col min="2555" max="2806" width="12" style="140"/>
    <col min="2807" max="2807" width="36.33203125" style="140" customWidth="1"/>
    <col min="2808" max="2808" width="22.33203125" style="140" customWidth="1"/>
    <col min="2809" max="2809" width="12" style="140"/>
    <col min="2810" max="2810" width="14.33203125" style="140" customWidth="1"/>
    <col min="2811" max="3062" width="12" style="140"/>
    <col min="3063" max="3063" width="36.33203125" style="140" customWidth="1"/>
    <col min="3064" max="3064" width="22.33203125" style="140" customWidth="1"/>
    <col min="3065" max="3065" width="12" style="140"/>
    <col min="3066" max="3066" width="14.33203125" style="140" customWidth="1"/>
    <col min="3067" max="3318" width="12" style="140"/>
    <col min="3319" max="3319" width="36.33203125" style="140" customWidth="1"/>
    <col min="3320" max="3320" width="22.33203125" style="140" customWidth="1"/>
    <col min="3321" max="3321" width="12" style="140"/>
    <col min="3322" max="3322" width="14.33203125" style="140" customWidth="1"/>
    <col min="3323" max="3574" width="12" style="140"/>
    <col min="3575" max="3575" width="36.33203125" style="140" customWidth="1"/>
    <col min="3576" max="3576" width="22.33203125" style="140" customWidth="1"/>
    <col min="3577" max="3577" width="12" style="140"/>
    <col min="3578" max="3578" width="14.33203125" style="140" customWidth="1"/>
    <col min="3579" max="3830" width="12" style="140"/>
    <col min="3831" max="3831" width="36.33203125" style="140" customWidth="1"/>
    <col min="3832" max="3832" width="22.33203125" style="140" customWidth="1"/>
    <col min="3833" max="3833" width="12" style="140"/>
    <col min="3834" max="3834" width="14.33203125" style="140" customWidth="1"/>
    <col min="3835" max="4086" width="12" style="140"/>
    <col min="4087" max="4087" width="36.33203125" style="140" customWidth="1"/>
    <col min="4088" max="4088" width="22.33203125" style="140" customWidth="1"/>
    <col min="4089" max="4089" width="12" style="140"/>
    <col min="4090" max="4090" width="14.33203125" style="140" customWidth="1"/>
    <col min="4091" max="4342" width="12" style="140"/>
    <col min="4343" max="4343" width="36.33203125" style="140" customWidth="1"/>
    <col min="4344" max="4344" width="22.33203125" style="140" customWidth="1"/>
    <col min="4345" max="4345" width="12" style="140"/>
    <col min="4346" max="4346" width="14.33203125" style="140" customWidth="1"/>
    <col min="4347" max="4598" width="12" style="140"/>
    <col min="4599" max="4599" width="36.33203125" style="140" customWidth="1"/>
    <col min="4600" max="4600" width="22.33203125" style="140" customWidth="1"/>
    <col min="4601" max="4601" width="12" style="140"/>
    <col min="4602" max="4602" width="14.33203125" style="140" customWidth="1"/>
    <col min="4603" max="4854" width="12" style="140"/>
    <col min="4855" max="4855" width="36.33203125" style="140" customWidth="1"/>
    <col min="4856" max="4856" width="22.33203125" style="140" customWidth="1"/>
    <col min="4857" max="4857" width="12" style="140"/>
    <col min="4858" max="4858" width="14.33203125" style="140" customWidth="1"/>
    <col min="4859" max="5110" width="12" style="140"/>
    <col min="5111" max="5111" width="36.33203125" style="140" customWidth="1"/>
    <col min="5112" max="5112" width="22.33203125" style="140" customWidth="1"/>
    <col min="5113" max="5113" width="12" style="140"/>
    <col min="5114" max="5114" width="14.33203125" style="140" customWidth="1"/>
    <col min="5115" max="5366" width="12" style="140"/>
    <col min="5367" max="5367" width="36.33203125" style="140" customWidth="1"/>
    <col min="5368" max="5368" width="22.33203125" style="140" customWidth="1"/>
    <col min="5369" max="5369" width="12" style="140"/>
    <col min="5370" max="5370" width="14.33203125" style="140" customWidth="1"/>
    <col min="5371" max="5622" width="12" style="140"/>
    <col min="5623" max="5623" width="36.33203125" style="140" customWidth="1"/>
    <col min="5624" max="5624" width="22.33203125" style="140" customWidth="1"/>
    <col min="5625" max="5625" width="12" style="140"/>
    <col min="5626" max="5626" width="14.33203125" style="140" customWidth="1"/>
    <col min="5627" max="5878" width="12" style="140"/>
    <col min="5879" max="5879" width="36.33203125" style="140" customWidth="1"/>
    <col min="5880" max="5880" width="22.33203125" style="140" customWidth="1"/>
    <col min="5881" max="5881" width="12" style="140"/>
    <col min="5882" max="5882" width="14.33203125" style="140" customWidth="1"/>
    <col min="5883" max="6134" width="12" style="140"/>
    <col min="6135" max="6135" width="36.33203125" style="140" customWidth="1"/>
    <col min="6136" max="6136" width="22.33203125" style="140" customWidth="1"/>
    <col min="6137" max="6137" width="12" style="140"/>
    <col min="6138" max="6138" width="14.33203125" style="140" customWidth="1"/>
    <col min="6139" max="6390" width="12" style="140"/>
    <col min="6391" max="6391" width="36.33203125" style="140" customWidth="1"/>
    <col min="6392" max="6392" width="22.33203125" style="140" customWidth="1"/>
    <col min="6393" max="6393" width="12" style="140"/>
    <col min="6394" max="6394" width="14.33203125" style="140" customWidth="1"/>
    <col min="6395" max="6646" width="12" style="140"/>
    <col min="6647" max="6647" width="36.33203125" style="140" customWidth="1"/>
    <col min="6648" max="6648" width="22.33203125" style="140" customWidth="1"/>
    <col min="6649" max="6649" width="12" style="140"/>
    <col min="6650" max="6650" width="14.33203125" style="140" customWidth="1"/>
    <col min="6651" max="6902" width="12" style="140"/>
    <col min="6903" max="6903" width="36.33203125" style="140" customWidth="1"/>
    <col min="6904" max="6904" width="22.33203125" style="140" customWidth="1"/>
    <col min="6905" max="6905" width="12" style="140"/>
    <col min="6906" max="6906" width="14.33203125" style="140" customWidth="1"/>
    <col min="6907" max="7158" width="12" style="140"/>
    <col min="7159" max="7159" width="36.33203125" style="140" customWidth="1"/>
    <col min="7160" max="7160" width="22.33203125" style="140" customWidth="1"/>
    <col min="7161" max="7161" width="12" style="140"/>
    <col min="7162" max="7162" width="14.33203125" style="140" customWidth="1"/>
    <col min="7163" max="7414" width="12" style="140"/>
    <col min="7415" max="7415" width="36.33203125" style="140" customWidth="1"/>
    <col min="7416" max="7416" width="22.33203125" style="140" customWidth="1"/>
    <col min="7417" max="7417" width="12" style="140"/>
    <col min="7418" max="7418" width="14.33203125" style="140" customWidth="1"/>
    <col min="7419" max="7670" width="12" style="140"/>
    <col min="7671" max="7671" width="36.33203125" style="140" customWidth="1"/>
    <col min="7672" max="7672" width="22.33203125" style="140" customWidth="1"/>
    <col min="7673" max="7673" width="12" style="140"/>
    <col min="7674" max="7674" width="14.33203125" style="140" customWidth="1"/>
    <col min="7675" max="7926" width="12" style="140"/>
    <col min="7927" max="7927" width="36.33203125" style="140" customWidth="1"/>
    <col min="7928" max="7928" width="22.33203125" style="140" customWidth="1"/>
    <col min="7929" max="7929" width="12" style="140"/>
    <col min="7930" max="7930" width="14.33203125" style="140" customWidth="1"/>
    <col min="7931" max="8182" width="12" style="140"/>
    <col min="8183" max="8183" width="36.33203125" style="140" customWidth="1"/>
    <col min="8184" max="8184" width="22.33203125" style="140" customWidth="1"/>
    <col min="8185" max="8185" width="12" style="140"/>
    <col min="8186" max="8186" width="14.33203125" style="140" customWidth="1"/>
    <col min="8187" max="8438" width="12" style="140"/>
    <col min="8439" max="8439" width="36.33203125" style="140" customWidth="1"/>
    <col min="8440" max="8440" width="22.33203125" style="140" customWidth="1"/>
    <col min="8441" max="8441" width="12" style="140"/>
    <col min="8442" max="8442" width="14.33203125" style="140" customWidth="1"/>
    <col min="8443" max="8694" width="12" style="140"/>
    <col min="8695" max="8695" width="36.33203125" style="140" customWidth="1"/>
    <col min="8696" max="8696" width="22.33203125" style="140" customWidth="1"/>
    <col min="8697" max="8697" width="12" style="140"/>
    <col min="8698" max="8698" width="14.33203125" style="140" customWidth="1"/>
    <col min="8699" max="8950" width="12" style="140"/>
    <col min="8951" max="8951" width="36.33203125" style="140" customWidth="1"/>
    <col min="8952" max="8952" width="22.33203125" style="140" customWidth="1"/>
    <col min="8953" max="8953" width="12" style="140"/>
    <col min="8954" max="8954" width="14.33203125" style="140" customWidth="1"/>
    <col min="8955" max="9206" width="12" style="140"/>
    <col min="9207" max="9207" width="36.33203125" style="140" customWidth="1"/>
    <col min="9208" max="9208" width="22.33203125" style="140" customWidth="1"/>
    <col min="9209" max="9209" width="12" style="140"/>
    <col min="9210" max="9210" width="14.33203125" style="140" customWidth="1"/>
    <col min="9211" max="9462" width="12" style="140"/>
    <col min="9463" max="9463" width="36.33203125" style="140" customWidth="1"/>
    <col min="9464" max="9464" width="22.33203125" style="140" customWidth="1"/>
    <col min="9465" max="9465" width="12" style="140"/>
    <col min="9466" max="9466" width="14.33203125" style="140" customWidth="1"/>
    <col min="9467" max="9718" width="12" style="140"/>
    <col min="9719" max="9719" width="36.33203125" style="140" customWidth="1"/>
    <col min="9720" max="9720" width="22.33203125" style="140" customWidth="1"/>
    <col min="9721" max="9721" width="12" style="140"/>
    <col min="9722" max="9722" width="14.33203125" style="140" customWidth="1"/>
    <col min="9723" max="9974" width="12" style="140"/>
    <col min="9975" max="9975" width="36.33203125" style="140" customWidth="1"/>
    <col min="9976" max="9976" width="22.33203125" style="140" customWidth="1"/>
    <col min="9977" max="9977" width="12" style="140"/>
    <col min="9978" max="9978" width="14.33203125" style="140" customWidth="1"/>
    <col min="9979" max="10230" width="12" style="140"/>
    <col min="10231" max="10231" width="36.33203125" style="140" customWidth="1"/>
    <col min="10232" max="10232" width="22.33203125" style="140" customWidth="1"/>
    <col min="10233" max="10233" width="12" style="140"/>
    <col min="10234" max="10234" width="14.33203125" style="140" customWidth="1"/>
    <col min="10235" max="10486" width="12" style="140"/>
    <col min="10487" max="10487" width="36.33203125" style="140" customWidth="1"/>
    <col min="10488" max="10488" width="22.33203125" style="140" customWidth="1"/>
    <col min="10489" max="10489" width="12" style="140"/>
    <col min="10490" max="10490" width="14.33203125" style="140" customWidth="1"/>
    <col min="10491" max="10742" width="12" style="140"/>
    <col min="10743" max="10743" width="36.33203125" style="140" customWidth="1"/>
    <col min="10744" max="10744" width="22.33203125" style="140" customWidth="1"/>
    <col min="10745" max="10745" width="12" style="140"/>
    <col min="10746" max="10746" width="14.33203125" style="140" customWidth="1"/>
    <col min="10747" max="10998" width="12" style="140"/>
    <col min="10999" max="10999" width="36.33203125" style="140" customWidth="1"/>
    <col min="11000" max="11000" width="22.33203125" style="140" customWidth="1"/>
    <col min="11001" max="11001" width="12" style="140"/>
    <col min="11002" max="11002" width="14.33203125" style="140" customWidth="1"/>
    <col min="11003" max="11254" width="12" style="140"/>
    <col min="11255" max="11255" width="36.33203125" style="140" customWidth="1"/>
    <col min="11256" max="11256" width="22.33203125" style="140" customWidth="1"/>
    <col min="11257" max="11257" width="12" style="140"/>
    <col min="11258" max="11258" width="14.33203125" style="140" customWidth="1"/>
    <col min="11259" max="11510" width="12" style="140"/>
    <col min="11511" max="11511" width="36.33203125" style="140" customWidth="1"/>
    <col min="11512" max="11512" width="22.33203125" style="140" customWidth="1"/>
    <col min="11513" max="11513" width="12" style="140"/>
    <col min="11514" max="11514" width="14.33203125" style="140" customWidth="1"/>
    <col min="11515" max="11766" width="12" style="140"/>
    <col min="11767" max="11767" width="36.33203125" style="140" customWidth="1"/>
    <col min="11768" max="11768" width="22.33203125" style="140" customWidth="1"/>
    <col min="11769" max="11769" width="12" style="140"/>
    <col min="11770" max="11770" width="14.33203125" style="140" customWidth="1"/>
    <col min="11771" max="12022" width="12" style="140"/>
    <col min="12023" max="12023" width="36.33203125" style="140" customWidth="1"/>
    <col min="12024" max="12024" width="22.33203125" style="140" customWidth="1"/>
    <col min="12025" max="12025" width="12" style="140"/>
    <col min="12026" max="12026" width="14.33203125" style="140" customWidth="1"/>
    <col min="12027" max="12278" width="12" style="140"/>
    <col min="12279" max="12279" width="36.33203125" style="140" customWidth="1"/>
    <col min="12280" max="12280" width="22.33203125" style="140" customWidth="1"/>
    <col min="12281" max="12281" width="12" style="140"/>
    <col min="12282" max="12282" width="14.33203125" style="140" customWidth="1"/>
    <col min="12283" max="12534" width="12" style="140"/>
    <col min="12535" max="12535" width="36.33203125" style="140" customWidth="1"/>
    <col min="12536" max="12536" width="22.33203125" style="140" customWidth="1"/>
    <col min="12537" max="12537" width="12" style="140"/>
    <col min="12538" max="12538" width="14.33203125" style="140" customWidth="1"/>
    <col min="12539" max="12790" width="12" style="140"/>
    <col min="12791" max="12791" width="36.33203125" style="140" customWidth="1"/>
    <col min="12792" max="12792" width="22.33203125" style="140" customWidth="1"/>
    <col min="12793" max="12793" width="12" style="140"/>
    <col min="12794" max="12794" width="14.33203125" style="140" customWidth="1"/>
    <col min="12795" max="13046" width="12" style="140"/>
    <col min="13047" max="13047" width="36.33203125" style="140" customWidth="1"/>
    <col min="13048" max="13048" width="22.33203125" style="140" customWidth="1"/>
    <col min="13049" max="13049" width="12" style="140"/>
    <col min="13050" max="13050" width="14.33203125" style="140" customWidth="1"/>
    <col min="13051" max="13302" width="12" style="140"/>
    <col min="13303" max="13303" width="36.33203125" style="140" customWidth="1"/>
    <col min="13304" max="13304" width="22.33203125" style="140" customWidth="1"/>
    <col min="13305" max="13305" width="12" style="140"/>
    <col min="13306" max="13306" width="14.33203125" style="140" customWidth="1"/>
    <col min="13307" max="13558" width="12" style="140"/>
    <col min="13559" max="13559" width="36.33203125" style="140" customWidth="1"/>
    <col min="13560" max="13560" width="22.33203125" style="140" customWidth="1"/>
    <col min="13561" max="13561" width="12" style="140"/>
    <col min="13562" max="13562" width="14.33203125" style="140" customWidth="1"/>
    <col min="13563" max="13814" width="12" style="140"/>
    <col min="13815" max="13815" width="36.33203125" style="140" customWidth="1"/>
    <col min="13816" max="13816" width="22.33203125" style="140" customWidth="1"/>
    <col min="13817" max="13817" width="12" style="140"/>
    <col min="13818" max="13818" width="14.33203125" style="140" customWidth="1"/>
    <col min="13819" max="14070" width="12" style="140"/>
    <col min="14071" max="14071" width="36.33203125" style="140" customWidth="1"/>
    <col min="14072" max="14072" width="22.33203125" style="140" customWidth="1"/>
    <col min="14073" max="14073" width="12" style="140"/>
    <col min="14074" max="14074" width="14.33203125" style="140" customWidth="1"/>
    <col min="14075" max="14326" width="12" style="140"/>
    <col min="14327" max="14327" width="36.33203125" style="140" customWidth="1"/>
    <col min="14328" max="14328" width="22.33203125" style="140" customWidth="1"/>
    <col min="14329" max="14329" width="12" style="140"/>
    <col min="14330" max="14330" width="14.33203125" style="140" customWidth="1"/>
    <col min="14331" max="14582" width="12" style="140"/>
    <col min="14583" max="14583" width="36.33203125" style="140" customWidth="1"/>
    <col min="14584" max="14584" width="22.33203125" style="140" customWidth="1"/>
    <col min="14585" max="14585" width="12" style="140"/>
    <col min="14586" max="14586" width="14.33203125" style="140" customWidth="1"/>
    <col min="14587" max="14838" width="12" style="140"/>
    <col min="14839" max="14839" width="36.33203125" style="140" customWidth="1"/>
    <col min="14840" max="14840" width="22.33203125" style="140" customWidth="1"/>
    <col min="14841" max="14841" width="12" style="140"/>
    <col min="14842" max="14842" width="14.33203125" style="140" customWidth="1"/>
    <col min="14843" max="15094" width="12" style="140"/>
    <col min="15095" max="15095" width="36.33203125" style="140" customWidth="1"/>
    <col min="15096" max="15096" width="22.33203125" style="140" customWidth="1"/>
    <col min="15097" max="15097" width="12" style="140"/>
    <col min="15098" max="15098" width="14.33203125" style="140" customWidth="1"/>
    <col min="15099" max="15350" width="12" style="140"/>
    <col min="15351" max="15351" width="36.33203125" style="140" customWidth="1"/>
    <col min="15352" max="15352" width="22.33203125" style="140" customWidth="1"/>
    <col min="15353" max="15353" width="12" style="140"/>
    <col min="15354" max="15354" width="14.33203125" style="140" customWidth="1"/>
    <col min="15355" max="15606" width="12" style="140"/>
    <col min="15607" max="15607" width="36.33203125" style="140" customWidth="1"/>
    <col min="15608" max="15608" width="22.33203125" style="140" customWidth="1"/>
    <col min="15609" max="15609" width="12" style="140"/>
    <col min="15610" max="15610" width="14.33203125" style="140" customWidth="1"/>
    <col min="15611" max="15862" width="12" style="140"/>
    <col min="15863" max="15863" width="36.33203125" style="140" customWidth="1"/>
    <col min="15864" max="15864" width="22.33203125" style="140" customWidth="1"/>
    <col min="15865" max="15865" width="12" style="140"/>
    <col min="15866" max="15866" width="14.33203125" style="140" customWidth="1"/>
    <col min="15867" max="16118" width="12" style="140"/>
    <col min="16119" max="16119" width="36.33203125" style="140" customWidth="1"/>
    <col min="16120" max="16120" width="22.33203125" style="140" customWidth="1"/>
    <col min="16121" max="16121" width="12" style="140"/>
    <col min="16122" max="16122" width="14.33203125" style="140" customWidth="1"/>
    <col min="16123" max="16384" width="12" style="140"/>
  </cols>
  <sheetData>
    <row r="1" spans="1:11" s="15" customFormat="1" ht="39" customHeight="1" x14ac:dyDescent="0.25">
      <c r="B1" s="14" t="str">
        <f>Instructivo!F1</f>
        <v>Sistema de Gestión Integral (SGI)
Instructivo - Componente Financiero EP
Código: F-PGC-21. Versión: 05</v>
      </c>
      <c r="C1" s="14"/>
      <c r="D1" s="14"/>
      <c r="E1" s="14"/>
      <c r="F1" s="132" t="s">
        <v>102</v>
      </c>
    </row>
    <row r="2" spans="1:11" s="15" customFormat="1" ht="17.25" customHeight="1" x14ac:dyDescent="0.25">
      <c r="B2" s="1173" t="s">
        <v>786</v>
      </c>
      <c r="C2" s="1173"/>
      <c r="D2" s="1173"/>
      <c r="E2" s="1173"/>
      <c r="I2" s="441"/>
      <c r="J2" s="420"/>
      <c r="K2" s="378"/>
    </row>
    <row r="3" spans="1:11" ht="24.75" customHeight="1" x14ac:dyDescent="0.25">
      <c r="A3" s="1181"/>
      <c r="B3" s="1181"/>
      <c r="C3" s="1181"/>
    </row>
    <row r="4" spans="1:11" ht="19.5" customHeight="1" x14ac:dyDescent="0.25">
      <c r="A4" s="728" t="s">
        <v>676</v>
      </c>
      <c r="B4" s="1182">
        <v>2025</v>
      </c>
      <c r="C4" s="1182"/>
    </row>
    <row r="5" spans="1:11" ht="19.5" customHeight="1" x14ac:dyDescent="0.25">
      <c r="A5" s="728" t="s">
        <v>677</v>
      </c>
      <c r="B5" s="1182" t="s">
        <v>787</v>
      </c>
      <c r="C5" s="1182"/>
    </row>
    <row r="6" spans="1:11" ht="19.5" customHeight="1" x14ac:dyDescent="0.25">
      <c r="A6" s="729"/>
      <c r="B6" s="730"/>
      <c r="C6" s="730"/>
    </row>
    <row r="7" spans="1:11" ht="33" customHeight="1" x14ac:dyDescent="0.25">
      <c r="A7" s="731" t="s">
        <v>788</v>
      </c>
      <c r="B7" s="1183" t="s">
        <v>789</v>
      </c>
      <c r="C7" s="1183"/>
    </row>
    <row r="8" spans="1:11" ht="13.2" x14ac:dyDescent="0.25">
      <c r="A8" s="732" t="s">
        <v>790</v>
      </c>
      <c r="B8" s="1184">
        <v>3000000</v>
      </c>
      <c r="C8" s="1184"/>
      <c r="D8" s="733"/>
      <c r="E8" s="734"/>
      <c r="G8" s="447"/>
      <c r="H8" s="447"/>
    </row>
    <row r="9" spans="1:11" ht="13.2" x14ac:dyDescent="0.25">
      <c r="A9" s="732" t="s">
        <v>791</v>
      </c>
      <c r="B9" s="1184">
        <v>3752350</v>
      </c>
      <c r="C9" s="1184"/>
      <c r="H9" s="735"/>
    </row>
    <row r="10" spans="1:11" ht="13.2" hidden="1" x14ac:dyDescent="0.25">
      <c r="A10" s="732" t="s">
        <v>792</v>
      </c>
      <c r="B10" s="1184"/>
      <c r="C10" s="1184"/>
      <c r="H10" s="736"/>
    </row>
    <row r="11" spans="1:11" ht="13.2" x14ac:dyDescent="0.25">
      <c r="A11" s="732" t="s">
        <v>793</v>
      </c>
      <c r="B11" s="1184">
        <v>4824450</v>
      </c>
      <c r="C11" s="1184"/>
    </row>
    <row r="12" spans="1:11" ht="13.2" x14ac:dyDescent="0.25">
      <c r="A12" s="732" t="s">
        <v>794</v>
      </c>
      <c r="B12" s="1184">
        <v>5463336</v>
      </c>
      <c r="C12" s="1184"/>
    </row>
    <row r="13" spans="1:11" ht="13.2" x14ac:dyDescent="0.25">
      <c r="A13" s="732" t="s">
        <v>416</v>
      </c>
      <c r="B13" s="1184">
        <v>8034253</v>
      </c>
      <c r="C13" s="1184"/>
    </row>
    <row r="14" spans="1:11" ht="13.2" x14ac:dyDescent="0.25">
      <c r="A14" s="737" t="s">
        <v>795</v>
      </c>
      <c r="B14" s="1185">
        <v>9638479</v>
      </c>
      <c r="C14" s="1185"/>
    </row>
    <row r="15" spans="1:11" ht="7.5" customHeight="1" x14ac:dyDescent="0.25">
      <c r="A15" s="738"/>
      <c r="B15" s="739"/>
      <c r="C15" s="739"/>
    </row>
    <row r="16" spans="1:11" ht="19.5" customHeight="1" x14ac:dyDescent="0.25">
      <c r="A16" s="740" t="s">
        <v>796</v>
      </c>
      <c r="B16" s="741"/>
      <c r="C16" s="741"/>
    </row>
    <row r="17" spans="1:3" ht="57" customHeight="1" x14ac:dyDescent="0.25">
      <c r="A17" s="1186" t="s">
        <v>797</v>
      </c>
      <c r="B17" s="1186"/>
      <c r="C17" s="1186"/>
    </row>
    <row r="18" spans="1:3" ht="19.5" customHeight="1" x14ac:dyDescent="0.25">
      <c r="A18" s="741"/>
      <c r="B18" s="741"/>
      <c r="C18" s="741"/>
    </row>
  </sheetData>
  <sheetProtection algorithmName="SHA-512" hashValue="cVla5og17olxdWUMhPIZ+n5Zw4JRPjxhbmIJh9urfsPGwymhQJSQNen/tVt3JgctFJ5KPI7RSQrc/TaDq/4wHg==" saltValue="M0kYqcPejxTT7BD7HZAFcw==" spinCount="100000" sheet="1" formatCells="0" formatColumns="0" formatRows="0" insertRows="0" autoFilter="0" pivotTables="0"/>
  <mergeCells count="14">
    <mergeCell ref="B12:C12"/>
    <mergeCell ref="B13:C13"/>
    <mergeCell ref="B14:C14"/>
    <mergeCell ref="A17:C17"/>
    <mergeCell ref="B7:C7"/>
    <mergeCell ref="B8:C8"/>
    <mergeCell ref="B9:C9"/>
    <mergeCell ref="B10:C10"/>
    <mergeCell ref="B11:C11"/>
    <mergeCell ref="B1:E1"/>
    <mergeCell ref="B2:E2"/>
    <mergeCell ref="A3:C3"/>
    <mergeCell ref="B4:C4"/>
    <mergeCell ref="B5:C5"/>
  </mergeCells>
  <hyperlinks>
    <hyperlink ref="F1" location="Instructivo!D10" display="Instructivo" xr:uid="{00000000-0004-0000-1700-000000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J155"/>
  <sheetViews>
    <sheetView showGridLines="0" zoomScaleNormal="100" workbookViewId="0">
      <selection activeCell="C1" sqref="C1"/>
    </sheetView>
  </sheetViews>
  <sheetFormatPr baseColWidth="10" defaultColWidth="13.33203125" defaultRowHeight="19.5" customHeight="1" x14ac:dyDescent="0.25"/>
  <cols>
    <col min="1" max="1" width="27.33203125" style="742" customWidth="1"/>
    <col min="2" max="2" width="14.33203125" style="742" customWidth="1"/>
    <col min="3" max="3" width="15.77734375" style="743" customWidth="1"/>
    <col min="4" max="10" width="15.77734375" style="742" customWidth="1"/>
    <col min="11" max="62" width="13.33203125" style="744"/>
    <col min="63" max="16384" width="13.33203125" style="742"/>
  </cols>
  <sheetData>
    <row r="1" spans="1:11" s="15" customFormat="1" ht="39" customHeight="1" x14ac:dyDescent="0.25">
      <c r="E1" s="1129" t="str">
        <f>Instructivo!F1</f>
        <v>Sistema de Gestión Integral (SGI)
Instructivo - Componente Financiero EP
Código: F-PGC-21. Versión: 05</v>
      </c>
      <c r="F1" s="1129"/>
      <c r="G1" s="1129"/>
      <c r="H1" s="1129"/>
      <c r="J1" s="132" t="s">
        <v>102</v>
      </c>
    </row>
    <row r="2" spans="1:11" s="15" customFormat="1" ht="17.25" customHeight="1" x14ac:dyDescent="0.25">
      <c r="E2" s="13" t="s">
        <v>798</v>
      </c>
      <c r="F2" s="13"/>
      <c r="G2" s="13"/>
      <c r="H2" s="13"/>
      <c r="I2" s="441"/>
      <c r="J2" s="420"/>
      <c r="K2" s="378"/>
    </row>
    <row r="3" spans="1:11" ht="6" customHeight="1" x14ac:dyDescent="0.25"/>
    <row r="4" spans="1:11" ht="6" customHeight="1" x14ac:dyDescent="0.25">
      <c r="A4" s="745"/>
      <c r="B4" s="745"/>
      <c r="C4" s="745"/>
      <c r="D4" s="48"/>
      <c r="E4" s="746"/>
      <c r="F4" s="746"/>
      <c r="G4" s="746"/>
      <c r="H4" s="746"/>
      <c r="I4" s="746"/>
      <c r="J4" s="746"/>
    </row>
    <row r="5" spans="1:11" ht="19.5" customHeight="1" x14ac:dyDescent="0.25">
      <c r="A5" s="1187" t="s">
        <v>676</v>
      </c>
      <c r="B5" s="1187"/>
      <c r="C5" s="1187"/>
      <c r="D5" s="1188">
        <v>2025</v>
      </c>
      <c r="E5" s="1188"/>
      <c r="F5" s="1188"/>
      <c r="G5" s="1188"/>
      <c r="H5" s="1188"/>
      <c r="I5" s="1188"/>
      <c r="J5" s="1188"/>
    </row>
    <row r="6" spans="1:11" ht="19.5" customHeight="1" x14ac:dyDescent="0.25">
      <c r="A6" s="1187" t="s">
        <v>677</v>
      </c>
      <c r="B6" s="1187"/>
      <c r="C6" s="1187"/>
      <c r="D6" s="1188" t="s">
        <v>799</v>
      </c>
      <c r="E6" s="1188"/>
      <c r="F6" s="1188"/>
      <c r="G6" s="1188"/>
      <c r="H6" s="1188"/>
      <c r="I6" s="1188"/>
      <c r="J6" s="1188"/>
    </row>
    <row r="7" spans="1:11" ht="19.5" customHeight="1" x14ac:dyDescent="0.25">
      <c r="A7" s="1189" t="s">
        <v>800</v>
      </c>
      <c r="B7" s="1189"/>
      <c r="C7" s="1189"/>
      <c r="D7" s="1190">
        <v>1423500</v>
      </c>
      <c r="E7" s="1190"/>
      <c r="F7" s="1190"/>
      <c r="G7" s="1190"/>
      <c r="H7" s="1190"/>
      <c r="I7" s="1190"/>
      <c r="J7" s="1190"/>
    </row>
    <row r="8" spans="1:11" ht="19.5" customHeight="1" x14ac:dyDescent="0.25">
      <c r="A8" s="1189" t="s">
        <v>801</v>
      </c>
      <c r="B8" s="1189"/>
      <c r="C8" s="1189"/>
      <c r="D8" s="1190">
        <v>200000</v>
      </c>
      <c r="E8" s="1190"/>
      <c r="F8" s="1190"/>
      <c r="G8" s="1190"/>
      <c r="H8" s="1190"/>
      <c r="I8" s="1190"/>
      <c r="J8" s="1190"/>
    </row>
    <row r="9" spans="1:11" ht="19.5" customHeight="1" x14ac:dyDescent="0.25">
      <c r="A9" s="747"/>
      <c r="B9" s="747"/>
      <c r="C9" s="747"/>
      <c r="D9" s="748"/>
      <c r="E9" s="748"/>
      <c r="F9" s="748"/>
      <c r="G9" s="748"/>
      <c r="H9" s="748"/>
      <c r="I9" s="748"/>
      <c r="J9" s="748"/>
    </row>
    <row r="10" spans="1:11" ht="19.5" customHeight="1" x14ac:dyDescent="0.25">
      <c r="A10" s="1191" t="s">
        <v>802</v>
      </c>
      <c r="B10" s="1191"/>
      <c r="C10" s="1191"/>
      <c r="D10" s="1191"/>
      <c r="E10" s="1191"/>
      <c r="F10" s="1191"/>
      <c r="G10" s="1191"/>
      <c r="H10" s="1191"/>
      <c r="I10" s="1191"/>
      <c r="J10" s="1191"/>
    </row>
    <row r="11" spans="1:11" ht="16.5" customHeight="1" x14ac:dyDescent="0.25">
      <c r="A11" s="1192" t="s">
        <v>803</v>
      </c>
      <c r="B11" s="1192"/>
      <c r="C11" s="749">
        <v>1</v>
      </c>
      <c r="D11" s="749">
        <v>1.25</v>
      </c>
      <c r="E11" s="749">
        <v>1.5</v>
      </c>
      <c r="F11" s="749">
        <v>1.75</v>
      </c>
      <c r="G11" s="749">
        <v>2</v>
      </c>
      <c r="H11" s="750">
        <v>3</v>
      </c>
      <c r="I11" s="750">
        <v>4</v>
      </c>
      <c r="J11" s="751">
        <v>5</v>
      </c>
    </row>
    <row r="12" spans="1:11" ht="16.5" customHeight="1" x14ac:dyDescent="0.25">
      <c r="A12" s="1193" t="s">
        <v>804</v>
      </c>
      <c r="B12" s="1193"/>
      <c r="C12" s="752">
        <f t="shared" ref="C12:J12" si="0">$D$7*C11</f>
        <v>1423500</v>
      </c>
      <c r="D12" s="752">
        <f t="shared" si="0"/>
        <v>1779375</v>
      </c>
      <c r="E12" s="752">
        <f t="shared" si="0"/>
        <v>2135250</v>
      </c>
      <c r="F12" s="752">
        <f t="shared" si="0"/>
        <v>2491125</v>
      </c>
      <c r="G12" s="752">
        <f t="shared" si="0"/>
        <v>2847000</v>
      </c>
      <c r="H12" s="753">
        <f t="shared" si="0"/>
        <v>4270500</v>
      </c>
      <c r="I12" s="753">
        <f t="shared" si="0"/>
        <v>5694000</v>
      </c>
      <c r="J12" s="754">
        <f t="shared" si="0"/>
        <v>7117500</v>
      </c>
    </row>
    <row r="13" spans="1:11" ht="15.75" customHeight="1" x14ac:dyDescent="0.25">
      <c r="A13" s="1193" t="s">
        <v>805</v>
      </c>
      <c r="B13" s="1193"/>
      <c r="C13" s="755">
        <f t="shared" ref="C13:J13" si="1">C29/30</f>
        <v>82954.631111111099</v>
      </c>
      <c r="D13" s="755">
        <f t="shared" si="1"/>
        <v>101732.17777777776</v>
      </c>
      <c r="E13" s="755">
        <f t="shared" si="1"/>
        <v>120509.72444444445</v>
      </c>
      <c r="F13" s="755">
        <f t="shared" si="1"/>
        <v>139287.2711111111</v>
      </c>
      <c r="G13" s="755">
        <f t="shared" si="1"/>
        <v>158064.81777777776</v>
      </c>
      <c r="H13" s="756">
        <f t="shared" si="1"/>
        <v>225330.56</v>
      </c>
      <c r="I13" s="756">
        <f t="shared" si="1"/>
        <v>300440.7466666667</v>
      </c>
      <c r="J13" s="757">
        <f t="shared" si="1"/>
        <v>375550.93333333335</v>
      </c>
    </row>
    <row r="14" spans="1:11" ht="19.5" customHeight="1" x14ac:dyDescent="0.25">
      <c r="A14" s="758" t="s">
        <v>380</v>
      </c>
      <c r="B14" s="759" t="s">
        <v>806</v>
      </c>
      <c r="C14" s="760" t="s">
        <v>807</v>
      </c>
      <c r="D14" s="760" t="s">
        <v>807</v>
      </c>
      <c r="E14" s="760" t="s">
        <v>807</v>
      </c>
      <c r="F14" s="760" t="s">
        <v>807</v>
      </c>
      <c r="G14" s="760" t="s">
        <v>807</v>
      </c>
      <c r="H14" s="760" t="s">
        <v>807</v>
      </c>
      <c r="I14" s="760" t="s">
        <v>807</v>
      </c>
      <c r="J14" s="761" t="s">
        <v>807</v>
      </c>
    </row>
    <row r="15" spans="1:11" ht="19.5" customHeight="1" x14ac:dyDescent="0.25">
      <c r="A15" s="1194" t="s">
        <v>808</v>
      </c>
      <c r="B15" s="1194"/>
      <c r="C15" s="762"/>
      <c r="D15" s="762"/>
      <c r="E15" s="762"/>
      <c r="F15" s="762"/>
      <c r="G15" s="762"/>
      <c r="H15" s="762"/>
      <c r="I15" s="762"/>
      <c r="J15" s="763"/>
    </row>
    <row r="16" spans="1:11" ht="19.5" customHeight="1" x14ac:dyDescent="0.25">
      <c r="A16" s="764" t="s">
        <v>809</v>
      </c>
      <c r="B16" s="765">
        <v>8.5000000000000006E-2</v>
      </c>
      <c r="C16" s="766">
        <f>$C$12*B16</f>
        <v>120997.50000000001</v>
      </c>
      <c r="D16" s="766">
        <f>$D$12*B16</f>
        <v>151246.875</v>
      </c>
      <c r="E16" s="766">
        <f>$E$12*B16</f>
        <v>181496.25</v>
      </c>
      <c r="F16" s="766">
        <f>$F$12*B16</f>
        <v>211745.62500000003</v>
      </c>
      <c r="G16" s="766">
        <f>$G$12*B16</f>
        <v>241995.00000000003</v>
      </c>
      <c r="H16" s="766">
        <f>$H$12*B16</f>
        <v>362992.5</v>
      </c>
      <c r="I16" s="766">
        <f>$I$12*B16</f>
        <v>483990.00000000006</v>
      </c>
      <c r="J16" s="767">
        <f>$J$12*B16</f>
        <v>604987.5</v>
      </c>
    </row>
    <row r="17" spans="1:10" ht="19.5" customHeight="1" x14ac:dyDescent="0.25">
      <c r="A17" s="764" t="s">
        <v>810</v>
      </c>
      <c r="B17" s="765">
        <v>0.12</v>
      </c>
      <c r="C17" s="766">
        <f>$C$12*B17</f>
        <v>170820</v>
      </c>
      <c r="D17" s="766">
        <f>$D$12*B17</f>
        <v>213525</v>
      </c>
      <c r="E17" s="766">
        <f>$E$12*B17</f>
        <v>256230</v>
      </c>
      <c r="F17" s="766">
        <f>$F$12*B17</f>
        <v>298935</v>
      </c>
      <c r="G17" s="766">
        <f>$G$12*B17</f>
        <v>341640</v>
      </c>
      <c r="H17" s="766">
        <f>$H$12*B17</f>
        <v>512460</v>
      </c>
      <c r="I17" s="766">
        <f>$I$12*B17</f>
        <v>683280</v>
      </c>
      <c r="J17" s="767">
        <f>$J$12*B17</f>
        <v>854100</v>
      </c>
    </row>
    <row r="18" spans="1:10" ht="19.5" customHeight="1" x14ac:dyDescent="0.25">
      <c r="A18" s="764" t="s">
        <v>811</v>
      </c>
      <c r="B18" s="768">
        <v>6.9599999999999995E-2</v>
      </c>
      <c r="C18" s="766">
        <f>$C$12*B18</f>
        <v>99075.599999999991</v>
      </c>
      <c r="D18" s="766">
        <f>$D$12*B18</f>
        <v>123844.49999999999</v>
      </c>
      <c r="E18" s="766">
        <f>$E$12*B18</f>
        <v>148613.4</v>
      </c>
      <c r="F18" s="766">
        <f>$F$12*B18</f>
        <v>173382.3</v>
      </c>
      <c r="G18" s="766">
        <f>$G$12*B18</f>
        <v>198151.19999999998</v>
      </c>
      <c r="H18" s="766">
        <f>$H$12*B18</f>
        <v>297226.8</v>
      </c>
      <c r="I18" s="766">
        <f>$I$12*B18</f>
        <v>396302.39999999997</v>
      </c>
      <c r="J18" s="767">
        <f>$J$12*B18</f>
        <v>495377.99999999994</v>
      </c>
    </row>
    <row r="19" spans="1:10" ht="19.5" customHeight="1" x14ac:dyDescent="0.25">
      <c r="A19" s="1195" t="s">
        <v>812</v>
      </c>
      <c r="B19" s="1195"/>
      <c r="C19" s="769"/>
      <c r="D19" s="769"/>
      <c r="E19" s="769"/>
      <c r="F19" s="769"/>
      <c r="G19" s="769"/>
      <c r="H19" s="769"/>
      <c r="I19" s="769"/>
      <c r="J19" s="770"/>
    </row>
    <row r="20" spans="1:10" ht="19.5" customHeight="1" x14ac:dyDescent="0.25">
      <c r="A20" s="764" t="s">
        <v>813</v>
      </c>
      <c r="B20" s="765">
        <v>0.04</v>
      </c>
      <c r="C20" s="766">
        <f>$C$12*B20</f>
        <v>56940</v>
      </c>
      <c r="D20" s="766">
        <f>$D$12*B20</f>
        <v>71175</v>
      </c>
      <c r="E20" s="766">
        <f>$E$12*B20</f>
        <v>85410</v>
      </c>
      <c r="F20" s="766">
        <f>$F$12*B20</f>
        <v>99645</v>
      </c>
      <c r="G20" s="766">
        <f>$G$12*B20</f>
        <v>113880</v>
      </c>
      <c r="H20" s="766">
        <f>$H$12*B20</f>
        <v>170820</v>
      </c>
      <c r="I20" s="766">
        <f>$I$12*B20</f>
        <v>227760</v>
      </c>
      <c r="J20" s="767">
        <f>$J$12*B20</f>
        <v>284700</v>
      </c>
    </row>
    <row r="21" spans="1:10" ht="19.5" customHeight="1" x14ac:dyDescent="0.25">
      <c r="A21" s="764" t="s">
        <v>814</v>
      </c>
      <c r="B21" s="765">
        <v>0.03</v>
      </c>
      <c r="C21" s="766">
        <f>$C$12*B21</f>
        <v>42705</v>
      </c>
      <c r="D21" s="766">
        <f>$D$12*B21</f>
        <v>53381.25</v>
      </c>
      <c r="E21" s="766">
        <f>$E$12*B21</f>
        <v>64057.5</v>
      </c>
      <c r="F21" s="766">
        <f>$F$12*B21</f>
        <v>74733.75</v>
      </c>
      <c r="G21" s="766">
        <f>$G$12*B21</f>
        <v>85410</v>
      </c>
      <c r="H21" s="766">
        <f>$H$12*B21</f>
        <v>128115</v>
      </c>
      <c r="I21" s="766">
        <f>$I$12*B21</f>
        <v>170820</v>
      </c>
      <c r="J21" s="767">
        <f>$J$12*B21</f>
        <v>213525</v>
      </c>
    </row>
    <row r="22" spans="1:10" ht="19.5" customHeight="1" x14ac:dyDescent="0.25">
      <c r="A22" s="764" t="s">
        <v>815</v>
      </c>
      <c r="B22" s="765">
        <v>0.02</v>
      </c>
      <c r="C22" s="766">
        <f>$C$12*B22</f>
        <v>28470</v>
      </c>
      <c r="D22" s="766">
        <f>$D$12*B22</f>
        <v>35587.5</v>
      </c>
      <c r="E22" s="766">
        <f>$E$12*B22</f>
        <v>42705</v>
      </c>
      <c r="F22" s="766">
        <f>$F$12*B22</f>
        <v>49822.5</v>
      </c>
      <c r="G22" s="766">
        <f>$G$12*B22</f>
        <v>56940</v>
      </c>
      <c r="H22" s="766">
        <f>$H$12*B22</f>
        <v>85410</v>
      </c>
      <c r="I22" s="766">
        <f>$I$12*B22</f>
        <v>113880</v>
      </c>
      <c r="J22" s="767">
        <f>$J$12*B22</f>
        <v>142350</v>
      </c>
    </row>
    <row r="23" spans="1:10" ht="19.5" customHeight="1" x14ac:dyDescent="0.25">
      <c r="A23" s="1195" t="s">
        <v>816</v>
      </c>
      <c r="B23" s="1195"/>
      <c r="C23" s="769"/>
      <c r="D23" s="769"/>
      <c r="E23" s="762"/>
      <c r="F23" s="762"/>
      <c r="G23" s="762"/>
      <c r="H23" s="762"/>
      <c r="I23" s="762"/>
      <c r="J23" s="763"/>
    </row>
    <row r="24" spans="1:10" ht="19.5" customHeight="1" x14ac:dyDescent="0.25">
      <c r="A24" s="771" t="s">
        <v>817</v>
      </c>
      <c r="B24" s="772">
        <v>8.3333333333333301E-2</v>
      </c>
      <c r="C24" s="766">
        <f>($C$12+$D$8)*B24</f>
        <v>135291.66666666663</v>
      </c>
      <c r="D24" s="766">
        <f>($D$12+$D$8)*B24</f>
        <v>164947.9166666666</v>
      </c>
      <c r="E24" s="766">
        <f>(E12+$D$8)*$B$24</f>
        <v>194604.1666666666</v>
      </c>
      <c r="F24" s="766">
        <f>(F12+$D$8)*$B$24</f>
        <v>224260.41666666657</v>
      </c>
      <c r="G24" s="766">
        <f>(G12+$D$8)*$B$24</f>
        <v>253916.66666666657</v>
      </c>
      <c r="H24" s="766">
        <f>H12*$B$24</f>
        <v>355874.99999999988</v>
      </c>
      <c r="I24" s="766">
        <f>I12*$B$24</f>
        <v>474499.99999999983</v>
      </c>
      <c r="J24" s="767">
        <f>J12*$B$24</f>
        <v>593124.99999999977</v>
      </c>
    </row>
    <row r="25" spans="1:10" ht="19.5" customHeight="1" x14ac:dyDescent="0.25">
      <c r="A25" s="771" t="s">
        <v>818</v>
      </c>
      <c r="B25" s="772">
        <v>0.12</v>
      </c>
      <c r="C25" s="766">
        <f t="shared" ref="C25:J25" si="2">C24*$B$25</f>
        <v>16234.999999999995</v>
      </c>
      <c r="D25" s="766">
        <f t="shared" si="2"/>
        <v>19793.749999999993</v>
      </c>
      <c r="E25" s="766">
        <f t="shared" si="2"/>
        <v>23352.499999999993</v>
      </c>
      <c r="F25" s="766">
        <f t="shared" si="2"/>
        <v>26911.249999999989</v>
      </c>
      <c r="G25" s="766">
        <f t="shared" si="2"/>
        <v>30469.999999999985</v>
      </c>
      <c r="H25" s="766">
        <f t="shared" si="2"/>
        <v>42704.999999999985</v>
      </c>
      <c r="I25" s="766">
        <f t="shared" si="2"/>
        <v>56939.999999999978</v>
      </c>
      <c r="J25" s="767">
        <f t="shared" si="2"/>
        <v>71174.999999999971</v>
      </c>
    </row>
    <row r="26" spans="1:10" ht="19.5" customHeight="1" x14ac:dyDescent="0.25">
      <c r="A26" s="771" t="s">
        <v>819</v>
      </c>
      <c r="B26" s="772">
        <v>8.3333333333333301E-2</v>
      </c>
      <c r="C26" s="766">
        <f>(C12+$D$8)*$B$26</f>
        <v>135291.66666666663</v>
      </c>
      <c r="D26" s="766">
        <f>(D12+$D$8)*$B$26</f>
        <v>164947.9166666666</v>
      </c>
      <c r="E26" s="766">
        <f>(E12+$D$8)*$B$26</f>
        <v>194604.1666666666</v>
      </c>
      <c r="F26" s="766">
        <f>(F12+$D$8)*$B$26</f>
        <v>224260.41666666657</v>
      </c>
      <c r="G26" s="766">
        <f>(G12+$D$8)*$B$26</f>
        <v>253916.66666666657</v>
      </c>
      <c r="H26" s="766">
        <f>H12*$B$26</f>
        <v>355874.99999999988</v>
      </c>
      <c r="I26" s="766">
        <f>I12*$B$26</f>
        <v>474499.99999999983</v>
      </c>
      <c r="J26" s="767">
        <f>J12*$B$26</f>
        <v>593124.99999999977</v>
      </c>
    </row>
    <row r="27" spans="1:10" ht="19.5" customHeight="1" x14ac:dyDescent="0.25">
      <c r="A27" s="764" t="s">
        <v>820</v>
      </c>
      <c r="B27" s="768">
        <f>B24/2</f>
        <v>4.166666666666665E-2</v>
      </c>
      <c r="C27" s="766">
        <f t="shared" ref="C27:J27" si="3">C12*$B$27</f>
        <v>59312.499999999978</v>
      </c>
      <c r="D27" s="766">
        <f t="shared" si="3"/>
        <v>74140.624999999971</v>
      </c>
      <c r="E27" s="766">
        <f t="shared" si="3"/>
        <v>88968.749999999971</v>
      </c>
      <c r="F27" s="766">
        <f t="shared" si="3"/>
        <v>103796.87499999996</v>
      </c>
      <c r="G27" s="766">
        <f t="shared" si="3"/>
        <v>118624.99999999996</v>
      </c>
      <c r="H27" s="766">
        <f t="shared" si="3"/>
        <v>177937.49999999994</v>
      </c>
      <c r="I27" s="766">
        <f t="shared" si="3"/>
        <v>237249.99999999991</v>
      </c>
      <c r="J27" s="767">
        <f t="shared" si="3"/>
        <v>296562.49999999988</v>
      </c>
    </row>
    <row r="28" spans="1:10" ht="19.5" customHeight="1" x14ac:dyDescent="0.25">
      <c r="A28" s="1194" t="s">
        <v>821</v>
      </c>
      <c r="B28" s="1194"/>
      <c r="C28" s="773">
        <f t="shared" ref="C28:J28" si="4">SUM(C16:C27)</f>
        <v>865138.93333333323</v>
      </c>
      <c r="D28" s="773">
        <f t="shared" si="4"/>
        <v>1072590.3333333333</v>
      </c>
      <c r="E28" s="773">
        <f t="shared" si="4"/>
        <v>1280041.7333333332</v>
      </c>
      <c r="F28" s="773">
        <f t="shared" si="4"/>
        <v>1487493.1333333331</v>
      </c>
      <c r="G28" s="773">
        <f t="shared" si="4"/>
        <v>1694944.533333333</v>
      </c>
      <c r="H28" s="773">
        <f t="shared" si="4"/>
        <v>2489416.7999999998</v>
      </c>
      <c r="I28" s="773">
        <f t="shared" si="4"/>
        <v>3319222.4</v>
      </c>
      <c r="J28" s="774">
        <f t="shared" si="4"/>
        <v>4149028</v>
      </c>
    </row>
    <row r="29" spans="1:10" ht="19.5" customHeight="1" x14ac:dyDescent="0.25">
      <c r="A29" s="1196" t="s">
        <v>822</v>
      </c>
      <c r="B29" s="1196"/>
      <c r="C29" s="775">
        <f>C12+$D$8+C28</f>
        <v>2488638.9333333331</v>
      </c>
      <c r="D29" s="775">
        <f>D12+$D$8+D28</f>
        <v>3051965.333333333</v>
      </c>
      <c r="E29" s="775">
        <f>E12+$D$8+E28</f>
        <v>3615291.7333333334</v>
      </c>
      <c r="F29" s="775">
        <f>F12+$D$8+F28</f>
        <v>4178618.1333333328</v>
      </c>
      <c r="G29" s="775">
        <f>G12+$D$8+G28</f>
        <v>4741944.5333333332</v>
      </c>
      <c r="H29" s="775">
        <f>H12+H28</f>
        <v>6759916.7999999998</v>
      </c>
      <c r="I29" s="775">
        <f>I12+I28</f>
        <v>9013222.4000000004</v>
      </c>
      <c r="J29" s="776">
        <f>J12+J28</f>
        <v>11266528</v>
      </c>
    </row>
    <row r="30" spans="1:10" s="744" customFormat="1" ht="19.5" customHeight="1" x14ac:dyDescent="0.25">
      <c r="A30" s="777"/>
      <c r="B30" s="777"/>
      <c r="C30" s="778"/>
      <c r="D30" s="779"/>
      <c r="E30" s="778"/>
      <c r="F30" s="778"/>
      <c r="G30" s="778"/>
      <c r="H30" s="778"/>
      <c r="I30" s="778"/>
      <c r="J30" s="778"/>
    </row>
    <row r="31" spans="1:10" s="744" customFormat="1" ht="19.5" customHeight="1" x14ac:dyDescent="0.25">
      <c r="A31" s="1197" t="s">
        <v>823</v>
      </c>
      <c r="B31" s="1197"/>
      <c r="C31" s="1197"/>
      <c r="D31" s="1197"/>
      <c r="E31" s="1197"/>
      <c r="F31" s="1197"/>
      <c r="G31" s="1197"/>
      <c r="H31" s="1197"/>
      <c r="I31" s="1197"/>
      <c r="J31" s="1197"/>
    </row>
    <row r="32" spans="1:10" ht="19.5" customHeight="1" x14ac:dyDescent="0.25">
      <c r="A32" s="1198" t="s">
        <v>824</v>
      </c>
      <c r="B32" s="1198"/>
      <c r="C32" s="780">
        <f t="shared" ref="C32:J32" si="5">(C29-C12)/C12</f>
        <v>0.74825355344807387</v>
      </c>
      <c r="D32" s="780">
        <f t="shared" si="5"/>
        <v>0.71518950942512571</v>
      </c>
      <c r="E32" s="780">
        <f t="shared" si="5"/>
        <v>0.69314681340982709</v>
      </c>
      <c r="F32" s="780">
        <f t="shared" si="5"/>
        <v>0.67740203054175641</v>
      </c>
      <c r="G32" s="780">
        <f t="shared" si="5"/>
        <v>0.66559344339070359</v>
      </c>
      <c r="H32" s="780">
        <f t="shared" si="5"/>
        <v>0.5829333333333333</v>
      </c>
      <c r="I32" s="780">
        <f t="shared" si="5"/>
        <v>0.58293333333333341</v>
      </c>
      <c r="J32" s="781">
        <f t="shared" si="5"/>
        <v>0.5829333333333333</v>
      </c>
    </row>
    <row r="33" spans="1:10" s="744" customFormat="1" ht="19.5" customHeight="1" x14ac:dyDescent="0.25">
      <c r="A33" s="1198" t="s">
        <v>825</v>
      </c>
      <c r="B33" s="1198"/>
      <c r="C33" s="782">
        <f t="shared" ref="C33:J33" si="6">C34/(1+C32)</f>
        <v>47450</v>
      </c>
      <c r="D33" s="782">
        <f t="shared" si="6"/>
        <v>59312.499999999993</v>
      </c>
      <c r="E33" s="782">
        <f t="shared" si="6"/>
        <v>71175</v>
      </c>
      <c r="F33" s="782">
        <f t="shared" si="6"/>
        <v>83037.5</v>
      </c>
      <c r="G33" s="782">
        <f t="shared" si="6"/>
        <v>94900</v>
      </c>
      <c r="H33" s="782">
        <f t="shared" si="6"/>
        <v>142350</v>
      </c>
      <c r="I33" s="782">
        <f t="shared" si="6"/>
        <v>189800</v>
      </c>
      <c r="J33" s="783">
        <f t="shared" si="6"/>
        <v>237250</v>
      </c>
    </row>
    <row r="34" spans="1:10" s="744" customFormat="1" ht="19.5" customHeight="1" x14ac:dyDescent="0.25">
      <c r="A34" s="1199" t="s">
        <v>826</v>
      </c>
      <c r="B34" s="1199"/>
      <c r="C34" s="784">
        <f t="shared" ref="C34:J34" si="7">C13</f>
        <v>82954.631111111099</v>
      </c>
      <c r="D34" s="784">
        <f t="shared" si="7"/>
        <v>101732.17777777776</v>
      </c>
      <c r="E34" s="784">
        <f t="shared" si="7"/>
        <v>120509.72444444445</v>
      </c>
      <c r="F34" s="784">
        <f t="shared" si="7"/>
        <v>139287.2711111111</v>
      </c>
      <c r="G34" s="784">
        <f t="shared" si="7"/>
        <v>158064.81777777776</v>
      </c>
      <c r="H34" s="784">
        <f t="shared" si="7"/>
        <v>225330.56</v>
      </c>
      <c r="I34" s="784">
        <f t="shared" si="7"/>
        <v>300440.7466666667</v>
      </c>
      <c r="J34" s="785">
        <f t="shared" si="7"/>
        <v>375550.93333333335</v>
      </c>
    </row>
    <row r="35" spans="1:10" s="744" customFormat="1" ht="19.5" customHeight="1" x14ac:dyDescent="0.25">
      <c r="A35" s="786"/>
      <c r="B35" s="786"/>
      <c r="C35" s="786"/>
      <c r="D35" s="746"/>
      <c r="E35" s="746"/>
      <c r="F35" s="746"/>
      <c r="G35" s="746"/>
      <c r="H35" s="746"/>
      <c r="I35" s="746"/>
      <c r="J35" s="746"/>
    </row>
    <row r="36" spans="1:10" s="744" customFormat="1" ht="19.5" customHeight="1" x14ac:dyDescent="0.25">
      <c r="A36" s="1200" t="s">
        <v>827</v>
      </c>
      <c r="B36" s="1200"/>
      <c r="C36" s="1200"/>
      <c r="D36" s="1200"/>
      <c r="E36" s="1200"/>
      <c r="F36" s="1200"/>
      <c r="G36" s="1200"/>
      <c r="H36" s="1200"/>
      <c r="I36" s="1200"/>
      <c r="J36" s="1200"/>
    </row>
    <row r="37" spans="1:10" s="744" customFormat="1" ht="16.5" customHeight="1" x14ac:dyDescent="0.25">
      <c r="A37" s="1201" t="s">
        <v>828</v>
      </c>
      <c r="B37" s="1201"/>
      <c r="C37" s="1201"/>
      <c r="D37" s="1201"/>
      <c r="E37" s="1201"/>
      <c r="F37" s="1201"/>
      <c r="G37" s="1201"/>
      <c r="H37" s="1201"/>
      <c r="I37" s="1201"/>
      <c r="J37" s="1201"/>
    </row>
    <row r="38" spans="1:10" s="744" customFormat="1" ht="40.5" customHeight="1" x14ac:dyDescent="0.25">
      <c r="A38" s="1202" t="s">
        <v>829</v>
      </c>
      <c r="B38" s="1202"/>
      <c r="C38" s="1202"/>
      <c r="D38" s="1202"/>
      <c r="E38" s="1202"/>
      <c r="F38" s="1202"/>
      <c r="G38" s="1202"/>
      <c r="H38" s="1202"/>
      <c r="I38" s="1202"/>
      <c r="J38" s="1202"/>
    </row>
    <row r="39" spans="1:10" s="744" customFormat="1" ht="19.5" customHeight="1" x14ac:dyDescent="0.25">
      <c r="A39" s="746"/>
      <c r="B39" s="787"/>
      <c r="C39" s="788"/>
      <c r="D39" s="746"/>
      <c r="E39" s="746"/>
      <c r="F39" s="746"/>
      <c r="G39" s="746"/>
      <c r="H39" s="746"/>
      <c r="I39" s="746"/>
      <c r="J39" s="746"/>
    </row>
    <row r="40" spans="1:10" s="744" customFormat="1" ht="19.5" customHeight="1" x14ac:dyDescent="0.25">
      <c r="A40" s="1191" t="s">
        <v>830</v>
      </c>
      <c r="B40" s="1191"/>
      <c r="C40" s="1191"/>
      <c r="D40" s="1191"/>
      <c r="E40" s="1191"/>
      <c r="F40" s="1191"/>
      <c r="G40" s="1191"/>
      <c r="H40" s="1191"/>
      <c r="I40" s="1191"/>
      <c r="J40" s="1191"/>
    </row>
    <row r="41" spans="1:10" s="744" customFormat="1" ht="19.5" customHeight="1" x14ac:dyDescent="0.25">
      <c r="A41" s="789" t="s">
        <v>831</v>
      </c>
      <c r="B41" s="790">
        <v>0.125</v>
      </c>
      <c r="C41" s="791">
        <f t="shared" ref="C41:J41" si="8">C33*$B$41</f>
        <v>5931.25</v>
      </c>
      <c r="D41" s="791">
        <f t="shared" si="8"/>
        <v>7414.0624999999991</v>
      </c>
      <c r="E41" s="791">
        <f t="shared" si="8"/>
        <v>8896.875</v>
      </c>
      <c r="F41" s="791">
        <f t="shared" si="8"/>
        <v>10379.6875</v>
      </c>
      <c r="G41" s="791">
        <f t="shared" si="8"/>
        <v>11862.5</v>
      </c>
      <c r="H41" s="791">
        <f t="shared" si="8"/>
        <v>17793.75</v>
      </c>
      <c r="I41" s="791">
        <f t="shared" si="8"/>
        <v>23725</v>
      </c>
      <c r="J41" s="792">
        <f t="shared" si="8"/>
        <v>29656.25</v>
      </c>
    </row>
    <row r="42" spans="1:10" s="744" customFormat="1" ht="19.5" customHeight="1" x14ac:dyDescent="0.25">
      <c r="A42" s="793" t="s">
        <v>832</v>
      </c>
      <c r="B42" s="794">
        <v>0.16</v>
      </c>
      <c r="C42" s="795">
        <f t="shared" ref="C42:J42" si="9">C33*$B$42</f>
        <v>7592</v>
      </c>
      <c r="D42" s="795">
        <f t="shared" si="9"/>
        <v>9489.9999999999982</v>
      </c>
      <c r="E42" s="795">
        <f t="shared" si="9"/>
        <v>11388</v>
      </c>
      <c r="F42" s="795">
        <f t="shared" si="9"/>
        <v>13286</v>
      </c>
      <c r="G42" s="795">
        <f t="shared" si="9"/>
        <v>15184</v>
      </c>
      <c r="H42" s="795">
        <f t="shared" si="9"/>
        <v>22776</v>
      </c>
      <c r="I42" s="795">
        <f t="shared" si="9"/>
        <v>30368</v>
      </c>
      <c r="J42" s="796">
        <f t="shared" si="9"/>
        <v>37960</v>
      </c>
    </row>
    <row r="43" spans="1:10" s="744" customFormat="1" ht="19.5" customHeight="1" x14ac:dyDescent="0.25">
      <c r="A43" s="793" t="s">
        <v>833</v>
      </c>
      <c r="B43" s="797">
        <f>B18</f>
        <v>6.9599999999999995E-2</v>
      </c>
      <c r="C43" s="795">
        <f t="shared" ref="C43:J43" si="10">C33*$B$43</f>
        <v>3302.52</v>
      </c>
      <c r="D43" s="795">
        <f t="shared" si="10"/>
        <v>4128.1499999999996</v>
      </c>
      <c r="E43" s="795">
        <f t="shared" si="10"/>
        <v>4953.78</v>
      </c>
      <c r="F43" s="795">
        <f t="shared" si="10"/>
        <v>5779.41</v>
      </c>
      <c r="G43" s="795">
        <f t="shared" si="10"/>
        <v>6605.04</v>
      </c>
      <c r="H43" s="795">
        <f t="shared" si="10"/>
        <v>9907.56</v>
      </c>
      <c r="I43" s="795">
        <f t="shared" si="10"/>
        <v>13210.08</v>
      </c>
      <c r="J43" s="796">
        <f t="shared" si="10"/>
        <v>16512.599999999999</v>
      </c>
    </row>
    <row r="44" spans="1:10" s="744" customFormat="1" ht="19.5" customHeight="1" x14ac:dyDescent="0.25">
      <c r="A44" s="1203" t="s">
        <v>834</v>
      </c>
      <c r="B44" s="1203"/>
      <c r="C44" s="798">
        <f t="shared" ref="C44:J44" si="11">SUM(C41:C43)</f>
        <v>16825.77</v>
      </c>
      <c r="D44" s="798">
        <f t="shared" si="11"/>
        <v>21032.212499999994</v>
      </c>
      <c r="E44" s="798">
        <f t="shared" si="11"/>
        <v>25238.654999999999</v>
      </c>
      <c r="F44" s="798">
        <f t="shared" si="11"/>
        <v>29445.0975</v>
      </c>
      <c r="G44" s="798">
        <f t="shared" si="11"/>
        <v>33651.54</v>
      </c>
      <c r="H44" s="798">
        <f t="shared" si="11"/>
        <v>50477.31</v>
      </c>
      <c r="I44" s="798">
        <f t="shared" si="11"/>
        <v>67303.08</v>
      </c>
      <c r="J44" s="799">
        <f t="shared" si="11"/>
        <v>84128.85</v>
      </c>
    </row>
    <row r="45" spans="1:10" s="744" customFormat="1" ht="28.5" customHeight="1" x14ac:dyDescent="0.25">
      <c r="A45" s="746"/>
      <c r="B45" s="800"/>
      <c r="C45" s="800"/>
      <c r="D45" s="746"/>
      <c r="E45" s="746"/>
      <c r="F45" s="746"/>
      <c r="G45" s="746"/>
      <c r="H45" s="746"/>
      <c r="I45" s="746"/>
      <c r="J45" s="746"/>
    </row>
    <row r="46" spans="1:10" s="744" customFormat="1" ht="65.25" customHeight="1" x14ac:dyDescent="0.25">
      <c r="A46" s="746"/>
      <c r="B46" s="800"/>
      <c r="C46" s="800"/>
      <c r="D46" s="746"/>
      <c r="E46" s="746"/>
      <c r="F46" s="746"/>
      <c r="G46" s="746"/>
      <c r="H46" s="746"/>
      <c r="I46" s="746"/>
      <c r="J46" s="746"/>
    </row>
    <row r="47" spans="1:10" s="744" customFormat="1" ht="19.5" customHeight="1" x14ac:dyDescent="0.25">
      <c r="A47" s="746"/>
      <c r="B47" s="746"/>
      <c r="C47" s="788"/>
      <c r="D47" s="746"/>
      <c r="E47" s="746"/>
      <c r="F47" s="746"/>
      <c r="G47" s="746"/>
      <c r="H47" s="746"/>
      <c r="I47" s="746"/>
      <c r="J47" s="746"/>
    </row>
    <row r="48" spans="1:10" s="744" customFormat="1" ht="19.5" customHeight="1" x14ac:dyDescent="0.25">
      <c r="A48" s="746"/>
      <c r="B48" s="746"/>
      <c r="C48" s="788"/>
      <c r="D48" s="746"/>
      <c r="E48" s="746"/>
      <c r="F48" s="746"/>
      <c r="G48" s="746"/>
      <c r="H48" s="746"/>
      <c r="I48" s="746"/>
      <c r="J48" s="746"/>
    </row>
    <row r="49" spans="3:3" s="744" customFormat="1" ht="19.5" customHeight="1" x14ac:dyDescent="0.25">
      <c r="C49" s="801"/>
    </row>
    <row r="50" spans="3:3" s="744" customFormat="1" ht="19.5" customHeight="1" x14ac:dyDescent="0.25">
      <c r="C50" s="801"/>
    </row>
    <row r="51" spans="3:3" s="744" customFormat="1" ht="19.5" customHeight="1" x14ac:dyDescent="0.25">
      <c r="C51" s="801"/>
    </row>
    <row r="52" spans="3:3" s="744" customFormat="1" ht="19.5" customHeight="1" x14ac:dyDescent="0.25">
      <c r="C52" s="801"/>
    </row>
    <row r="53" spans="3:3" s="744" customFormat="1" ht="19.5" customHeight="1" x14ac:dyDescent="0.25">
      <c r="C53" s="801"/>
    </row>
    <row r="54" spans="3:3" s="744" customFormat="1" ht="19.5" customHeight="1" x14ac:dyDescent="0.25">
      <c r="C54" s="801"/>
    </row>
    <row r="55" spans="3:3" s="744" customFormat="1" ht="19.5" customHeight="1" x14ac:dyDescent="0.25">
      <c r="C55" s="801"/>
    </row>
    <row r="56" spans="3:3" s="744" customFormat="1" ht="19.5" customHeight="1" x14ac:dyDescent="0.25">
      <c r="C56" s="801"/>
    </row>
    <row r="57" spans="3:3" s="744" customFormat="1" ht="19.5" customHeight="1" x14ac:dyDescent="0.25">
      <c r="C57" s="801"/>
    </row>
    <row r="58" spans="3:3" s="744" customFormat="1" ht="19.5" customHeight="1" x14ac:dyDescent="0.25">
      <c r="C58" s="801"/>
    </row>
    <row r="59" spans="3:3" s="744" customFormat="1" ht="19.5" customHeight="1" x14ac:dyDescent="0.25">
      <c r="C59" s="801"/>
    </row>
    <row r="60" spans="3:3" s="744" customFormat="1" ht="19.5" customHeight="1" x14ac:dyDescent="0.25">
      <c r="C60" s="801"/>
    </row>
    <row r="61" spans="3:3" s="744" customFormat="1" ht="19.5" customHeight="1" x14ac:dyDescent="0.25">
      <c r="C61" s="801"/>
    </row>
    <row r="62" spans="3:3" s="744" customFormat="1" ht="19.5" customHeight="1" x14ac:dyDescent="0.25">
      <c r="C62" s="801"/>
    </row>
    <row r="63" spans="3:3" s="744" customFormat="1" ht="19.5" customHeight="1" x14ac:dyDescent="0.25">
      <c r="C63" s="801"/>
    </row>
    <row r="64" spans="3:3" s="744" customFormat="1" ht="19.5" customHeight="1" x14ac:dyDescent="0.25">
      <c r="C64" s="801"/>
    </row>
    <row r="65" spans="3:3" s="744" customFormat="1" ht="19.5" customHeight="1" x14ac:dyDescent="0.25">
      <c r="C65" s="801"/>
    </row>
    <row r="66" spans="3:3" s="744" customFormat="1" ht="19.5" customHeight="1" x14ac:dyDescent="0.25">
      <c r="C66" s="801"/>
    </row>
    <row r="67" spans="3:3" s="744" customFormat="1" ht="19.5" customHeight="1" x14ac:dyDescent="0.25">
      <c r="C67" s="801"/>
    </row>
    <row r="68" spans="3:3" s="744" customFormat="1" ht="19.5" customHeight="1" x14ac:dyDescent="0.25">
      <c r="C68" s="801"/>
    </row>
    <row r="69" spans="3:3" s="744" customFormat="1" ht="19.5" customHeight="1" x14ac:dyDescent="0.25">
      <c r="C69" s="801"/>
    </row>
    <row r="70" spans="3:3" s="744" customFormat="1" ht="19.5" customHeight="1" x14ac:dyDescent="0.25">
      <c r="C70" s="801"/>
    </row>
    <row r="71" spans="3:3" s="744" customFormat="1" ht="19.5" customHeight="1" x14ac:dyDescent="0.25">
      <c r="C71" s="801"/>
    </row>
    <row r="72" spans="3:3" s="744" customFormat="1" ht="19.5" customHeight="1" x14ac:dyDescent="0.25">
      <c r="C72" s="801"/>
    </row>
    <row r="73" spans="3:3" s="744" customFormat="1" ht="19.5" customHeight="1" x14ac:dyDescent="0.25">
      <c r="C73" s="801"/>
    </row>
    <row r="74" spans="3:3" s="744" customFormat="1" ht="19.5" customHeight="1" x14ac:dyDescent="0.25">
      <c r="C74" s="801"/>
    </row>
    <row r="75" spans="3:3" s="744" customFormat="1" ht="19.5" customHeight="1" x14ac:dyDescent="0.25">
      <c r="C75" s="801"/>
    </row>
    <row r="76" spans="3:3" s="744" customFormat="1" ht="19.5" customHeight="1" x14ac:dyDescent="0.25">
      <c r="C76" s="801"/>
    </row>
    <row r="77" spans="3:3" s="744" customFormat="1" ht="19.5" customHeight="1" x14ac:dyDescent="0.25">
      <c r="C77" s="801"/>
    </row>
    <row r="78" spans="3:3" s="744" customFormat="1" ht="19.5" customHeight="1" x14ac:dyDescent="0.25">
      <c r="C78" s="801"/>
    </row>
    <row r="79" spans="3:3" s="744" customFormat="1" ht="19.5" customHeight="1" x14ac:dyDescent="0.25">
      <c r="C79" s="801"/>
    </row>
    <row r="80" spans="3:3" s="744" customFormat="1" ht="19.5" customHeight="1" x14ac:dyDescent="0.25">
      <c r="C80" s="801"/>
    </row>
    <row r="81" spans="3:3" s="744" customFormat="1" ht="19.5" customHeight="1" x14ac:dyDescent="0.25">
      <c r="C81" s="801"/>
    </row>
    <row r="82" spans="3:3" s="744" customFormat="1" ht="19.5" customHeight="1" x14ac:dyDescent="0.25">
      <c r="C82" s="801"/>
    </row>
    <row r="83" spans="3:3" s="744" customFormat="1" ht="19.5" customHeight="1" x14ac:dyDescent="0.25">
      <c r="C83" s="801"/>
    </row>
    <row r="84" spans="3:3" s="744" customFormat="1" ht="19.5" customHeight="1" x14ac:dyDescent="0.25">
      <c r="C84" s="801"/>
    </row>
    <row r="85" spans="3:3" s="744" customFormat="1" ht="19.5" customHeight="1" x14ac:dyDescent="0.25">
      <c r="C85" s="801"/>
    </row>
    <row r="86" spans="3:3" s="744" customFormat="1" ht="19.5" customHeight="1" x14ac:dyDescent="0.25">
      <c r="C86" s="801"/>
    </row>
    <row r="87" spans="3:3" s="744" customFormat="1" ht="19.5" customHeight="1" x14ac:dyDescent="0.25">
      <c r="C87" s="801"/>
    </row>
    <row r="88" spans="3:3" s="744" customFormat="1" ht="19.5" customHeight="1" x14ac:dyDescent="0.25">
      <c r="C88" s="801"/>
    </row>
    <row r="89" spans="3:3" s="744" customFormat="1" ht="19.5" customHeight="1" x14ac:dyDescent="0.25">
      <c r="C89" s="801"/>
    </row>
    <row r="90" spans="3:3" s="744" customFormat="1" ht="19.5" customHeight="1" x14ac:dyDescent="0.25">
      <c r="C90" s="801"/>
    </row>
    <row r="91" spans="3:3" s="744" customFormat="1" ht="19.5" customHeight="1" x14ac:dyDescent="0.25">
      <c r="C91" s="801"/>
    </row>
    <row r="92" spans="3:3" s="744" customFormat="1" ht="19.5" customHeight="1" x14ac:dyDescent="0.25">
      <c r="C92" s="801"/>
    </row>
    <row r="93" spans="3:3" s="744" customFormat="1" ht="19.5" customHeight="1" x14ac:dyDescent="0.25">
      <c r="C93" s="801"/>
    </row>
    <row r="94" spans="3:3" s="744" customFormat="1" ht="19.5" customHeight="1" x14ac:dyDescent="0.25">
      <c r="C94" s="801"/>
    </row>
    <row r="95" spans="3:3" s="744" customFormat="1" ht="19.5" customHeight="1" x14ac:dyDescent="0.25">
      <c r="C95" s="801"/>
    </row>
    <row r="96" spans="3:3" s="744" customFormat="1" ht="19.5" customHeight="1" x14ac:dyDescent="0.25">
      <c r="C96" s="801"/>
    </row>
    <row r="97" spans="3:3" s="744" customFormat="1" ht="19.5" customHeight="1" x14ac:dyDescent="0.25">
      <c r="C97" s="801"/>
    </row>
    <row r="98" spans="3:3" s="744" customFormat="1" ht="19.5" customHeight="1" x14ac:dyDescent="0.25">
      <c r="C98" s="801"/>
    </row>
    <row r="99" spans="3:3" s="744" customFormat="1" ht="19.5" customHeight="1" x14ac:dyDescent="0.25">
      <c r="C99" s="801"/>
    </row>
    <row r="100" spans="3:3" s="744" customFormat="1" ht="19.5" customHeight="1" x14ac:dyDescent="0.25">
      <c r="C100" s="801"/>
    </row>
    <row r="101" spans="3:3" s="744" customFormat="1" ht="19.5" customHeight="1" x14ac:dyDescent="0.25">
      <c r="C101" s="801"/>
    </row>
    <row r="102" spans="3:3" s="744" customFormat="1" ht="19.5" customHeight="1" x14ac:dyDescent="0.25">
      <c r="C102" s="801"/>
    </row>
    <row r="103" spans="3:3" s="744" customFormat="1" ht="19.5" customHeight="1" x14ac:dyDescent="0.25">
      <c r="C103" s="801"/>
    </row>
    <row r="104" spans="3:3" s="744" customFormat="1" ht="19.5" customHeight="1" x14ac:dyDescent="0.25">
      <c r="C104" s="801"/>
    </row>
    <row r="105" spans="3:3" s="744" customFormat="1" ht="19.5" customHeight="1" x14ac:dyDescent="0.25">
      <c r="C105" s="801"/>
    </row>
    <row r="106" spans="3:3" s="744" customFormat="1" ht="19.5" customHeight="1" x14ac:dyDescent="0.25">
      <c r="C106" s="801"/>
    </row>
    <row r="107" spans="3:3" s="744" customFormat="1" ht="19.5" customHeight="1" x14ac:dyDescent="0.25">
      <c r="C107" s="801"/>
    </row>
    <row r="108" spans="3:3" s="744" customFormat="1" ht="19.5" customHeight="1" x14ac:dyDescent="0.25">
      <c r="C108" s="801"/>
    </row>
    <row r="109" spans="3:3" s="744" customFormat="1" ht="19.5" customHeight="1" x14ac:dyDescent="0.25">
      <c r="C109" s="801"/>
    </row>
    <row r="110" spans="3:3" s="744" customFormat="1" ht="19.5" customHeight="1" x14ac:dyDescent="0.25">
      <c r="C110" s="801"/>
    </row>
    <row r="111" spans="3:3" s="744" customFormat="1" ht="19.5" customHeight="1" x14ac:dyDescent="0.25">
      <c r="C111" s="801"/>
    </row>
    <row r="112" spans="3:3" s="744" customFormat="1" ht="19.5" customHeight="1" x14ac:dyDescent="0.25">
      <c r="C112" s="801"/>
    </row>
    <row r="113" spans="3:3" s="744" customFormat="1" ht="19.5" customHeight="1" x14ac:dyDescent="0.25">
      <c r="C113" s="801"/>
    </row>
    <row r="114" spans="3:3" s="744" customFormat="1" ht="19.5" customHeight="1" x14ac:dyDescent="0.25">
      <c r="C114" s="801"/>
    </row>
    <row r="115" spans="3:3" s="744" customFormat="1" ht="19.5" customHeight="1" x14ac:dyDescent="0.25">
      <c r="C115" s="801"/>
    </row>
    <row r="116" spans="3:3" s="744" customFormat="1" ht="19.5" customHeight="1" x14ac:dyDescent="0.25">
      <c r="C116" s="801"/>
    </row>
    <row r="117" spans="3:3" s="744" customFormat="1" ht="19.5" customHeight="1" x14ac:dyDescent="0.25">
      <c r="C117" s="801"/>
    </row>
    <row r="118" spans="3:3" s="744" customFormat="1" ht="19.5" customHeight="1" x14ac:dyDescent="0.25">
      <c r="C118" s="801"/>
    </row>
    <row r="119" spans="3:3" s="744" customFormat="1" ht="19.5" customHeight="1" x14ac:dyDescent="0.25">
      <c r="C119" s="801"/>
    </row>
    <row r="120" spans="3:3" s="744" customFormat="1" ht="19.5" customHeight="1" x14ac:dyDescent="0.25">
      <c r="C120" s="801"/>
    </row>
    <row r="121" spans="3:3" s="744" customFormat="1" ht="19.5" customHeight="1" x14ac:dyDescent="0.25">
      <c r="C121" s="801"/>
    </row>
    <row r="122" spans="3:3" s="744" customFormat="1" ht="19.5" customHeight="1" x14ac:dyDescent="0.25">
      <c r="C122" s="801"/>
    </row>
    <row r="123" spans="3:3" s="744" customFormat="1" ht="19.5" customHeight="1" x14ac:dyDescent="0.25">
      <c r="C123" s="801"/>
    </row>
    <row r="124" spans="3:3" s="744" customFormat="1" ht="19.5" customHeight="1" x14ac:dyDescent="0.25">
      <c r="C124" s="801"/>
    </row>
    <row r="125" spans="3:3" s="744" customFormat="1" ht="19.5" customHeight="1" x14ac:dyDescent="0.25">
      <c r="C125" s="801"/>
    </row>
    <row r="126" spans="3:3" s="744" customFormat="1" ht="19.5" customHeight="1" x14ac:dyDescent="0.25">
      <c r="C126" s="801"/>
    </row>
    <row r="127" spans="3:3" s="744" customFormat="1" ht="19.5" customHeight="1" x14ac:dyDescent="0.25">
      <c r="C127" s="801"/>
    </row>
    <row r="128" spans="3:3" s="744" customFormat="1" ht="19.5" customHeight="1" x14ac:dyDescent="0.25">
      <c r="C128" s="801"/>
    </row>
    <row r="129" spans="3:3" s="744" customFormat="1" ht="19.5" customHeight="1" x14ac:dyDescent="0.25">
      <c r="C129" s="801"/>
    </row>
    <row r="130" spans="3:3" s="744" customFormat="1" ht="19.5" customHeight="1" x14ac:dyDescent="0.25">
      <c r="C130" s="801"/>
    </row>
    <row r="131" spans="3:3" s="744" customFormat="1" ht="19.5" customHeight="1" x14ac:dyDescent="0.25">
      <c r="C131" s="801"/>
    </row>
    <row r="132" spans="3:3" s="744" customFormat="1" ht="19.5" customHeight="1" x14ac:dyDescent="0.25">
      <c r="C132" s="801"/>
    </row>
    <row r="133" spans="3:3" s="744" customFormat="1" ht="19.5" customHeight="1" x14ac:dyDescent="0.25">
      <c r="C133" s="801"/>
    </row>
    <row r="134" spans="3:3" s="744" customFormat="1" ht="19.5" customHeight="1" x14ac:dyDescent="0.25">
      <c r="C134" s="801"/>
    </row>
    <row r="135" spans="3:3" s="744" customFormat="1" ht="19.5" customHeight="1" x14ac:dyDescent="0.25">
      <c r="C135" s="801"/>
    </row>
    <row r="136" spans="3:3" s="744" customFormat="1" ht="19.5" customHeight="1" x14ac:dyDescent="0.25">
      <c r="C136" s="801"/>
    </row>
    <row r="137" spans="3:3" s="744" customFormat="1" ht="19.5" customHeight="1" x14ac:dyDescent="0.25">
      <c r="C137" s="801"/>
    </row>
    <row r="138" spans="3:3" s="744" customFormat="1" ht="19.5" customHeight="1" x14ac:dyDescent="0.25">
      <c r="C138" s="801"/>
    </row>
    <row r="139" spans="3:3" s="744" customFormat="1" ht="19.5" customHeight="1" x14ac:dyDescent="0.25">
      <c r="C139" s="801"/>
    </row>
    <row r="140" spans="3:3" s="744" customFormat="1" ht="19.5" customHeight="1" x14ac:dyDescent="0.25">
      <c r="C140" s="801"/>
    </row>
    <row r="141" spans="3:3" s="744" customFormat="1" ht="19.5" customHeight="1" x14ac:dyDescent="0.25">
      <c r="C141" s="801"/>
    </row>
    <row r="142" spans="3:3" s="744" customFormat="1" ht="19.5" customHeight="1" x14ac:dyDescent="0.25">
      <c r="C142" s="801"/>
    </row>
    <row r="143" spans="3:3" s="744" customFormat="1" ht="19.5" customHeight="1" x14ac:dyDescent="0.25">
      <c r="C143" s="801"/>
    </row>
    <row r="144" spans="3:3" s="744" customFormat="1" ht="19.5" customHeight="1" x14ac:dyDescent="0.25">
      <c r="C144" s="801"/>
    </row>
    <row r="145" spans="3:3" s="744" customFormat="1" ht="19.5" customHeight="1" x14ac:dyDescent="0.25">
      <c r="C145" s="801"/>
    </row>
    <row r="146" spans="3:3" s="744" customFormat="1" ht="19.5" customHeight="1" x14ac:dyDescent="0.25">
      <c r="C146" s="801"/>
    </row>
    <row r="147" spans="3:3" s="744" customFormat="1" ht="19.5" customHeight="1" x14ac:dyDescent="0.25">
      <c r="C147" s="801"/>
    </row>
    <row r="148" spans="3:3" s="744" customFormat="1" ht="19.5" customHeight="1" x14ac:dyDescent="0.25">
      <c r="C148" s="801"/>
    </row>
    <row r="149" spans="3:3" s="744" customFormat="1" ht="19.5" customHeight="1" x14ac:dyDescent="0.25">
      <c r="C149" s="801"/>
    </row>
    <row r="150" spans="3:3" s="744" customFormat="1" ht="19.5" customHeight="1" x14ac:dyDescent="0.25">
      <c r="C150" s="801"/>
    </row>
    <row r="151" spans="3:3" s="744" customFormat="1" ht="19.5" customHeight="1" x14ac:dyDescent="0.25">
      <c r="C151" s="801"/>
    </row>
    <row r="152" spans="3:3" s="744" customFormat="1" ht="19.5" customHeight="1" x14ac:dyDescent="0.25">
      <c r="C152" s="801"/>
    </row>
    <row r="153" spans="3:3" s="744" customFormat="1" ht="19.5" customHeight="1" x14ac:dyDescent="0.25">
      <c r="C153" s="801"/>
    </row>
    <row r="154" spans="3:3" s="744" customFormat="1" ht="19.5" customHeight="1" x14ac:dyDescent="0.25">
      <c r="C154" s="801"/>
    </row>
    <row r="155" spans="3:3" s="744" customFormat="1" ht="19.5" customHeight="1" x14ac:dyDescent="0.25">
      <c r="C155" s="801"/>
    </row>
  </sheetData>
  <sheetProtection algorithmName="SHA-512" hashValue="1vKKuMdH/V85+TT00w5sz6Zmlh1h+TiKKXqh5dVJ4khVSF0Bcq7hfX4zo85IP/h2+yl9AwLzQYq1FRKWg5CQhQ==" saltValue="zj6xAGRDGokse9s5xrWtNQ==" spinCount="100000" sheet="1" formatCells="0" formatColumns="0" formatRows="0" insertRows="0" autoFilter="0" pivotTables="0"/>
  <mergeCells count="28">
    <mergeCell ref="A40:J40"/>
    <mergeCell ref="A44:B44"/>
    <mergeCell ref="A33:B33"/>
    <mergeCell ref="A34:B34"/>
    <mergeCell ref="A36:J36"/>
    <mergeCell ref="A37:J37"/>
    <mergeCell ref="A38:J38"/>
    <mergeCell ref="A23:B23"/>
    <mergeCell ref="A28:B28"/>
    <mergeCell ref="A29:B29"/>
    <mergeCell ref="A31:J31"/>
    <mergeCell ref="A32:B32"/>
    <mergeCell ref="A11:B11"/>
    <mergeCell ref="A12:B12"/>
    <mergeCell ref="A13:B13"/>
    <mergeCell ref="A15:B15"/>
    <mergeCell ref="A19:B19"/>
    <mergeCell ref="A7:C7"/>
    <mergeCell ref="D7:J7"/>
    <mergeCell ref="A8:C8"/>
    <mergeCell ref="D8:J8"/>
    <mergeCell ref="A10:J10"/>
    <mergeCell ref="E1:H1"/>
    <mergeCell ref="E2:H2"/>
    <mergeCell ref="A5:C5"/>
    <mergeCell ref="D5:J5"/>
    <mergeCell ref="A6:C6"/>
    <mergeCell ref="D6:J6"/>
  </mergeCells>
  <printOptions horizontalCentered="1"/>
  <pageMargins left="0" right="0" top="0" bottom="0" header="0.511811023622047" footer="0.511811023622047"/>
  <pageSetup fitToHeight="0" orientation="landscape" horizontalDpi="300" verticalDpi="300"/>
  <drawing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K120"/>
  <sheetViews>
    <sheetView showGridLines="0" zoomScale="115" zoomScaleNormal="115" workbookViewId="0">
      <selection activeCell="G6" sqref="G6"/>
    </sheetView>
  </sheetViews>
  <sheetFormatPr baseColWidth="10" defaultColWidth="18.77734375" defaultRowHeight="18" customHeight="1" x14ac:dyDescent="0.25"/>
  <cols>
    <col min="1" max="1" width="18.33203125" style="802" customWidth="1"/>
    <col min="2" max="2" width="17.33203125" style="802" customWidth="1"/>
    <col min="3" max="3" width="20.77734375" style="802" customWidth="1"/>
    <col min="4" max="4" width="23.109375" style="802" customWidth="1"/>
    <col min="5" max="5" width="17.33203125" style="802" customWidth="1"/>
    <col min="6" max="6" width="21.33203125" style="802" customWidth="1"/>
    <col min="7" max="16384" width="18.77734375" style="802"/>
  </cols>
  <sheetData>
    <row r="1" spans="1:11" s="15" customFormat="1" ht="39" customHeight="1" x14ac:dyDescent="0.25">
      <c r="B1" s="1129" t="str">
        <f>Instructivo!F1</f>
        <v>Sistema de Gestión Integral (SGI)
Instructivo - Componente Financiero EP
Código: F-PGC-21. Versión: 05</v>
      </c>
      <c r="C1" s="1129"/>
      <c r="D1" s="1129"/>
      <c r="E1" s="1129"/>
      <c r="F1" s="132" t="s">
        <v>102</v>
      </c>
    </row>
    <row r="2" spans="1:11" s="15" customFormat="1" ht="17.25" customHeight="1" x14ac:dyDescent="0.25">
      <c r="B2" s="1173" t="s">
        <v>835</v>
      </c>
      <c r="C2" s="1173"/>
      <c r="D2" s="1173"/>
      <c r="E2" s="1173"/>
      <c r="I2" s="441"/>
      <c r="J2" s="420"/>
      <c r="K2" s="378"/>
    </row>
    <row r="3" spans="1:11" ht="7.5" customHeight="1" x14ac:dyDescent="0.25"/>
    <row r="4" spans="1:11" ht="7.5" customHeight="1" x14ac:dyDescent="0.25">
      <c r="A4" s="405"/>
      <c r="B4" s="136"/>
      <c r="C4" s="136"/>
      <c r="D4" s="136"/>
      <c r="E4" s="136"/>
      <c r="F4" s="136"/>
    </row>
    <row r="5" spans="1:11" ht="18" customHeight="1" x14ac:dyDescent="0.25">
      <c r="A5" s="803" t="s">
        <v>676</v>
      </c>
      <c r="B5" s="1204">
        <v>2025</v>
      </c>
      <c r="C5" s="1204"/>
      <c r="D5" s="1204"/>
      <c r="E5" s="1204"/>
      <c r="F5" s="1204"/>
    </row>
    <row r="6" spans="1:11" ht="28.5" customHeight="1" x14ac:dyDescent="0.25">
      <c r="A6" s="804" t="s">
        <v>836</v>
      </c>
      <c r="B6" s="1205" t="s">
        <v>837</v>
      </c>
      <c r="C6" s="1205"/>
      <c r="D6" s="1205"/>
      <c r="E6" s="1205"/>
      <c r="F6" s="1205"/>
    </row>
    <row r="7" spans="1:11" ht="18" customHeight="1" x14ac:dyDescent="0.25">
      <c r="A7" s="405"/>
      <c r="B7" s="136"/>
      <c r="C7" s="136"/>
      <c r="D7" s="136"/>
      <c r="E7" s="136"/>
      <c r="F7" s="136"/>
    </row>
    <row r="8" spans="1:11" ht="30" customHeight="1" x14ac:dyDescent="0.25">
      <c r="A8" s="1206" t="s">
        <v>838</v>
      </c>
      <c r="B8" s="1206"/>
      <c r="C8" s="1206"/>
      <c r="D8" s="1206"/>
      <c r="E8" s="1206"/>
      <c r="F8" s="1206"/>
    </row>
    <row r="10" spans="1:11" ht="18" customHeight="1" x14ac:dyDescent="0.25">
      <c r="A10" s="1207" t="s">
        <v>839</v>
      </c>
      <c r="B10" s="1207"/>
      <c r="C10" s="1207"/>
      <c r="D10" s="1207"/>
      <c r="E10" s="1207"/>
      <c r="F10" s="1207"/>
    </row>
    <row r="11" spans="1:11" ht="44.25" customHeight="1" x14ac:dyDescent="0.25">
      <c r="A11" s="805" t="s">
        <v>840</v>
      </c>
      <c r="B11" s="806" t="s">
        <v>841</v>
      </c>
      <c r="C11" s="806" t="s">
        <v>842</v>
      </c>
      <c r="D11" s="806" t="s">
        <v>843</v>
      </c>
      <c r="E11" s="806" t="s">
        <v>844</v>
      </c>
      <c r="F11" s="807" t="s">
        <v>845</v>
      </c>
    </row>
    <row r="12" spans="1:11" ht="18" customHeight="1" x14ac:dyDescent="0.25">
      <c r="A12" s="808" t="s">
        <v>846</v>
      </c>
      <c r="B12" s="809">
        <v>0</v>
      </c>
      <c r="C12" s="810">
        <f t="shared" ref="C12:C43" si="0">B12*1.1088</f>
        <v>0</v>
      </c>
      <c r="D12" s="811">
        <f t="shared" ref="D12:D43" si="1">C12*1.67</f>
        <v>0</v>
      </c>
      <c r="E12" s="811">
        <f t="shared" ref="E12:E43" si="2">D12/21</f>
        <v>0</v>
      </c>
      <c r="F12" s="812">
        <f t="shared" ref="F12:F43" si="3">E12/8.8</f>
        <v>0</v>
      </c>
    </row>
    <row r="13" spans="1:11" ht="18" customHeight="1" x14ac:dyDescent="0.25">
      <c r="A13" s="808" t="s">
        <v>847</v>
      </c>
      <c r="B13" s="809">
        <v>1423500</v>
      </c>
      <c r="C13" s="810">
        <f t="shared" si="0"/>
        <v>1578376.8</v>
      </c>
      <c r="D13" s="811">
        <f t="shared" si="1"/>
        <v>2635889.2560000001</v>
      </c>
      <c r="E13" s="811">
        <f t="shared" si="2"/>
        <v>125518.53600000001</v>
      </c>
      <c r="F13" s="812">
        <f t="shared" si="3"/>
        <v>14263.47</v>
      </c>
    </row>
    <row r="14" spans="1:11" ht="18" customHeight="1" x14ac:dyDescent="0.25">
      <c r="A14" s="808" t="s">
        <v>848</v>
      </c>
      <c r="B14" s="809">
        <v>1527564</v>
      </c>
      <c r="C14" s="810">
        <f t="shared" si="0"/>
        <v>1693762.9632000001</v>
      </c>
      <c r="D14" s="811">
        <f t="shared" si="1"/>
        <v>2828584.148544</v>
      </c>
      <c r="E14" s="811">
        <f t="shared" si="2"/>
        <v>134694.48326400001</v>
      </c>
      <c r="F14" s="812">
        <f t="shared" si="3"/>
        <v>15306.191279999999</v>
      </c>
    </row>
    <row r="15" spans="1:11" ht="18" customHeight="1" x14ac:dyDescent="0.25">
      <c r="A15" s="808" t="s">
        <v>849</v>
      </c>
      <c r="B15" s="809">
        <v>1618569</v>
      </c>
      <c r="C15" s="810">
        <f t="shared" si="0"/>
        <v>1794669.3071999999</v>
      </c>
      <c r="D15" s="811">
        <f t="shared" si="1"/>
        <v>2997097.743024</v>
      </c>
      <c r="E15" s="811">
        <f t="shared" si="2"/>
        <v>142718.94014399999</v>
      </c>
      <c r="F15" s="812">
        <f t="shared" si="3"/>
        <v>16218.061379999997</v>
      </c>
    </row>
    <row r="16" spans="1:11" ht="18" customHeight="1" x14ac:dyDescent="0.25">
      <c r="A16" s="808" t="s">
        <v>850</v>
      </c>
      <c r="B16" s="809">
        <v>1721822</v>
      </c>
      <c r="C16" s="810">
        <f t="shared" si="0"/>
        <v>1909156.2335999999</v>
      </c>
      <c r="D16" s="811">
        <f t="shared" si="1"/>
        <v>3188290.9101119996</v>
      </c>
      <c r="E16" s="811">
        <f t="shared" si="2"/>
        <v>151823.37667199998</v>
      </c>
      <c r="F16" s="812">
        <f t="shared" si="3"/>
        <v>17252.656439999995</v>
      </c>
    </row>
    <row r="17" spans="1:6" ht="18" customHeight="1" x14ac:dyDescent="0.25">
      <c r="A17" s="808" t="s">
        <v>851</v>
      </c>
      <c r="B17" s="809">
        <v>1892480</v>
      </c>
      <c r="C17" s="810">
        <f t="shared" si="0"/>
        <v>2098381.824</v>
      </c>
      <c r="D17" s="811">
        <f t="shared" si="1"/>
        <v>3504297.6460799999</v>
      </c>
      <c r="E17" s="811">
        <f t="shared" si="2"/>
        <v>166871.31647999998</v>
      </c>
      <c r="F17" s="812">
        <f t="shared" si="3"/>
        <v>18962.649599999997</v>
      </c>
    </row>
    <row r="18" spans="1:6" ht="18" customHeight="1" x14ac:dyDescent="0.25">
      <c r="A18" s="808" t="s">
        <v>852</v>
      </c>
      <c r="B18" s="809">
        <v>2042712</v>
      </c>
      <c r="C18" s="810">
        <f t="shared" si="0"/>
        <v>2264959.0655999999</v>
      </c>
      <c r="D18" s="811">
        <f t="shared" si="1"/>
        <v>3782481.6395519995</v>
      </c>
      <c r="E18" s="811">
        <f t="shared" si="2"/>
        <v>180118.17331199997</v>
      </c>
      <c r="F18" s="812">
        <f t="shared" si="3"/>
        <v>20467.974239999996</v>
      </c>
    </row>
    <row r="19" spans="1:6" ht="18" customHeight="1" x14ac:dyDescent="0.25">
      <c r="A19" s="808" t="s">
        <v>853</v>
      </c>
      <c r="B19" s="809">
        <v>2193336</v>
      </c>
      <c r="C19" s="810">
        <f t="shared" si="0"/>
        <v>2431970.9567999998</v>
      </c>
      <c r="D19" s="811">
        <f t="shared" si="1"/>
        <v>4061391.4978559995</v>
      </c>
      <c r="E19" s="811">
        <f t="shared" si="2"/>
        <v>193399.59513599999</v>
      </c>
      <c r="F19" s="812">
        <f t="shared" si="3"/>
        <v>21977.226719999999</v>
      </c>
    </row>
    <row r="20" spans="1:6" ht="18" customHeight="1" x14ac:dyDescent="0.25">
      <c r="A20" s="808" t="s">
        <v>854</v>
      </c>
      <c r="B20" s="809">
        <v>2264237</v>
      </c>
      <c r="C20" s="810">
        <f t="shared" si="0"/>
        <v>2510585.9856000002</v>
      </c>
      <c r="D20" s="811">
        <f t="shared" si="1"/>
        <v>4192678.595952</v>
      </c>
      <c r="E20" s="811">
        <f t="shared" si="2"/>
        <v>199651.36171200001</v>
      </c>
      <c r="F20" s="812">
        <f t="shared" si="3"/>
        <v>22687.654739999998</v>
      </c>
    </row>
    <row r="21" spans="1:6" ht="18" customHeight="1" x14ac:dyDescent="0.25">
      <c r="A21" s="808" t="s">
        <v>855</v>
      </c>
      <c r="B21" s="809">
        <v>2313840</v>
      </c>
      <c r="C21" s="810">
        <f t="shared" si="0"/>
        <v>2565585.7919999999</v>
      </c>
      <c r="D21" s="811">
        <f t="shared" si="1"/>
        <v>4284528.2726400001</v>
      </c>
      <c r="E21" s="811">
        <f t="shared" si="2"/>
        <v>204025.15583999999</v>
      </c>
      <c r="F21" s="812">
        <f t="shared" si="3"/>
        <v>23184.676799999997</v>
      </c>
    </row>
    <row r="22" spans="1:6" ht="18" customHeight="1" x14ac:dyDescent="0.25">
      <c r="A22" s="808" t="s">
        <v>856</v>
      </c>
      <c r="B22" s="809">
        <v>2385758</v>
      </c>
      <c r="C22" s="810">
        <f t="shared" si="0"/>
        <v>2645328.4704</v>
      </c>
      <c r="D22" s="811">
        <f t="shared" si="1"/>
        <v>4417698.5455679996</v>
      </c>
      <c r="E22" s="811">
        <f t="shared" si="2"/>
        <v>210366.59740799997</v>
      </c>
      <c r="F22" s="812">
        <f t="shared" si="3"/>
        <v>23905.295159999994</v>
      </c>
    </row>
    <row r="23" spans="1:6" ht="18" customHeight="1" x14ac:dyDescent="0.25">
      <c r="A23" s="808" t="s">
        <v>857</v>
      </c>
      <c r="B23" s="809">
        <v>2491836</v>
      </c>
      <c r="C23" s="810">
        <f t="shared" si="0"/>
        <v>2762947.7568000001</v>
      </c>
      <c r="D23" s="811">
        <f t="shared" si="1"/>
        <v>4614122.7538559996</v>
      </c>
      <c r="E23" s="811">
        <f t="shared" si="2"/>
        <v>219720.13113599998</v>
      </c>
      <c r="F23" s="812">
        <f t="shared" si="3"/>
        <v>24968.196719999996</v>
      </c>
    </row>
    <row r="24" spans="1:6" ht="18" customHeight="1" x14ac:dyDescent="0.25">
      <c r="A24" s="808" t="s">
        <v>858</v>
      </c>
      <c r="B24" s="809">
        <v>2544458</v>
      </c>
      <c r="C24" s="810">
        <f t="shared" si="0"/>
        <v>2821295.0304</v>
      </c>
      <c r="D24" s="811">
        <f t="shared" si="1"/>
        <v>4711562.7007679995</v>
      </c>
      <c r="E24" s="811">
        <f t="shared" si="2"/>
        <v>224360.12860799997</v>
      </c>
      <c r="F24" s="812">
        <f t="shared" si="3"/>
        <v>25495.469159999993</v>
      </c>
    </row>
    <row r="25" spans="1:6" ht="18" customHeight="1" x14ac:dyDescent="0.25">
      <c r="A25" s="808" t="s">
        <v>859</v>
      </c>
      <c r="B25" s="809">
        <v>2607573</v>
      </c>
      <c r="C25" s="810">
        <f t="shared" si="0"/>
        <v>2891276.9424000001</v>
      </c>
      <c r="D25" s="811">
        <f t="shared" si="1"/>
        <v>4828432.4938080003</v>
      </c>
      <c r="E25" s="811">
        <f t="shared" si="2"/>
        <v>229925.35684800002</v>
      </c>
      <c r="F25" s="812">
        <f t="shared" si="3"/>
        <v>26127.881460000001</v>
      </c>
    </row>
    <row r="26" spans="1:6" ht="18" customHeight="1" x14ac:dyDescent="0.25">
      <c r="A26" s="808" t="s">
        <v>860</v>
      </c>
      <c r="B26" s="809">
        <v>2674838</v>
      </c>
      <c r="C26" s="810">
        <f t="shared" si="0"/>
        <v>2965860.3744000001</v>
      </c>
      <c r="D26" s="811">
        <f t="shared" si="1"/>
        <v>4952986.8252480002</v>
      </c>
      <c r="E26" s="811">
        <f t="shared" si="2"/>
        <v>235856.515488</v>
      </c>
      <c r="F26" s="812">
        <f t="shared" si="3"/>
        <v>26801.876759999999</v>
      </c>
    </row>
    <row r="27" spans="1:6" ht="18" customHeight="1" x14ac:dyDescent="0.25">
      <c r="A27" s="808" t="s">
        <v>861</v>
      </c>
      <c r="B27" s="809">
        <v>2757944</v>
      </c>
      <c r="C27" s="810">
        <f t="shared" si="0"/>
        <v>3058008.3072000002</v>
      </c>
      <c r="D27" s="811">
        <f t="shared" si="1"/>
        <v>5106873.8730239999</v>
      </c>
      <c r="E27" s="811">
        <f t="shared" si="2"/>
        <v>243184.47014399999</v>
      </c>
      <c r="F27" s="812">
        <f t="shared" si="3"/>
        <v>27634.598879999998</v>
      </c>
    </row>
    <row r="28" spans="1:6" ht="18" customHeight="1" x14ac:dyDescent="0.25">
      <c r="A28" s="808" t="s">
        <v>862</v>
      </c>
      <c r="B28" s="809">
        <v>2874013</v>
      </c>
      <c r="C28" s="810">
        <f t="shared" si="0"/>
        <v>3186705.6143999998</v>
      </c>
      <c r="D28" s="811">
        <f t="shared" si="1"/>
        <v>5321798.3760479996</v>
      </c>
      <c r="E28" s="811">
        <f t="shared" si="2"/>
        <v>253418.97028799998</v>
      </c>
      <c r="F28" s="812">
        <f t="shared" si="3"/>
        <v>28797.610259999994</v>
      </c>
    </row>
    <row r="29" spans="1:6" ht="18" customHeight="1" x14ac:dyDescent="0.25">
      <c r="A29" s="808" t="s">
        <v>863</v>
      </c>
      <c r="B29" s="809">
        <v>3049860</v>
      </c>
      <c r="C29" s="810">
        <f t="shared" si="0"/>
        <v>3381684.7680000002</v>
      </c>
      <c r="D29" s="811">
        <f t="shared" si="1"/>
        <v>5647413.5625600005</v>
      </c>
      <c r="E29" s="811">
        <f t="shared" si="2"/>
        <v>268924.45536000002</v>
      </c>
      <c r="F29" s="812">
        <f t="shared" si="3"/>
        <v>30559.5972</v>
      </c>
    </row>
    <row r="30" spans="1:6" ht="18" customHeight="1" x14ac:dyDescent="0.25">
      <c r="A30" s="808" t="s">
        <v>864</v>
      </c>
      <c r="B30" s="809">
        <v>3367598</v>
      </c>
      <c r="C30" s="810">
        <f t="shared" si="0"/>
        <v>3733992.6623999998</v>
      </c>
      <c r="D30" s="811">
        <f t="shared" si="1"/>
        <v>6235767.7462079991</v>
      </c>
      <c r="E30" s="811">
        <f t="shared" si="2"/>
        <v>296941.32124799996</v>
      </c>
      <c r="F30" s="812">
        <f t="shared" si="3"/>
        <v>33743.331959999996</v>
      </c>
    </row>
    <row r="31" spans="1:6" ht="18" customHeight="1" x14ac:dyDescent="0.25">
      <c r="A31" s="808" t="s">
        <v>865</v>
      </c>
      <c r="B31" s="809">
        <v>3673076</v>
      </c>
      <c r="C31" s="810">
        <f t="shared" si="0"/>
        <v>4072706.6688000001</v>
      </c>
      <c r="D31" s="811">
        <f t="shared" si="1"/>
        <v>6801420.1368960002</v>
      </c>
      <c r="E31" s="811">
        <f t="shared" si="2"/>
        <v>323877.14937599999</v>
      </c>
      <c r="F31" s="812">
        <f t="shared" si="3"/>
        <v>36804.221519999999</v>
      </c>
    </row>
    <row r="32" spans="1:6" ht="18" customHeight="1" x14ac:dyDescent="0.25">
      <c r="A32" s="808" t="s">
        <v>866</v>
      </c>
      <c r="B32" s="809">
        <v>4073782</v>
      </c>
      <c r="C32" s="810">
        <f t="shared" si="0"/>
        <v>4517009.4815999996</v>
      </c>
      <c r="D32" s="811">
        <f t="shared" si="1"/>
        <v>7543405.8342719991</v>
      </c>
      <c r="E32" s="811">
        <f t="shared" si="2"/>
        <v>359209.80163199996</v>
      </c>
      <c r="F32" s="812">
        <f t="shared" si="3"/>
        <v>40819.295639999989</v>
      </c>
    </row>
    <row r="33" spans="1:6" ht="18" customHeight="1" x14ac:dyDescent="0.25">
      <c r="A33" s="813" t="s">
        <v>867</v>
      </c>
      <c r="B33" s="814">
        <v>4431758</v>
      </c>
      <c r="C33" s="815">
        <f t="shared" si="0"/>
        <v>4913933.2703999998</v>
      </c>
      <c r="D33" s="816">
        <f t="shared" si="1"/>
        <v>8206268.5615679994</v>
      </c>
      <c r="E33" s="816">
        <f t="shared" si="2"/>
        <v>390774.69340799999</v>
      </c>
      <c r="F33" s="817">
        <f t="shared" si="3"/>
        <v>44406.215159999992</v>
      </c>
    </row>
    <row r="34" spans="1:6" ht="18" customHeight="1" x14ac:dyDescent="0.25">
      <c r="A34" s="818" t="s">
        <v>868</v>
      </c>
      <c r="B34" s="819">
        <v>1423500</v>
      </c>
      <c r="C34" s="820">
        <f t="shared" si="0"/>
        <v>1578376.8</v>
      </c>
      <c r="D34" s="821">
        <f t="shared" si="1"/>
        <v>2635889.2560000001</v>
      </c>
      <c r="E34" s="821">
        <f t="shared" si="2"/>
        <v>125518.53600000001</v>
      </c>
      <c r="F34" s="822">
        <f t="shared" si="3"/>
        <v>14263.47</v>
      </c>
    </row>
    <row r="35" spans="1:6" ht="18" customHeight="1" x14ac:dyDescent="0.25">
      <c r="A35" s="823" t="s">
        <v>869</v>
      </c>
      <c r="B35" s="824">
        <v>1527564</v>
      </c>
      <c r="C35" s="810">
        <f t="shared" si="0"/>
        <v>1693762.9632000001</v>
      </c>
      <c r="D35" s="811">
        <f t="shared" si="1"/>
        <v>2828584.148544</v>
      </c>
      <c r="E35" s="811">
        <f t="shared" si="2"/>
        <v>134694.48326400001</v>
      </c>
      <c r="F35" s="812">
        <f t="shared" si="3"/>
        <v>15306.191279999999</v>
      </c>
    </row>
    <row r="36" spans="1:6" ht="18" customHeight="1" x14ac:dyDescent="0.25">
      <c r="A36" s="823" t="s">
        <v>870</v>
      </c>
      <c r="B36" s="824">
        <v>1618569</v>
      </c>
      <c r="C36" s="810">
        <f t="shared" si="0"/>
        <v>1794669.3071999999</v>
      </c>
      <c r="D36" s="811">
        <f t="shared" si="1"/>
        <v>2997097.743024</v>
      </c>
      <c r="E36" s="811">
        <f t="shared" si="2"/>
        <v>142718.94014399999</v>
      </c>
      <c r="F36" s="812">
        <f t="shared" si="3"/>
        <v>16218.061379999997</v>
      </c>
    </row>
    <row r="37" spans="1:6" ht="18" customHeight="1" x14ac:dyDescent="0.25">
      <c r="A37" s="823" t="s">
        <v>871</v>
      </c>
      <c r="B37" s="824">
        <v>1721822</v>
      </c>
      <c r="C37" s="810">
        <f t="shared" si="0"/>
        <v>1909156.2335999999</v>
      </c>
      <c r="D37" s="811">
        <f t="shared" si="1"/>
        <v>3188290.9101119996</v>
      </c>
      <c r="E37" s="811">
        <f t="shared" si="2"/>
        <v>151823.37667199998</v>
      </c>
      <c r="F37" s="812">
        <f t="shared" si="3"/>
        <v>17252.656439999995</v>
      </c>
    </row>
    <row r="38" spans="1:6" ht="18" customHeight="1" x14ac:dyDescent="0.25">
      <c r="A38" s="823" t="s">
        <v>872</v>
      </c>
      <c r="B38" s="824">
        <v>2072338</v>
      </c>
      <c r="C38" s="810">
        <f t="shared" si="0"/>
        <v>2297808.3744000001</v>
      </c>
      <c r="D38" s="811">
        <f t="shared" si="1"/>
        <v>3837339.9852479999</v>
      </c>
      <c r="E38" s="811">
        <f t="shared" si="2"/>
        <v>182730.475488</v>
      </c>
      <c r="F38" s="812">
        <f t="shared" si="3"/>
        <v>20764.826759999996</v>
      </c>
    </row>
    <row r="39" spans="1:6" ht="18" customHeight="1" x14ac:dyDescent="0.25">
      <c r="A39" s="823" t="s">
        <v>873</v>
      </c>
      <c r="B39" s="824">
        <v>2208264</v>
      </c>
      <c r="C39" s="810">
        <f t="shared" si="0"/>
        <v>2448523.1231999998</v>
      </c>
      <c r="D39" s="811">
        <f t="shared" si="1"/>
        <v>4089033.6157439994</v>
      </c>
      <c r="E39" s="811">
        <f t="shared" si="2"/>
        <v>194715.88646399998</v>
      </c>
      <c r="F39" s="812">
        <f t="shared" si="3"/>
        <v>22126.805279999997</v>
      </c>
    </row>
    <row r="40" spans="1:6" ht="18" customHeight="1" x14ac:dyDescent="0.25">
      <c r="A40" s="823" t="s">
        <v>874</v>
      </c>
      <c r="B40" s="824">
        <v>2264237</v>
      </c>
      <c r="C40" s="810">
        <f t="shared" si="0"/>
        <v>2510585.9856000002</v>
      </c>
      <c r="D40" s="811">
        <f t="shared" si="1"/>
        <v>4192678.595952</v>
      </c>
      <c r="E40" s="811">
        <f t="shared" si="2"/>
        <v>199651.36171200001</v>
      </c>
      <c r="F40" s="812">
        <f t="shared" si="3"/>
        <v>22687.654739999998</v>
      </c>
    </row>
    <row r="41" spans="1:6" ht="18" customHeight="1" x14ac:dyDescent="0.25">
      <c r="A41" s="823" t="s">
        <v>875</v>
      </c>
      <c r="B41" s="824">
        <v>2391383</v>
      </c>
      <c r="C41" s="810">
        <f t="shared" si="0"/>
        <v>2651565.4704</v>
      </c>
      <c r="D41" s="811">
        <f t="shared" si="1"/>
        <v>4428114.3355679996</v>
      </c>
      <c r="E41" s="811">
        <f t="shared" si="2"/>
        <v>210862.58740799999</v>
      </c>
      <c r="F41" s="812">
        <f t="shared" si="3"/>
        <v>23961.657659999997</v>
      </c>
    </row>
    <row r="42" spans="1:6" ht="18" customHeight="1" x14ac:dyDescent="0.25">
      <c r="A42" s="823" t="s">
        <v>876</v>
      </c>
      <c r="B42" s="824">
        <v>2607573</v>
      </c>
      <c r="C42" s="810">
        <f t="shared" si="0"/>
        <v>2891276.9424000001</v>
      </c>
      <c r="D42" s="811">
        <f t="shared" si="1"/>
        <v>4828432.4938080003</v>
      </c>
      <c r="E42" s="811">
        <f t="shared" si="2"/>
        <v>229925.35684800002</v>
      </c>
      <c r="F42" s="812">
        <f t="shared" si="3"/>
        <v>26127.881460000001</v>
      </c>
    </row>
    <row r="43" spans="1:6" ht="18" customHeight="1" x14ac:dyDescent="0.25">
      <c r="A43" s="823" t="s">
        <v>877</v>
      </c>
      <c r="B43" s="824">
        <v>2843973</v>
      </c>
      <c r="C43" s="810">
        <f t="shared" si="0"/>
        <v>3153397.2623999999</v>
      </c>
      <c r="D43" s="811">
        <f t="shared" si="1"/>
        <v>5266173.428208</v>
      </c>
      <c r="E43" s="811">
        <f t="shared" si="2"/>
        <v>250770.163248</v>
      </c>
      <c r="F43" s="812">
        <f t="shared" si="3"/>
        <v>28496.609459999996</v>
      </c>
    </row>
    <row r="44" spans="1:6" ht="18" customHeight="1" x14ac:dyDescent="0.25">
      <c r="A44" s="823" t="s">
        <v>878</v>
      </c>
      <c r="B44" s="824">
        <v>2915041</v>
      </c>
      <c r="C44" s="810">
        <f t="shared" ref="C44:C75" si="4">B44*1.1088</f>
        <v>3232197.4608</v>
      </c>
      <c r="D44" s="811">
        <f t="shared" ref="D44:D75" si="5">C44*1.67</f>
        <v>5397769.759536</v>
      </c>
      <c r="E44" s="811">
        <f t="shared" ref="E44:E75" si="6">D44/21</f>
        <v>257036.65521599998</v>
      </c>
      <c r="F44" s="812">
        <f t="shared" ref="F44:F75" si="7">E44/8.8</f>
        <v>29208.710819999997</v>
      </c>
    </row>
    <row r="45" spans="1:6" ht="18" customHeight="1" x14ac:dyDescent="0.25">
      <c r="A45" s="823" t="s">
        <v>879</v>
      </c>
      <c r="B45" s="824">
        <v>3102682</v>
      </c>
      <c r="C45" s="810">
        <f t="shared" si="4"/>
        <v>3440253.8015999999</v>
      </c>
      <c r="D45" s="811">
        <f t="shared" si="5"/>
        <v>5745223.8486719998</v>
      </c>
      <c r="E45" s="811">
        <f t="shared" si="6"/>
        <v>273582.088032</v>
      </c>
      <c r="F45" s="812">
        <f t="shared" si="7"/>
        <v>31088.873639999998</v>
      </c>
    </row>
    <row r="46" spans="1:6" ht="18" customHeight="1" x14ac:dyDescent="0.25">
      <c r="A46" s="823" t="s">
        <v>880</v>
      </c>
      <c r="B46" s="824">
        <v>3222250</v>
      </c>
      <c r="C46" s="810">
        <f t="shared" si="4"/>
        <v>3572830.8</v>
      </c>
      <c r="D46" s="811">
        <f t="shared" si="5"/>
        <v>5966627.4359999998</v>
      </c>
      <c r="E46" s="811">
        <f t="shared" si="6"/>
        <v>284125.11599999998</v>
      </c>
      <c r="F46" s="812">
        <f t="shared" si="7"/>
        <v>32286.944999999996</v>
      </c>
    </row>
    <row r="47" spans="1:6" ht="18" customHeight="1" x14ac:dyDescent="0.25">
      <c r="A47" s="823" t="s">
        <v>881</v>
      </c>
      <c r="B47" s="824">
        <v>3434799</v>
      </c>
      <c r="C47" s="810">
        <f t="shared" si="4"/>
        <v>3808505.1312000002</v>
      </c>
      <c r="D47" s="811">
        <f t="shared" si="5"/>
        <v>6360203.569104</v>
      </c>
      <c r="E47" s="811">
        <f t="shared" si="6"/>
        <v>302866.83662399999</v>
      </c>
      <c r="F47" s="812">
        <f t="shared" si="7"/>
        <v>34416.685979999995</v>
      </c>
    </row>
    <row r="48" spans="1:6" ht="18" customHeight="1" x14ac:dyDescent="0.25">
      <c r="A48" s="823" t="s">
        <v>882</v>
      </c>
      <c r="B48" s="824">
        <v>3804925</v>
      </c>
      <c r="C48" s="810">
        <f t="shared" si="4"/>
        <v>4218900.84</v>
      </c>
      <c r="D48" s="811">
        <f t="shared" si="5"/>
        <v>7045564.4027999993</v>
      </c>
      <c r="E48" s="811">
        <f t="shared" si="6"/>
        <v>335503.06679999997</v>
      </c>
      <c r="F48" s="812">
        <f t="shared" si="7"/>
        <v>38125.348499999993</v>
      </c>
    </row>
    <row r="49" spans="1:6" ht="18" customHeight="1" x14ac:dyDescent="0.25">
      <c r="A49" s="823" t="s">
        <v>883</v>
      </c>
      <c r="B49" s="824">
        <v>4043733</v>
      </c>
      <c r="C49" s="810">
        <f t="shared" si="4"/>
        <v>4483691.1503999997</v>
      </c>
      <c r="D49" s="811">
        <f t="shared" si="5"/>
        <v>7487764.2211679993</v>
      </c>
      <c r="E49" s="811">
        <f t="shared" si="6"/>
        <v>356560.20100799995</v>
      </c>
      <c r="F49" s="812">
        <f t="shared" si="7"/>
        <v>40518.204659999989</v>
      </c>
    </row>
    <row r="50" spans="1:6" ht="18" customHeight="1" x14ac:dyDescent="0.25">
      <c r="A50" s="825" t="s">
        <v>884</v>
      </c>
      <c r="B50" s="826">
        <v>4476171</v>
      </c>
      <c r="C50" s="827">
        <f t="shared" si="4"/>
        <v>4963178.4047999997</v>
      </c>
      <c r="D50" s="828">
        <f t="shared" si="5"/>
        <v>8288507.9360159989</v>
      </c>
      <c r="E50" s="828">
        <f t="shared" si="6"/>
        <v>394690.85409599997</v>
      </c>
      <c r="F50" s="829">
        <f t="shared" si="7"/>
        <v>44851.23341999999</v>
      </c>
    </row>
    <row r="51" spans="1:6" ht="18" customHeight="1" x14ac:dyDescent="0.25">
      <c r="A51" s="830" t="s">
        <v>885</v>
      </c>
      <c r="B51" s="831">
        <v>2915041</v>
      </c>
      <c r="C51" s="832">
        <f t="shared" si="4"/>
        <v>3232197.4608</v>
      </c>
      <c r="D51" s="833">
        <f t="shared" si="5"/>
        <v>5397769.759536</v>
      </c>
      <c r="E51" s="833">
        <f t="shared" si="6"/>
        <v>257036.65521599998</v>
      </c>
      <c r="F51" s="834">
        <f t="shared" si="7"/>
        <v>29208.710819999997</v>
      </c>
    </row>
    <row r="52" spans="1:6" ht="18" customHeight="1" x14ac:dyDescent="0.25">
      <c r="A52" s="823" t="s">
        <v>886</v>
      </c>
      <c r="B52" s="824">
        <v>3222201</v>
      </c>
      <c r="C52" s="810">
        <f t="shared" si="4"/>
        <v>3572776.4687999999</v>
      </c>
      <c r="D52" s="811">
        <f t="shared" si="5"/>
        <v>5966536.7028959999</v>
      </c>
      <c r="E52" s="811">
        <f t="shared" si="6"/>
        <v>284120.79537599999</v>
      </c>
      <c r="F52" s="812">
        <f t="shared" si="7"/>
        <v>32286.454019999997</v>
      </c>
    </row>
    <row r="53" spans="1:6" ht="18" customHeight="1" x14ac:dyDescent="0.25">
      <c r="A53" s="823" t="s">
        <v>887</v>
      </c>
      <c r="B53" s="824">
        <v>3367598</v>
      </c>
      <c r="C53" s="810">
        <f t="shared" si="4"/>
        <v>3733992.6623999998</v>
      </c>
      <c r="D53" s="811">
        <f t="shared" si="5"/>
        <v>6235767.7462079991</v>
      </c>
      <c r="E53" s="811">
        <f t="shared" si="6"/>
        <v>296941.32124799996</v>
      </c>
      <c r="F53" s="812">
        <f t="shared" si="7"/>
        <v>33743.331959999996</v>
      </c>
    </row>
    <row r="54" spans="1:6" ht="18" customHeight="1" x14ac:dyDescent="0.25">
      <c r="A54" s="823" t="s">
        <v>888</v>
      </c>
      <c r="B54" s="824">
        <v>3546012</v>
      </c>
      <c r="C54" s="810">
        <f t="shared" si="4"/>
        <v>3931818.1055999999</v>
      </c>
      <c r="D54" s="811">
        <f t="shared" si="5"/>
        <v>6566136.2363519995</v>
      </c>
      <c r="E54" s="811">
        <f t="shared" si="6"/>
        <v>312673.15411199996</v>
      </c>
      <c r="F54" s="812">
        <f t="shared" si="7"/>
        <v>35531.040239999995</v>
      </c>
    </row>
    <row r="55" spans="1:6" ht="18" customHeight="1" x14ac:dyDescent="0.25">
      <c r="A55" s="823" t="s">
        <v>889</v>
      </c>
      <c r="B55" s="824">
        <v>3751007</v>
      </c>
      <c r="C55" s="810">
        <f t="shared" si="4"/>
        <v>4159116.5616000001</v>
      </c>
      <c r="D55" s="811">
        <f t="shared" si="5"/>
        <v>6945724.6578719998</v>
      </c>
      <c r="E55" s="811">
        <f t="shared" si="6"/>
        <v>330748.79323199997</v>
      </c>
      <c r="F55" s="812">
        <f t="shared" si="7"/>
        <v>37585.090139999993</v>
      </c>
    </row>
    <row r="56" spans="1:6" ht="18" customHeight="1" x14ac:dyDescent="0.25">
      <c r="A56" s="823" t="s">
        <v>890</v>
      </c>
      <c r="B56" s="824">
        <v>3881622</v>
      </c>
      <c r="C56" s="810">
        <f t="shared" si="4"/>
        <v>4303942.4736000001</v>
      </c>
      <c r="D56" s="811">
        <f t="shared" si="5"/>
        <v>7187583.9309120001</v>
      </c>
      <c r="E56" s="811">
        <f t="shared" si="6"/>
        <v>342265.901472</v>
      </c>
      <c r="F56" s="812">
        <f t="shared" si="7"/>
        <v>38893.852439999995</v>
      </c>
    </row>
    <row r="57" spans="1:6" ht="18" customHeight="1" x14ac:dyDescent="0.25">
      <c r="A57" s="823" t="s">
        <v>891</v>
      </c>
      <c r="B57" s="824">
        <v>4073782</v>
      </c>
      <c r="C57" s="810">
        <f t="shared" si="4"/>
        <v>4517009.4815999996</v>
      </c>
      <c r="D57" s="811">
        <f t="shared" si="5"/>
        <v>7543405.8342719991</v>
      </c>
      <c r="E57" s="811">
        <f t="shared" si="6"/>
        <v>359209.80163199996</v>
      </c>
      <c r="F57" s="812">
        <f t="shared" si="7"/>
        <v>40819.295639999989</v>
      </c>
    </row>
    <row r="58" spans="1:6" ht="18" customHeight="1" x14ac:dyDescent="0.25">
      <c r="A58" s="823" t="s">
        <v>892</v>
      </c>
      <c r="B58" s="824">
        <v>4276330</v>
      </c>
      <c r="C58" s="810">
        <f t="shared" si="4"/>
        <v>4741594.7039999999</v>
      </c>
      <c r="D58" s="811">
        <f t="shared" si="5"/>
        <v>7918463.1556799999</v>
      </c>
      <c r="E58" s="811">
        <f t="shared" si="6"/>
        <v>377069.67407999997</v>
      </c>
      <c r="F58" s="812">
        <f t="shared" si="7"/>
        <v>42848.826599999993</v>
      </c>
    </row>
    <row r="59" spans="1:6" ht="18" customHeight="1" x14ac:dyDescent="0.25">
      <c r="A59" s="823" t="s">
        <v>893</v>
      </c>
      <c r="B59" s="824">
        <v>4460407</v>
      </c>
      <c r="C59" s="810">
        <f t="shared" si="4"/>
        <v>4945699.2816000003</v>
      </c>
      <c r="D59" s="811">
        <f t="shared" si="5"/>
        <v>8259317.800272</v>
      </c>
      <c r="E59" s="811">
        <f t="shared" si="6"/>
        <v>393300.84763199999</v>
      </c>
      <c r="F59" s="812">
        <f t="shared" si="7"/>
        <v>44693.278139999995</v>
      </c>
    </row>
    <row r="60" spans="1:6" ht="18" customHeight="1" x14ac:dyDescent="0.25">
      <c r="A60" s="823" t="s">
        <v>894</v>
      </c>
      <c r="B60" s="824">
        <v>4612606</v>
      </c>
      <c r="C60" s="810">
        <f t="shared" si="4"/>
        <v>5114457.5328000002</v>
      </c>
      <c r="D60" s="811">
        <f t="shared" si="5"/>
        <v>8541144.0797760002</v>
      </c>
      <c r="E60" s="811">
        <f t="shared" si="6"/>
        <v>406721.146656</v>
      </c>
      <c r="F60" s="812">
        <f t="shared" si="7"/>
        <v>46218.312119999995</v>
      </c>
    </row>
    <row r="61" spans="1:6" ht="18" customHeight="1" x14ac:dyDescent="0.25">
      <c r="A61" s="823" t="s">
        <v>895</v>
      </c>
      <c r="B61" s="824">
        <v>4806804</v>
      </c>
      <c r="C61" s="810">
        <f t="shared" si="4"/>
        <v>5329784.2752</v>
      </c>
      <c r="D61" s="811">
        <f t="shared" si="5"/>
        <v>8900739.7395839989</v>
      </c>
      <c r="E61" s="811">
        <f t="shared" si="6"/>
        <v>423844.74950399995</v>
      </c>
      <c r="F61" s="812">
        <f t="shared" si="7"/>
        <v>48164.17607999999</v>
      </c>
    </row>
    <row r="62" spans="1:6" ht="18" customHeight="1" x14ac:dyDescent="0.25">
      <c r="A62" s="823" t="s">
        <v>896</v>
      </c>
      <c r="B62" s="824">
        <v>5099764</v>
      </c>
      <c r="C62" s="810">
        <f t="shared" si="4"/>
        <v>5654618.3232000005</v>
      </c>
      <c r="D62" s="811">
        <f t="shared" si="5"/>
        <v>9443212.5997439995</v>
      </c>
      <c r="E62" s="811">
        <f t="shared" si="6"/>
        <v>449676.79046399996</v>
      </c>
      <c r="F62" s="812">
        <f t="shared" si="7"/>
        <v>51099.635279999995</v>
      </c>
    </row>
    <row r="63" spans="1:6" ht="18" customHeight="1" x14ac:dyDescent="0.25">
      <c r="A63" s="823" t="s">
        <v>897</v>
      </c>
      <c r="B63" s="824">
        <v>5253978</v>
      </c>
      <c r="C63" s="810">
        <f t="shared" si="4"/>
        <v>5825610.8064000001</v>
      </c>
      <c r="D63" s="811">
        <f t="shared" si="5"/>
        <v>9728770.0466879997</v>
      </c>
      <c r="E63" s="811">
        <f t="shared" si="6"/>
        <v>463274.76412800001</v>
      </c>
      <c r="F63" s="812">
        <f t="shared" si="7"/>
        <v>52644.859559999997</v>
      </c>
    </row>
    <row r="64" spans="1:6" ht="18" customHeight="1" x14ac:dyDescent="0.25">
      <c r="A64" s="823" t="s">
        <v>898</v>
      </c>
      <c r="B64" s="824">
        <v>5912397</v>
      </c>
      <c r="C64" s="810">
        <f t="shared" si="4"/>
        <v>6555665.7936000004</v>
      </c>
      <c r="D64" s="811">
        <f t="shared" si="5"/>
        <v>10947961.875312001</v>
      </c>
      <c r="E64" s="811">
        <f t="shared" si="6"/>
        <v>521331.517872</v>
      </c>
      <c r="F64" s="812">
        <f t="shared" si="7"/>
        <v>59242.217939999995</v>
      </c>
    </row>
    <row r="65" spans="1:6" ht="18" customHeight="1" x14ac:dyDescent="0.25">
      <c r="A65" s="823" t="s">
        <v>899</v>
      </c>
      <c r="B65" s="824">
        <v>6048444</v>
      </c>
      <c r="C65" s="810">
        <f t="shared" si="4"/>
        <v>6706514.7072000001</v>
      </c>
      <c r="D65" s="811">
        <f t="shared" si="5"/>
        <v>11199879.561023999</v>
      </c>
      <c r="E65" s="811">
        <f t="shared" si="6"/>
        <v>533327.59814399993</v>
      </c>
      <c r="F65" s="812">
        <f t="shared" si="7"/>
        <v>60605.408879999988</v>
      </c>
    </row>
    <row r="66" spans="1:6" ht="18" customHeight="1" x14ac:dyDescent="0.25">
      <c r="A66" s="823" t="s">
        <v>900</v>
      </c>
      <c r="B66" s="824">
        <v>7048143</v>
      </c>
      <c r="C66" s="810">
        <f t="shared" si="4"/>
        <v>7814980.9583999999</v>
      </c>
      <c r="D66" s="811">
        <f t="shared" si="5"/>
        <v>13051018.200528</v>
      </c>
      <c r="E66" s="811">
        <f t="shared" si="6"/>
        <v>621477.05716800003</v>
      </c>
      <c r="F66" s="812">
        <f t="shared" si="7"/>
        <v>70622.392859999993</v>
      </c>
    </row>
    <row r="67" spans="1:6" ht="18" customHeight="1" x14ac:dyDescent="0.25">
      <c r="A67" s="823" t="s">
        <v>901</v>
      </c>
      <c r="B67" s="824">
        <v>7413445</v>
      </c>
      <c r="C67" s="810">
        <f t="shared" si="4"/>
        <v>8220027.8159999996</v>
      </c>
      <c r="D67" s="811">
        <f t="shared" si="5"/>
        <v>13727446.452719999</v>
      </c>
      <c r="E67" s="811">
        <f t="shared" si="6"/>
        <v>653687.92631999997</v>
      </c>
      <c r="F67" s="812">
        <f t="shared" si="7"/>
        <v>74282.718899999993</v>
      </c>
    </row>
    <row r="68" spans="1:6" ht="18" customHeight="1" x14ac:dyDescent="0.25">
      <c r="A68" s="823" t="s">
        <v>902</v>
      </c>
      <c r="B68" s="824">
        <v>7983907</v>
      </c>
      <c r="C68" s="810">
        <f t="shared" si="4"/>
        <v>8852556.0815999992</v>
      </c>
      <c r="D68" s="811">
        <f t="shared" si="5"/>
        <v>14783768.656271998</v>
      </c>
      <c r="E68" s="811">
        <f t="shared" si="6"/>
        <v>703988.98363199993</v>
      </c>
      <c r="F68" s="812">
        <f t="shared" si="7"/>
        <v>79998.748139999982</v>
      </c>
    </row>
    <row r="69" spans="1:6" ht="18" customHeight="1" x14ac:dyDescent="0.25">
      <c r="A69" s="823" t="s">
        <v>903</v>
      </c>
      <c r="B69" s="824">
        <v>8587918</v>
      </c>
      <c r="C69" s="810">
        <f t="shared" si="4"/>
        <v>9522283.4783999994</v>
      </c>
      <c r="D69" s="811">
        <f t="shared" si="5"/>
        <v>15902213.408927998</v>
      </c>
      <c r="E69" s="811">
        <f t="shared" si="6"/>
        <v>757248.25756799988</v>
      </c>
      <c r="F69" s="812">
        <f t="shared" si="7"/>
        <v>86050.938359999986</v>
      </c>
    </row>
    <row r="70" spans="1:6" ht="18" customHeight="1" x14ac:dyDescent="0.25">
      <c r="A70" s="823" t="s">
        <v>904</v>
      </c>
      <c r="B70" s="824">
        <v>9244691</v>
      </c>
      <c r="C70" s="810">
        <f t="shared" si="4"/>
        <v>10250513.380799999</v>
      </c>
      <c r="D70" s="811">
        <f t="shared" si="5"/>
        <v>17118357.345935997</v>
      </c>
      <c r="E70" s="811">
        <f t="shared" si="6"/>
        <v>815159.87361599982</v>
      </c>
      <c r="F70" s="812">
        <f t="shared" si="7"/>
        <v>92631.803819999972</v>
      </c>
    </row>
    <row r="71" spans="1:6" ht="18" customHeight="1" x14ac:dyDescent="0.25">
      <c r="A71" s="823" t="s">
        <v>905</v>
      </c>
      <c r="B71" s="824">
        <v>9707551</v>
      </c>
      <c r="C71" s="810">
        <f t="shared" si="4"/>
        <v>10763732.548800001</v>
      </c>
      <c r="D71" s="811">
        <f t="shared" si="5"/>
        <v>17975433.356496003</v>
      </c>
      <c r="E71" s="811">
        <f t="shared" si="6"/>
        <v>855973.01697600016</v>
      </c>
      <c r="F71" s="812">
        <f t="shared" si="7"/>
        <v>97269.661020000014</v>
      </c>
    </row>
    <row r="72" spans="1:6" ht="18" customHeight="1" x14ac:dyDescent="0.25">
      <c r="A72" s="823" t="s">
        <v>906</v>
      </c>
      <c r="B72" s="824">
        <v>10597556</v>
      </c>
      <c r="C72" s="810">
        <f t="shared" si="4"/>
        <v>11750570.092800001</v>
      </c>
      <c r="D72" s="811">
        <f t="shared" si="5"/>
        <v>19623452.054976001</v>
      </c>
      <c r="E72" s="811">
        <f t="shared" si="6"/>
        <v>934450.09785600007</v>
      </c>
      <c r="F72" s="812">
        <f t="shared" si="7"/>
        <v>106187.51112</v>
      </c>
    </row>
    <row r="73" spans="1:6" ht="18" customHeight="1" x14ac:dyDescent="0.25">
      <c r="A73" s="823" t="s">
        <v>907</v>
      </c>
      <c r="B73" s="824">
        <v>11197561</v>
      </c>
      <c r="C73" s="810">
        <f t="shared" si="4"/>
        <v>12415855.6368</v>
      </c>
      <c r="D73" s="811">
        <f t="shared" si="5"/>
        <v>20734478.913456</v>
      </c>
      <c r="E73" s="811">
        <f t="shared" si="6"/>
        <v>987356.13873600005</v>
      </c>
      <c r="F73" s="812">
        <f t="shared" si="7"/>
        <v>112199.56122</v>
      </c>
    </row>
    <row r="74" spans="1:6" ht="18" customHeight="1" x14ac:dyDescent="0.25">
      <c r="A74" s="823" t="s">
        <v>908</v>
      </c>
      <c r="B74" s="826">
        <v>12074702</v>
      </c>
      <c r="C74" s="827">
        <f t="shared" si="4"/>
        <v>13388429.5776</v>
      </c>
      <c r="D74" s="828">
        <f t="shared" si="5"/>
        <v>22358677.394591998</v>
      </c>
      <c r="E74" s="828">
        <f t="shared" si="6"/>
        <v>1064698.923552</v>
      </c>
      <c r="F74" s="829">
        <f t="shared" si="7"/>
        <v>120988.51403999998</v>
      </c>
    </row>
    <row r="75" spans="1:6" ht="18" customHeight="1" x14ac:dyDescent="0.25">
      <c r="A75" s="823" t="s">
        <v>909</v>
      </c>
      <c r="B75" s="831">
        <v>4828236</v>
      </c>
      <c r="C75" s="832">
        <f t="shared" si="4"/>
        <v>5353548.0767999999</v>
      </c>
      <c r="D75" s="833">
        <f t="shared" si="5"/>
        <v>8940425.2882559989</v>
      </c>
      <c r="E75" s="833">
        <f t="shared" si="6"/>
        <v>425734.53753599996</v>
      </c>
      <c r="F75" s="834">
        <f t="shared" si="7"/>
        <v>48378.924719999988</v>
      </c>
    </row>
    <row r="76" spans="1:6" ht="18" customHeight="1" x14ac:dyDescent="0.25">
      <c r="A76" s="823" t="s">
        <v>910</v>
      </c>
      <c r="B76" s="824">
        <v>5221194</v>
      </c>
      <c r="C76" s="810">
        <f t="shared" ref="C76:C107" si="8">B76*1.1088</f>
        <v>5789259.9072000002</v>
      </c>
      <c r="D76" s="811">
        <f t="shared" ref="D76:D107" si="9">C76*1.67</f>
        <v>9668064.0450240001</v>
      </c>
      <c r="E76" s="811">
        <f t="shared" ref="E76:E107" si="10">D76/21</f>
        <v>460384.00214400003</v>
      </c>
      <c r="F76" s="812">
        <f t="shared" ref="F76:F107" si="11">E76/8.8</f>
        <v>52316.363879999997</v>
      </c>
    </row>
    <row r="77" spans="1:6" ht="18" customHeight="1" x14ac:dyDescent="0.25">
      <c r="A77" s="823" t="s">
        <v>911</v>
      </c>
      <c r="B77" s="824">
        <v>5697999</v>
      </c>
      <c r="C77" s="810">
        <f t="shared" si="8"/>
        <v>6317941.2911999999</v>
      </c>
      <c r="D77" s="811">
        <f t="shared" si="9"/>
        <v>10550961.956303999</v>
      </c>
      <c r="E77" s="811">
        <f t="shared" si="10"/>
        <v>502426.75982399995</v>
      </c>
      <c r="F77" s="812">
        <f t="shared" si="11"/>
        <v>57093.94997999999</v>
      </c>
    </row>
    <row r="78" spans="1:6" ht="18" customHeight="1" x14ac:dyDescent="0.25">
      <c r="A78" s="823" t="s">
        <v>912</v>
      </c>
      <c r="B78" s="824">
        <v>6484994</v>
      </c>
      <c r="C78" s="810">
        <f t="shared" si="8"/>
        <v>7190561.3471999997</v>
      </c>
      <c r="D78" s="811">
        <f t="shared" si="9"/>
        <v>12008237.449824</v>
      </c>
      <c r="E78" s="811">
        <f t="shared" si="10"/>
        <v>571820.83094400004</v>
      </c>
      <c r="F78" s="812">
        <f t="shared" si="11"/>
        <v>64979.639880000002</v>
      </c>
    </row>
    <row r="79" spans="1:6" ht="18" customHeight="1" x14ac:dyDescent="0.25">
      <c r="A79" s="823" t="s">
        <v>913</v>
      </c>
      <c r="B79" s="824">
        <v>6651476</v>
      </c>
      <c r="C79" s="810">
        <f t="shared" si="8"/>
        <v>7375156.5888</v>
      </c>
      <c r="D79" s="811">
        <f t="shared" si="9"/>
        <v>12316511.503295999</v>
      </c>
      <c r="E79" s="811">
        <f t="shared" si="10"/>
        <v>586500.54777599999</v>
      </c>
      <c r="F79" s="812">
        <f t="shared" si="11"/>
        <v>66647.789519999991</v>
      </c>
    </row>
    <row r="80" spans="1:6" ht="18" customHeight="1" x14ac:dyDescent="0.25">
      <c r="A80" s="823" t="s">
        <v>914</v>
      </c>
      <c r="B80" s="824">
        <v>7531429</v>
      </c>
      <c r="C80" s="810">
        <f t="shared" si="8"/>
        <v>8350848.4752000002</v>
      </c>
      <c r="D80" s="811">
        <f t="shared" si="9"/>
        <v>13945916.953584</v>
      </c>
      <c r="E80" s="811">
        <f t="shared" si="10"/>
        <v>664091.28350400005</v>
      </c>
      <c r="F80" s="812">
        <f t="shared" si="11"/>
        <v>75464.918579999998</v>
      </c>
    </row>
    <row r="81" spans="1:6" ht="18" customHeight="1" x14ac:dyDescent="0.25">
      <c r="A81" s="823" t="s">
        <v>915</v>
      </c>
      <c r="B81" s="824">
        <v>8048459</v>
      </c>
      <c r="C81" s="810">
        <f t="shared" si="8"/>
        <v>8924131.3391999993</v>
      </c>
      <c r="D81" s="811">
        <f t="shared" si="9"/>
        <v>14903299.336463999</v>
      </c>
      <c r="E81" s="811">
        <f t="shared" si="10"/>
        <v>709680.92078399996</v>
      </c>
      <c r="F81" s="812">
        <f t="shared" si="11"/>
        <v>80645.559179999982</v>
      </c>
    </row>
    <row r="82" spans="1:6" ht="18" customHeight="1" x14ac:dyDescent="0.25">
      <c r="A82" s="823" t="s">
        <v>916</v>
      </c>
      <c r="B82" s="824">
        <v>9201872</v>
      </c>
      <c r="C82" s="810">
        <f t="shared" si="8"/>
        <v>10203035.673599999</v>
      </c>
      <c r="D82" s="811">
        <f t="shared" si="9"/>
        <v>17039069.574911997</v>
      </c>
      <c r="E82" s="811">
        <f t="shared" si="10"/>
        <v>811384.26547199988</v>
      </c>
      <c r="F82" s="812">
        <f t="shared" si="11"/>
        <v>92202.757439999972</v>
      </c>
    </row>
    <row r="83" spans="1:6" ht="18" customHeight="1" x14ac:dyDescent="0.25">
      <c r="A83" s="823" t="s">
        <v>917</v>
      </c>
      <c r="B83" s="824">
        <v>9670532</v>
      </c>
      <c r="C83" s="810">
        <f t="shared" si="8"/>
        <v>10722685.8816</v>
      </c>
      <c r="D83" s="811">
        <f t="shared" si="9"/>
        <v>17906885.422272</v>
      </c>
      <c r="E83" s="811">
        <f t="shared" si="10"/>
        <v>852708.82963200007</v>
      </c>
      <c r="F83" s="812">
        <f t="shared" si="11"/>
        <v>96898.730639999994</v>
      </c>
    </row>
    <row r="84" spans="1:6" ht="18" customHeight="1" x14ac:dyDescent="0.25">
      <c r="A84" s="823" t="s">
        <v>918</v>
      </c>
      <c r="B84" s="824">
        <v>10056127</v>
      </c>
      <c r="C84" s="810">
        <f t="shared" si="8"/>
        <v>11150233.6176</v>
      </c>
      <c r="D84" s="811">
        <f t="shared" si="9"/>
        <v>18620890.141392</v>
      </c>
      <c r="E84" s="811">
        <f t="shared" si="10"/>
        <v>886709.05435200001</v>
      </c>
      <c r="F84" s="812">
        <f t="shared" si="11"/>
        <v>100762.39253999999</v>
      </c>
    </row>
    <row r="85" spans="1:6" ht="18" customHeight="1" x14ac:dyDescent="0.25">
      <c r="A85" s="823" t="s">
        <v>919</v>
      </c>
      <c r="B85" s="824">
        <v>10573691</v>
      </c>
      <c r="C85" s="810">
        <f t="shared" si="8"/>
        <v>11724108.580800001</v>
      </c>
      <c r="D85" s="811">
        <f t="shared" si="9"/>
        <v>19579261.329936001</v>
      </c>
      <c r="E85" s="811">
        <f t="shared" si="10"/>
        <v>932345.77761600004</v>
      </c>
      <c r="F85" s="812">
        <f t="shared" si="11"/>
        <v>105948.38382</v>
      </c>
    </row>
    <row r="86" spans="1:6" ht="18" customHeight="1" x14ac:dyDescent="0.25">
      <c r="A86" s="823" t="s">
        <v>920</v>
      </c>
      <c r="B86" s="824">
        <v>11105584</v>
      </c>
      <c r="C86" s="810">
        <f t="shared" si="8"/>
        <v>12313871.5392</v>
      </c>
      <c r="D86" s="811">
        <f t="shared" si="9"/>
        <v>20564165.470463999</v>
      </c>
      <c r="E86" s="811">
        <f t="shared" si="10"/>
        <v>979245.97478399996</v>
      </c>
      <c r="F86" s="812">
        <f t="shared" si="11"/>
        <v>111277.95167999998</v>
      </c>
    </row>
    <row r="87" spans="1:6" ht="18" customHeight="1" x14ac:dyDescent="0.25">
      <c r="A87" s="835" t="s">
        <v>921</v>
      </c>
      <c r="B87" s="824">
        <v>12136137</v>
      </c>
      <c r="C87" s="810">
        <f t="shared" si="8"/>
        <v>13456548.705600001</v>
      </c>
      <c r="D87" s="811">
        <f t="shared" si="9"/>
        <v>22472436.338352002</v>
      </c>
      <c r="E87" s="811">
        <f t="shared" si="10"/>
        <v>1070116.0161120002</v>
      </c>
      <c r="F87" s="812">
        <f t="shared" si="11"/>
        <v>121604.09274000002</v>
      </c>
    </row>
    <row r="88" spans="1:6" ht="18" customHeight="1" x14ac:dyDescent="0.25">
      <c r="A88" s="835" t="s">
        <v>922</v>
      </c>
      <c r="B88" s="824">
        <v>12852573</v>
      </c>
      <c r="C88" s="810">
        <f t="shared" si="8"/>
        <v>14250932.942400001</v>
      </c>
      <c r="D88" s="811">
        <f t="shared" si="9"/>
        <v>23799058.013808001</v>
      </c>
      <c r="E88" s="811">
        <f t="shared" si="10"/>
        <v>1133288.476848</v>
      </c>
      <c r="F88" s="812">
        <f t="shared" si="11"/>
        <v>128782.78145999998</v>
      </c>
    </row>
    <row r="89" spans="1:6" ht="18" customHeight="1" x14ac:dyDescent="0.25">
      <c r="A89" s="835" t="s">
        <v>923</v>
      </c>
      <c r="B89" s="824">
        <v>13482936</v>
      </c>
      <c r="C89" s="810">
        <f t="shared" si="8"/>
        <v>14949879.436799999</v>
      </c>
      <c r="D89" s="811">
        <f t="shared" si="9"/>
        <v>24966298.659455996</v>
      </c>
      <c r="E89" s="811">
        <f t="shared" si="10"/>
        <v>1188871.3647359998</v>
      </c>
      <c r="F89" s="812">
        <f t="shared" si="11"/>
        <v>135099.01871999996</v>
      </c>
    </row>
    <row r="90" spans="1:6" ht="18" customHeight="1" x14ac:dyDescent="0.25">
      <c r="A90" s="835" t="s">
        <v>924</v>
      </c>
      <c r="B90" s="824">
        <v>14413246</v>
      </c>
      <c r="C90" s="810">
        <f t="shared" si="8"/>
        <v>15981407.164799999</v>
      </c>
      <c r="D90" s="811">
        <f t="shared" si="9"/>
        <v>26688949.965216</v>
      </c>
      <c r="E90" s="811">
        <f t="shared" si="10"/>
        <v>1270902.3792959999</v>
      </c>
      <c r="F90" s="812">
        <f t="shared" si="11"/>
        <v>144420.72491999998</v>
      </c>
    </row>
    <row r="91" spans="1:6" ht="18" customHeight="1" x14ac:dyDescent="0.25">
      <c r="A91" s="835" t="s">
        <v>925</v>
      </c>
      <c r="B91" s="824">
        <v>15194445</v>
      </c>
      <c r="C91" s="810">
        <f t="shared" si="8"/>
        <v>16847600.616</v>
      </c>
      <c r="D91" s="811">
        <f t="shared" si="9"/>
        <v>28135493.028719999</v>
      </c>
      <c r="E91" s="811">
        <f t="shared" si="10"/>
        <v>1339785.3823199999</v>
      </c>
      <c r="F91" s="812">
        <f t="shared" si="11"/>
        <v>152248.33889999997</v>
      </c>
    </row>
    <row r="92" spans="1:6" ht="18" customHeight="1" x14ac:dyDescent="0.25">
      <c r="A92" s="835" t="s">
        <v>926</v>
      </c>
      <c r="B92" s="826">
        <v>17284625</v>
      </c>
      <c r="C92" s="827">
        <f t="shared" si="8"/>
        <v>19165192.199999999</v>
      </c>
      <c r="D92" s="828">
        <f t="shared" si="9"/>
        <v>32005870.973999996</v>
      </c>
      <c r="E92" s="828">
        <f t="shared" si="10"/>
        <v>1524089.0939999998</v>
      </c>
      <c r="F92" s="829">
        <f t="shared" si="11"/>
        <v>173191.94249999998</v>
      </c>
    </row>
    <row r="93" spans="1:6" ht="18" customHeight="1" x14ac:dyDescent="0.25">
      <c r="A93" s="835" t="s">
        <v>927</v>
      </c>
      <c r="B93" s="831">
        <v>4947272</v>
      </c>
      <c r="C93" s="832">
        <f t="shared" si="8"/>
        <v>5485535.1935999999</v>
      </c>
      <c r="D93" s="833">
        <f t="shared" si="9"/>
        <v>9160843.7733119987</v>
      </c>
      <c r="E93" s="833">
        <f t="shared" si="10"/>
        <v>436230.65587199992</v>
      </c>
      <c r="F93" s="834">
        <f t="shared" si="11"/>
        <v>49571.66543999999</v>
      </c>
    </row>
    <row r="94" spans="1:6" ht="18" customHeight="1" x14ac:dyDescent="0.25">
      <c r="A94" s="835" t="s">
        <v>928</v>
      </c>
      <c r="B94" s="824">
        <v>5532575</v>
      </c>
      <c r="C94" s="810">
        <f t="shared" si="8"/>
        <v>6134519.1600000001</v>
      </c>
      <c r="D94" s="811">
        <f t="shared" si="9"/>
        <v>10244646.997199999</v>
      </c>
      <c r="E94" s="811">
        <f t="shared" si="10"/>
        <v>487840.33319999994</v>
      </c>
      <c r="F94" s="812">
        <f t="shared" si="11"/>
        <v>55436.401499999985</v>
      </c>
    </row>
    <row r="95" spans="1:6" ht="18" customHeight="1" x14ac:dyDescent="0.25">
      <c r="A95" s="835" t="s">
        <v>929</v>
      </c>
      <c r="B95" s="824">
        <v>5841929</v>
      </c>
      <c r="C95" s="810">
        <f t="shared" si="8"/>
        <v>6477530.8751999997</v>
      </c>
      <c r="D95" s="811">
        <f t="shared" si="9"/>
        <v>10817476.561584</v>
      </c>
      <c r="E95" s="811">
        <f t="shared" si="10"/>
        <v>515117.93150399998</v>
      </c>
      <c r="F95" s="812">
        <f t="shared" si="11"/>
        <v>58536.12857999999</v>
      </c>
    </row>
    <row r="96" spans="1:6" ht="18" customHeight="1" x14ac:dyDescent="0.25">
      <c r="A96" s="835" t="s">
        <v>930</v>
      </c>
      <c r="B96" s="824">
        <v>6209328</v>
      </c>
      <c r="C96" s="810">
        <f t="shared" si="8"/>
        <v>6884902.8864000002</v>
      </c>
      <c r="D96" s="811">
        <f t="shared" si="9"/>
        <v>11497787.820288001</v>
      </c>
      <c r="E96" s="811">
        <f t="shared" si="10"/>
        <v>547513.70572800003</v>
      </c>
      <c r="F96" s="812">
        <f t="shared" si="11"/>
        <v>62217.466560000001</v>
      </c>
    </row>
    <row r="97" spans="1:6" ht="18" customHeight="1" x14ac:dyDescent="0.25">
      <c r="A97" s="823" t="s">
        <v>931</v>
      </c>
      <c r="B97" s="824">
        <v>6369025</v>
      </c>
      <c r="C97" s="810">
        <f t="shared" si="8"/>
        <v>7061974.9199999999</v>
      </c>
      <c r="D97" s="811">
        <f t="shared" si="9"/>
        <v>11793498.1164</v>
      </c>
      <c r="E97" s="811">
        <f t="shared" si="10"/>
        <v>561595.14839999995</v>
      </c>
      <c r="F97" s="812">
        <f t="shared" si="11"/>
        <v>63817.630499999992</v>
      </c>
    </row>
    <row r="98" spans="1:6" ht="18" customHeight="1" x14ac:dyDescent="0.25">
      <c r="A98" s="823" t="s">
        <v>932</v>
      </c>
      <c r="B98" s="824">
        <v>6651476</v>
      </c>
      <c r="C98" s="810">
        <f t="shared" si="8"/>
        <v>7375156.5888</v>
      </c>
      <c r="D98" s="811">
        <f t="shared" si="9"/>
        <v>12316511.503295999</v>
      </c>
      <c r="E98" s="811">
        <f t="shared" si="10"/>
        <v>586500.54777599999</v>
      </c>
      <c r="F98" s="812">
        <f t="shared" si="11"/>
        <v>66647.789519999991</v>
      </c>
    </row>
    <row r="99" spans="1:6" ht="18" customHeight="1" x14ac:dyDescent="0.25">
      <c r="A99" s="823" t="s">
        <v>933</v>
      </c>
      <c r="B99" s="824">
        <v>7049201</v>
      </c>
      <c r="C99" s="810">
        <f t="shared" si="8"/>
        <v>7816154.0688000005</v>
      </c>
      <c r="D99" s="811">
        <f t="shared" si="9"/>
        <v>13052977.294896001</v>
      </c>
      <c r="E99" s="811">
        <f t="shared" si="10"/>
        <v>621570.34737600002</v>
      </c>
      <c r="F99" s="812">
        <f t="shared" si="11"/>
        <v>70632.994019999998</v>
      </c>
    </row>
    <row r="100" spans="1:6" ht="18" customHeight="1" x14ac:dyDescent="0.25">
      <c r="A100" s="823" t="s">
        <v>934</v>
      </c>
      <c r="B100" s="824">
        <v>7204666</v>
      </c>
      <c r="C100" s="810">
        <f t="shared" si="8"/>
        <v>7988533.6607999997</v>
      </c>
      <c r="D100" s="811">
        <f t="shared" si="9"/>
        <v>13340851.213536</v>
      </c>
      <c r="E100" s="811">
        <f t="shared" si="10"/>
        <v>635278.62921599997</v>
      </c>
      <c r="F100" s="812">
        <f t="shared" si="11"/>
        <v>72190.753319999989</v>
      </c>
    </row>
    <row r="101" spans="1:6" ht="18" customHeight="1" x14ac:dyDescent="0.25">
      <c r="A101" s="823" t="s">
        <v>935</v>
      </c>
      <c r="B101" s="824">
        <v>7471714</v>
      </c>
      <c r="C101" s="810">
        <f t="shared" si="8"/>
        <v>8284636.4831999997</v>
      </c>
      <c r="D101" s="811">
        <f t="shared" si="9"/>
        <v>13835342.926943999</v>
      </c>
      <c r="E101" s="811">
        <f t="shared" si="10"/>
        <v>658825.85366399994</v>
      </c>
      <c r="F101" s="812">
        <f t="shared" si="11"/>
        <v>74866.574279999986</v>
      </c>
    </row>
    <row r="102" spans="1:6" ht="18" customHeight="1" x14ac:dyDescent="0.25">
      <c r="A102" s="823" t="s">
        <v>936</v>
      </c>
      <c r="B102" s="824">
        <v>8027560</v>
      </c>
      <c r="C102" s="810">
        <f t="shared" si="8"/>
        <v>8900958.5280000009</v>
      </c>
      <c r="D102" s="811">
        <f t="shared" si="9"/>
        <v>14864600.741760001</v>
      </c>
      <c r="E102" s="811">
        <f t="shared" si="10"/>
        <v>707838.13056000008</v>
      </c>
      <c r="F102" s="812">
        <f t="shared" si="11"/>
        <v>80436.151200000008</v>
      </c>
    </row>
    <row r="103" spans="1:6" ht="18" customHeight="1" x14ac:dyDescent="0.25">
      <c r="A103" s="823" t="s">
        <v>937</v>
      </c>
      <c r="B103" s="824">
        <v>8155253</v>
      </c>
      <c r="C103" s="810">
        <f t="shared" si="8"/>
        <v>9042544.5263999999</v>
      </c>
      <c r="D103" s="811">
        <f t="shared" si="9"/>
        <v>15101049.359088</v>
      </c>
      <c r="E103" s="811">
        <f t="shared" si="10"/>
        <v>719097.58852800005</v>
      </c>
      <c r="F103" s="812">
        <f t="shared" si="11"/>
        <v>81715.635060000001</v>
      </c>
    </row>
    <row r="104" spans="1:6" ht="18" customHeight="1" x14ac:dyDescent="0.25">
      <c r="A104" s="823" t="s">
        <v>938</v>
      </c>
      <c r="B104" s="824">
        <v>8408459</v>
      </c>
      <c r="C104" s="810">
        <f t="shared" si="8"/>
        <v>9323299.3391999993</v>
      </c>
      <c r="D104" s="811">
        <f t="shared" si="9"/>
        <v>15569909.896463998</v>
      </c>
      <c r="E104" s="811">
        <f t="shared" si="10"/>
        <v>741424.28078399994</v>
      </c>
      <c r="F104" s="812">
        <f t="shared" si="11"/>
        <v>84252.759179999994</v>
      </c>
    </row>
    <row r="105" spans="1:6" ht="18" customHeight="1" x14ac:dyDescent="0.25">
      <c r="A105" s="823" t="s">
        <v>939</v>
      </c>
      <c r="B105" s="824">
        <v>8772644</v>
      </c>
      <c r="C105" s="810">
        <f t="shared" si="8"/>
        <v>9727107.667200001</v>
      </c>
      <c r="D105" s="811">
        <f t="shared" si="9"/>
        <v>16244269.804224001</v>
      </c>
      <c r="E105" s="811">
        <f t="shared" si="10"/>
        <v>773536.65734400006</v>
      </c>
      <c r="F105" s="812">
        <f t="shared" si="11"/>
        <v>87901.892879999999</v>
      </c>
    </row>
    <row r="106" spans="1:6" ht="18" customHeight="1" x14ac:dyDescent="0.25">
      <c r="A106" s="823" t="s">
        <v>940</v>
      </c>
      <c r="B106" s="824">
        <v>9245042</v>
      </c>
      <c r="C106" s="810">
        <f t="shared" si="8"/>
        <v>10250902.569600001</v>
      </c>
      <c r="D106" s="811">
        <f t="shared" si="9"/>
        <v>17119007.291232001</v>
      </c>
      <c r="E106" s="811">
        <f t="shared" si="10"/>
        <v>815190.82339200005</v>
      </c>
      <c r="F106" s="812">
        <f t="shared" si="11"/>
        <v>92635.32084</v>
      </c>
    </row>
    <row r="107" spans="1:6" ht="18" customHeight="1" x14ac:dyDescent="0.25">
      <c r="A107" s="823" t="s">
        <v>941</v>
      </c>
      <c r="B107" s="824">
        <v>9437382</v>
      </c>
      <c r="C107" s="810">
        <f t="shared" si="8"/>
        <v>10464169.161599999</v>
      </c>
      <c r="D107" s="811">
        <f t="shared" si="9"/>
        <v>17475162.499871999</v>
      </c>
      <c r="E107" s="811">
        <f t="shared" si="10"/>
        <v>832150.59523199999</v>
      </c>
      <c r="F107" s="812">
        <f t="shared" si="11"/>
        <v>94562.567639999994</v>
      </c>
    </row>
    <row r="108" spans="1:6" ht="18" customHeight="1" x14ac:dyDescent="0.25">
      <c r="A108" s="823" t="s">
        <v>942</v>
      </c>
      <c r="B108" s="824">
        <v>9567785</v>
      </c>
      <c r="C108" s="810">
        <f t="shared" ref="C108:C139" si="12">B108*1.1088</f>
        <v>10608760.007999999</v>
      </c>
      <c r="D108" s="811">
        <f t="shared" ref="D108:D139" si="13">C108*1.67</f>
        <v>17716629.213359997</v>
      </c>
      <c r="E108" s="811">
        <f t="shared" ref="E108:E139" si="14">D108/21</f>
        <v>843649.01015999983</v>
      </c>
      <c r="F108" s="812">
        <f t="shared" ref="F108:F139" si="15">E108/8.8</f>
        <v>95869.205699999977</v>
      </c>
    </row>
    <row r="109" spans="1:6" ht="18" customHeight="1" x14ac:dyDescent="0.25">
      <c r="A109" s="823" t="s">
        <v>943</v>
      </c>
      <c r="B109" s="824">
        <v>10091941</v>
      </c>
      <c r="C109" s="810">
        <f t="shared" si="12"/>
        <v>11189944.1808</v>
      </c>
      <c r="D109" s="811">
        <f t="shared" si="13"/>
        <v>18687206.781936001</v>
      </c>
      <c r="E109" s="811">
        <f t="shared" si="14"/>
        <v>889866.98961600009</v>
      </c>
      <c r="F109" s="812">
        <f t="shared" si="15"/>
        <v>101121.24882000001</v>
      </c>
    </row>
    <row r="110" spans="1:6" ht="18" customHeight="1" x14ac:dyDescent="0.25">
      <c r="A110" s="823" t="s">
        <v>944</v>
      </c>
      <c r="B110" s="824">
        <v>10928944</v>
      </c>
      <c r="C110" s="810">
        <f t="shared" si="12"/>
        <v>12118013.1072</v>
      </c>
      <c r="D110" s="811">
        <f t="shared" si="13"/>
        <v>20237081.889024001</v>
      </c>
      <c r="E110" s="811">
        <f t="shared" si="14"/>
        <v>963670.56614400004</v>
      </c>
      <c r="F110" s="812">
        <f t="shared" si="15"/>
        <v>109508.01887999999</v>
      </c>
    </row>
    <row r="111" spans="1:6" ht="18" customHeight="1" x14ac:dyDescent="0.25">
      <c r="A111" s="823" t="s">
        <v>945</v>
      </c>
      <c r="B111" s="824">
        <v>11768725</v>
      </c>
      <c r="C111" s="810">
        <f t="shared" si="12"/>
        <v>13049162.279999999</v>
      </c>
      <c r="D111" s="811">
        <f t="shared" si="13"/>
        <v>21792101.007599998</v>
      </c>
      <c r="E111" s="811">
        <f t="shared" si="14"/>
        <v>1037719.0955999999</v>
      </c>
      <c r="F111" s="812">
        <f t="shared" si="15"/>
        <v>117922.62449999998</v>
      </c>
    </row>
    <row r="112" spans="1:6" ht="18" customHeight="1" x14ac:dyDescent="0.25">
      <c r="A112" s="823" t="s">
        <v>946</v>
      </c>
      <c r="B112" s="824">
        <v>12941445</v>
      </c>
      <c r="C112" s="810">
        <f t="shared" si="12"/>
        <v>14349474.216</v>
      </c>
      <c r="D112" s="811">
        <f t="shared" si="13"/>
        <v>23963621.940719999</v>
      </c>
      <c r="E112" s="811">
        <f t="shared" si="14"/>
        <v>1141124.8543199999</v>
      </c>
      <c r="F112" s="812">
        <f t="shared" si="15"/>
        <v>129673.27889999998</v>
      </c>
    </row>
    <row r="113" spans="1:6" ht="18" customHeight="1" x14ac:dyDescent="0.25">
      <c r="A113" s="823" t="s">
        <v>947</v>
      </c>
      <c r="B113" s="824">
        <v>13118696</v>
      </c>
      <c r="C113" s="810">
        <f t="shared" si="12"/>
        <v>14546010.1248</v>
      </c>
      <c r="D113" s="811">
        <f t="shared" si="13"/>
        <v>24291836.908415999</v>
      </c>
      <c r="E113" s="811">
        <f t="shared" si="14"/>
        <v>1156754.1384959999</v>
      </c>
      <c r="F113" s="812">
        <f t="shared" si="15"/>
        <v>131449.33391999998</v>
      </c>
    </row>
    <row r="114" spans="1:6" ht="18" customHeight="1" x14ac:dyDescent="0.25">
      <c r="A114" s="823" t="s">
        <v>948</v>
      </c>
      <c r="B114" s="824">
        <v>13944572</v>
      </c>
      <c r="C114" s="810">
        <f t="shared" si="12"/>
        <v>15461741.433600001</v>
      </c>
      <c r="D114" s="811">
        <f t="shared" si="13"/>
        <v>25821108.194111999</v>
      </c>
      <c r="E114" s="811">
        <f t="shared" si="14"/>
        <v>1229576.5806720001</v>
      </c>
      <c r="F114" s="812">
        <f t="shared" si="15"/>
        <v>139724.61144000001</v>
      </c>
    </row>
    <row r="115" spans="1:6" ht="18" customHeight="1" x14ac:dyDescent="0.25">
      <c r="A115" s="823" t="s">
        <v>949</v>
      </c>
      <c r="B115" s="824">
        <v>15944196</v>
      </c>
      <c r="C115" s="810">
        <f t="shared" si="12"/>
        <v>17678924.524799999</v>
      </c>
      <c r="D115" s="811">
        <f t="shared" si="13"/>
        <v>29523803.956415996</v>
      </c>
      <c r="E115" s="811">
        <f t="shared" si="14"/>
        <v>1405895.4264959998</v>
      </c>
      <c r="F115" s="812">
        <f t="shared" si="15"/>
        <v>159760.84391999996</v>
      </c>
    </row>
    <row r="116" spans="1:6" ht="18" customHeight="1" x14ac:dyDescent="0.25">
      <c r="A116" s="823" t="s">
        <v>950</v>
      </c>
      <c r="B116" s="824">
        <v>17208664</v>
      </c>
      <c r="C116" s="810">
        <f t="shared" si="12"/>
        <v>19080966.643199999</v>
      </c>
      <c r="D116" s="811">
        <f t="shared" si="13"/>
        <v>31865214.294143997</v>
      </c>
      <c r="E116" s="811">
        <f t="shared" si="14"/>
        <v>1517391.1568639998</v>
      </c>
      <c r="F116" s="812">
        <f t="shared" si="15"/>
        <v>172430.81327999997</v>
      </c>
    </row>
    <row r="117" spans="1:6" ht="18" customHeight="1" x14ac:dyDescent="0.25">
      <c r="A117" s="823" t="s">
        <v>951</v>
      </c>
      <c r="B117" s="824">
        <v>18550552</v>
      </c>
      <c r="C117" s="810">
        <f t="shared" si="12"/>
        <v>20568852.057599999</v>
      </c>
      <c r="D117" s="811">
        <f t="shared" si="13"/>
        <v>34349982.936191998</v>
      </c>
      <c r="E117" s="811">
        <f t="shared" si="14"/>
        <v>1635713.473152</v>
      </c>
      <c r="F117" s="812">
        <f t="shared" si="15"/>
        <v>185876.53103999997</v>
      </c>
    </row>
    <row r="118" spans="1:6" ht="18" customHeight="1" x14ac:dyDescent="0.25">
      <c r="A118" s="823" t="s">
        <v>952</v>
      </c>
      <c r="B118" s="824">
        <v>19156014</v>
      </c>
      <c r="C118" s="810">
        <f t="shared" si="12"/>
        <v>21240188.323199999</v>
      </c>
      <c r="D118" s="811">
        <f t="shared" si="13"/>
        <v>35471114.499743998</v>
      </c>
      <c r="E118" s="811">
        <f t="shared" si="14"/>
        <v>1689100.690464</v>
      </c>
      <c r="F118" s="812">
        <f t="shared" si="15"/>
        <v>191943.26027999999</v>
      </c>
    </row>
    <row r="119" spans="1:6" ht="18" customHeight="1" x14ac:dyDescent="0.25">
      <c r="A119" s="823" t="s">
        <v>953</v>
      </c>
      <c r="B119" s="824">
        <v>20428614</v>
      </c>
      <c r="C119" s="810">
        <f t="shared" si="12"/>
        <v>22651247.203200001</v>
      </c>
      <c r="D119" s="811">
        <f t="shared" si="13"/>
        <v>37827582.829343997</v>
      </c>
      <c r="E119" s="811">
        <f t="shared" si="14"/>
        <v>1801313.4680639999</v>
      </c>
      <c r="F119" s="812">
        <f t="shared" si="15"/>
        <v>204694.71227999998</v>
      </c>
    </row>
    <row r="120" spans="1:6" ht="18" customHeight="1" x14ac:dyDescent="0.25">
      <c r="A120" s="825" t="s">
        <v>954</v>
      </c>
      <c r="B120" s="826">
        <v>21623851</v>
      </c>
      <c r="C120" s="827">
        <f t="shared" si="12"/>
        <v>23976525.9888</v>
      </c>
      <c r="D120" s="828">
        <f t="shared" si="13"/>
        <v>40040798.401295997</v>
      </c>
      <c r="E120" s="828">
        <f t="shared" si="14"/>
        <v>1906704.6857759999</v>
      </c>
      <c r="F120" s="829">
        <f t="shared" si="15"/>
        <v>216670.98701999997</v>
      </c>
    </row>
  </sheetData>
  <sheetProtection algorithmName="SHA-512" hashValue="q7Xae6fVJNBYCzYZX2qfmXrDuIkiqKNjyoWN8pztpON65m0Uo3yS8WGlQSZmNit0Yc057C/ltqz+zvN7AriDnw==" saltValue="WMTS1JUe+p5H01rMFMXXKw==" spinCount="100000" sheet="1" formatCells="0" formatColumns="0" formatRows="0" insertRows="0" autoFilter="0" pivotTables="0"/>
  <mergeCells count="6">
    <mergeCell ref="A10:F10"/>
    <mergeCell ref="B1:E1"/>
    <mergeCell ref="B2:E2"/>
    <mergeCell ref="B5:F5"/>
    <mergeCell ref="B6:F6"/>
    <mergeCell ref="A8:F8"/>
  </mergeCells>
  <hyperlinks>
    <hyperlink ref="F1" location="ins" display="Instructivo" xr:uid="{00000000-0004-0000-1900-000000000000}"/>
    <hyperlink ref="B6" r:id="rId1" location="62" xr:uid="{00000000-0004-0000-1900-000001000000}"/>
  </hyperlinks>
  <printOptions horizontalCentered="1"/>
  <pageMargins left="0" right="0" top="0" bottom="0" header="0.511811023622047" footer="0.511811023622047"/>
  <pageSetup fitToHeight="0" orientation="landscape" horizontalDpi="300" verticalDpi="300"/>
  <drawing r:id="rId2"/>
  <legacyDrawing r:id="rId3"/>
  <tableParts count="1">
    <tablePart r:id="rId4"/>
  </tablePar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B3A2C7"/>
    <pageSetUpPr fitToPage="1"/>
  </sheetPr>
  <dimension ref="A1:K17"/>
  <sheetViews>
    <sheetView showGridLines="0" zoomScale="115" zoomScaleNormal="115" workbookViewId="0">
      <selection activeCell="G15" sqref="G15"/>
    </sheetView>
  </sheetViews>
  <sheetFormatPr baseColWidth="10" defaultColWidth="13.33203125" defaultRowHeight="19.5" customHeight="1" x14ac:dyDescent="0.25"/>
  <cols>
    <col min="1" max="1" width="34.109375" style="836" customWidth="1"/>
    <col min="2" max="2" width="32.77734375" style="836" customWidth="1"/>
    <col min="3" max="3" width="21.33203125" style="836" customWidth="1"/>
    <col min="4" max="4" width="22.77734375" style="836" customWidth="1"/>
    <col min="5" max="5" width="18.33203125" style="836" customWidth="1"/>
    <col min="6" max="238" width="13.33203125" style="836"/>
    <col min="239" max="239" width="2.77734375" style="836" customWidth="1"/>
    <col min="240" max="240" width="85" style="836" customWidth="1"/>
    <col min="241" max="241" width="13.33203125" style="836"/>
    <col min="242" max="242" width="21.6640625" style="836" customWidth="1"/>
    <col min="243" max="494" width="13.33203125" style="836"/>
    <col min="495" max="495" width="2.77734375" style="836" customWidth="1"/>
    <col min="496" max="496" width="85" style="836" customWidth="1"/>
    <col min="497" max="497" width="13.33203125" style="836"/>
    <col min="498" max="498" width="21.6640625" style="836" customWidth="1"/>
    <col min="499" max="750" width="13.33203125" style="836"/>
    <col min="751" max="751" width="2.77734375" style="836" customWidth="1"/>
    <col min="752" max="752" width="85" style="836" customWidth="1"/>
    <col min="753" max="753" width="13.33203125" style="836"/>
    <col min="754" max="754" width="21.6640625" style="836" customWidth="1"/>
    <col min="755" max="1006" width="13.33203125" style="836"/>
    <col min="1007" max="1007" width="2.77734375" style="836" customWidth="1"/>
    <col min="1008" max="1008" width="85" style="836" customWidth="1"/>
    <col min="1009" max="1009" width="13.33203125" style="836"/>
    <col min="1010" max="1010" width="21.6640625" style="836" customWidth="1"/>
    <col min="1011" max="1262" width="13.33203125" style="836"/>
    <col min="1263" max="1263" width="2.77734375" style="836" customWidth="1"/>
    <col min="1264" max="1264" width="85" style="836" customWidth="1"/>
    <col min="1265" max="1265" width="13.33203125" style="836"/>
    <col min="1266" max="1266" width="21.6640625" style="836" customWidth="1"/>
    <col min="1267" max="1518" width="13.33203125" style="836"/>
    <col min="1519" max="1519" width="2.77734375" style="836" customWidth="1"/>
    <col min="1520" max="1520" width="85" style="836" customWidth="1"/>
    <col min="1521" max="1521" width="13.33203125" style="836"/>
    <col min="1522" max="1522" width="21.6640625" style="836" customWidth="1"/>
    <col min="1523" max="1774" width="13.33203125" style="836"/>
    <col min="1775" max="1775" width="2.77734375" style="836" customWidth="1"/>
    <col min="1776" max="1776" width="85" style="836" customWidth="1"/>
    <col min="1777" max="1777" width="13.33203125" style="836"/>
    <col min="1778" max="1778" width="21.6640625" style="836" customWidth="1"/>
    <col min="1779" max="2030" width="13.33203125" style="836"/>
    <col min="2031" max="2031" width="2.77734375" style="836" customWidth="1"/>
    <col min="2032" max="2032" width="85" style="836" customWidth="1"/>
    <col min="2033" max="2033" width="13.33203125" style="836"/>
    <col min="2034" max="2034" width="21.6640625" style="836" customWidth="1"/>
    <col min="2035" max="2286" width="13.33203125" style="836"/>
    <col min="2287" max="2287" width="2.77734375" style="836" customWidth="1"/>
    <col min="2288" max="2288" width="85" style="836" customWidth="1"/>
    <col min="2289" max="2289" width="13.33203125" style="836"/>
    <col min="2290" max="2290" width="21.6640625" style="836" customWidth="1"/>
    <col min="2291" max="2542" width="13.33203125" style="836"/>
    <col min="2543" max="2543" width="2.77734375" style="836" customWidth="1"/>
    <col min="2544" max="2544" width="85" style="836" customWidth="1"/>
    <col min="2545" max="2545" width="13.33203125" style="836"/>
    <col min="2546" max="2546" width="21.6640625" style="836" customWidth="1"/>
    <col min="2547" max="2798" width="13.33203125" style="836"/>
    <col min="2799" max="2799" width="2.77734375" style="836" customWidth="1"/>
    <col min="2800" max="2800" width="85" style="836" customWidth="1"/>
    <col min="2801" max="2801" width="13.33203125" style="836"/>
    <col min="2802" max="2802" width="21.6640625" style="836" customWidth="1"/>
    <col min="2803" max="3054" width="13.33203125" style="836"/>
    <col min="3055" max="3055" width="2.77734375" style="836" customWidth="1"/>
    <col min="3056" max="3056" width="85" style="836" customWidth="1"/>
    <col min="3057" max="3057" width="13.33203125" style="836"/>
    <col min="3058" max="3058" width="21.6640625" style="836" customWidth="1"/>
    <col min="3059" max="3310" width="13.33203125" style="836"/>
    <col min="3311" max="3311" width="2.77734375" style="836" customWidth="1"/>
    <col min="3312" max="3312" width="85" style="836" customWidth="1"/>
    <col min="3313" max="3313" width="13.33203125" style="836"/>
    <col min="3314" max="3314" width="21.6640625" style="836" customWidth="1"/>
    <col min="3315" max="3566" width="13.33203125" style="836"/>
    <col min="3567" max="3567" width="2.77734375" style="836" customWidth="1"/>
    <col min="3568" max="3568" width="85" style="836" customWidth="1"/>
    <col min="3569" max="3569" width="13.33203125" style="836"/>
    <col min="3570" max="3570" width="21.6640625" style="836" customWidth="1"/>
    <col min="3571" max="3822" width="13.33203125" style="836"/>
    <col min="3823" max="3823" width="2.77734375" style="836" customWidth="1"/>
    <col min="3824" max="3824" width="85" style="836" customWidth="1"/>
    <col min="3825" max="3825" width="13.33203125" style="836"/>
    <col min="3826" max="3826" width="21.6640625" style="836" customWidth="1"/>
    <col min="3827" max="4078" width="13.33203125" style="836"/>
    <col min="4079" max="4079" width="2.77734375" style="836" customWidth="1"/>
    <col min="4080" max="4080" width="85" style="836" customWidth="1"/>
    <col min="4081" max="4081" width="13.33203125" style="836"/>
    <col min="4082" max="4082" width="21.6640625" style="836" customWidth="1"/>
    <col min="4083" max="4334" width="13.33203125" style="836"/>
    <col min="4335" max="4335" width="2.77734375" style="836" customWidth="1"/>
    <col min="4336" max="4336" width="85" style="836" customWidth="1"/>
    <col min="4337" max="4337" width="13.33203125" style="836"/>
    <col min="4338" max="4338" width="21.6640625" style="836" customWidth="1"/>
    <col min="4339" max="4590" width="13.33203125" style="836"/>
    <col min="4591" max="4591" width="2.77734375" style="836" customWidth="1"/>
    <col min="4592" max="4592" width="85" style="836" customWidth="1"/>
    <col min="4593" max="4593" width="13.33203125" style="836"/>
    <col min="4594" max="4594" width="21.6640625" style="836" customWidth="1"/>
    <col min="4595" max="4846" width="13.33203125" style="836"/>
    <col min="4847" max="4847" width="2.77734375" style="836" customWidth="1"/>
    <col min="4848" max="4848" width="85" style="836" customWidth="1"/>
    <col min="4849" max="4849" width="13.33203125" style="836"/>
    <col min="4850" max="4850" width="21.6640625" style="836" customWidth="1"/>
    <col min="4851" max="5102" width="13.33203125" style="836"/>
    <col min="5103" max="5103" width="2.77734375" style="836" customWidth="1"/>
    <col min="5104" max="5104" width="85" style="836" customWidth="1"/>
    <col min="5105" max="5105" width="13.33203125" style="836"/>
    <col min="5106" max="5106" width="21.6640625" style="836" customWidth="1"/>
    <col min="5107" max="5358" width="13.33203125" style="836"/>
    <col min="5359" max="5359" width="2.77734375" style="836" customWidth="1"/>
    <col min="5360" max="5360" width="85" style="836" customWidth="1"/>
    <col min="5361" max="5361" width="13.33203125" style="836"/>
    <col min="5362" max="5362" width="21.6640625" style="836" customWidth="1"/>
    <col min="5363" max="5614" width="13.33203125" style="836"/>
    <col min="5615" max="5615" width="2.77734375" style="836" customWidth="1"/>
    <col min="5616" max="5616" width="85" style="836" customWidth="1"/>
    <col min="5617" max="5617" width="13.33203125" style="836"/>
    <col min="5618" max="5618" width="21.6640625" style="836" customWidth="1"/>
    <col min="5619" max="5870" width="13.33203125" style="836"/>
    <col min="5871" max="5871" width="2.77734375" style="836" customWidth="1"/>
    <col min="5872" max="5872" width="85" style="836" customWidth="1"/>
    <col min="5873" max="5873" width="13.33203125" style="836"/>
    <col min="5874" max="5874" width="21.6640625" style="836" customWidth="1"/>
    <col min="5875" max="6126" width="13.33203125" style="836"/>
    <col min="6127" max="6127" width="2.77734375" style="836" customWidth="1"/>
    <col min="6128" max="6128" width="85" style="836" customWidth="1"/>
    <col min="6129" max="6129" width="13.33203125" style="836"/>
    <col min="6130" max="6130" width="21.6640625" style="836" customWidth="1"/>
    <col min="6131" max="6382" width="13.33203125" style="836"/>
    <col min="6383" max="6383" width="2.77734375" style="836" customWidth="1"/>
    <col min="6384" max="6384" width="85" style="836" customWidth="1"/>
    <col min="6385" max="6385" width="13.33203125" style="836"/>
    <col min="6386" max="6386" width="21.6640625" style="836" customWidth="1"/>
    <col min="6387" max="6638" width="13.33203125" style="836"/>
    <col min="6639" max="6639" width="2.77734375" style="836" customWidth="1"/>
    <col min="6640" max="6640" width="85" style="836" customWidth="1"/>
    <col min="6641" max="6641" width="13.33203125" style="836"/>
    <col min="6642" max="6642" width="21.6640625" style="836" customWidth="1"/>
    <col min="6643" max="6894" width="13.33203125" style="836"/>
    <col min="6895" max="6895" width="2.77734375" style="836" customWidth="1"/>
    <col min="6896" max="6896" width="85" style="836" customWidth="1"/>
    <col min="6897" max="6897" width="13.33203125" style="836"/>
    <col min="6898" max="6898" width="21.6640625" style="836" customWidth="1"/>
    <col min="6899" max="7150" width="13.33203125" style="836"/>
    <col min="7151" max="7151" width="2.77734375" style="836" customWidth="1"/>
    <col min="7152" max="7152" width="85" style="836" customWidth="1"/>
    <col min="7153" max="7153" width="13.33203125" style="836"/>
    <col min="7154" max="7154" width="21.6640625" style="836" customWidth="1"/>
    <col min="7155" max="7406" width="13.33203125" style="836"/>
    <col min="7407" max="7407" width="2.77734375" style="836" customWidth="1"/>
    <col min="7408" max="7408" width="85" style="836" customWidth="1"/>
    <col min="7409" max="7409" width="13.33203125" style="836"/>
    <col min="7410" max="7410" width="21.6640625" style="836" customWidth="1"/>
    <col min="7411" max="7662" width="13.33203125" style="836"/>
    <col min="7663" max="7663" width="2.77734375" style="836" customWidth="1"/>
    <col min="7664" max="7664" width="85" style="836" customWidth="1"/>
    <col min="7665" max="7665" width="13.33203125" style="836"/>
    <col min="7666" max="7666" width="21.6640625" style="836" customWidth="1"/>
    <col min="7667" max="7918" width="13.33203125" style="836"/>
    <col min="7919" max="7919" width="2.77734375" style="836" customWidth="1"/>
    <col min="7920" max="7920" width="85" style="836" customWidth="1"/>
    <col min="7921" max="7921" width="13.33203125" style="836"/>
    <col min="7922" max="7922" width="21.6640625" style="836" customWidth="1"/>
    <col min="7923" max="8174" width="13.33203125" style="836"/>
    <col min="8175" max="8175" width="2.77734375" style="836" customWidth="1"/>
    <col min="8176" max="8176" width="85" style="836" customWidth="1"/>
    <col min="8177" max="8177" width="13.33203125" style="836"/>
    <col min="8178" max="8178" width="21.6640625" style="836" customWidth="1"/>
    <col min="8179" max="8430" width="13.33203125" style="836"/>
    <col min="8431" max="8431" width="2.77734375" style="836" customWidth="1"/>
    <col min="8432" max="8432" width="85" style="836" customWidth="1"/>
    <col min="8433" max="8433" width="13.33203125" style="836"/>
    <col min="8434" max="8434" width="21.6640625" style="836" customWidth="1"/>
    <col min="8435" max="8686" width="13.33203125" style="836"/>
    <col min="8687" max="8687" width="2.77734375" style="836" customWidth="1"/>
    <col min="8688" max="8688" width="85" style="836" customWidth="1"/>
    <col min="8689" max="8689" width="13.33203125" style="836"/>
    <col min="8690" max="8690" width="21.6640625" style="836" customWidth="1"/>
    <col min="8691" max="8942" width="13.33203125" style="836"/>
    <col min="8943" max="8943" width="2.77734375" style="836" customWidth="1"/>
    <col min="8944" max="8944" width="85" style="836" customWidth="1"/>
    <col min="8945" max="8945" width="13.33203125" style="836"/>
    <col min="8946" max="8946" width="21.6640625" style="836" customWidth="1"/>
    <col min="8947" max="9198" width="13.33203125" style="836"/>
    <col min="9199" max="9199" width="2.77734375" style="836" customWidth="1"/>
    <col min="9200" max="9200" width="85" style="836" customWidth="1"/>
    <col min="9201" max="9201" width="13.33203125" style="836"/>
    <col min="9202" max="9202" width="21.6640625" style="836" customWidth="1"/>
    <col min="9203" max="9454" width="13.33203125" style="836"/>
    <col min="9455" max="9455" width="2.77734375" style="836" customWidth="1"/>
    <col min="9456" max="9456" width="85" style="836" customWidth="1"/>
    <col min="9457" max="9457" width="13.33203125" style="836"/>
    <col min="9458" max="9458" width="21.6640625" style="836" customWidth="1"/>
    <col min="9459" max="9710" width="13.33203125" style="836"/>
    <col min="9711" max="9711" width="2.77734375" style="836" customWidth="1"/>
    <col min="9712" max="9712" width="85" style="836" customWidth="1"/>
    <col min="9713" max="9713" width="13.33203125" style="836"/>
    <col min="9714" max="9714" width="21.6640625" style="836" customWidth="1"/>
    <col min="9715" max="9966" width="13.33203125" style="836"/>
    <col min="9967" max="9967" width="2.77734375" style="836" customWidth="1"/>
    <col min="9968" max="9968" width="85" style="836" customWidth="1"/>
    <col min="9969" max="9969" width="13.33203125" style="836"/>
    <col min="9970" max="9970" width="21.6640625" style="836" customWidth="1"/>
    <col min="9971" max="10222" width="13.33203125" style="836"/>
    <col min="10223" max="10223" width="2.77734375" style="836" customWidth="1"/>
    <col min="10224" max="10224" width="85" style="836" customWidth="1"/>
    <col min="10225" max="10225" width="13.33203125" style="836"/>
    <col min="10226" max="10226" width="21.6640625" style="836" customWidth="1"/>
    <col min="10227" max="10478" width="13.33203125" style="836"/>
    <col min="10479" max="10479" width="2.77734375" style="836" customWidth="1"/>
    <col min="10480" max="10480" width="85" style="836" customWidth="1"/>
    <col min="10481" max="10481" width="13.33203125" style="836"/>
    <col min="10482" max="10482" width="21.6640625" style="836" customWidth="1"/>
    <col min="10483" max="10734" width="13.33203125" style="836"/>
    <col min="10735" max="10735" width="2.77734375" style="836" customWidth="1"/>
    <col min="10736" max="10736" width="85" style="836" customWidth="1"/>
    <col min="10737" max="10737" width="13.33203125" style="836"/>
    <col min="10738" max="10738" width="21.6640625" style="836" customWidth="1"/>
    <col min="10739" max="10990" width="13.33203125" style="836"/>
    <col min="10991" max="10991" width="2.77734375" style="836" customWidth="1"/>
    <col min="10992" max="10992" width="85" style="836" customWidth="1"/>
    <col min="10993" max="10993" width="13.33203125" style="836"/>
    <col min="10994" max="10994" width="21.6640625" style="836" customWidth="1"/>
    <col min="10995" max="11246" width="13.33203125" style="836"/>
    <col min="11247" max="11247" width="2.77734375" style="836" customWidth="1"/>
    <col min="11248" max="11248" width="85" style="836" customWidth="1"/>
    <col min="11249" max="11249" width="13.33203125" style="836"/>
    <col min="11250" max="11250" width="21.6640625" style="836" customWidth="1"/>
    <col min="11251" max="11502" width="13.33203125" style="836"/>
    <col min="11503" max="11503" width="2.77734375" style="836" customWidth="1"/>
    <col min="11504" max="11504" width="85" style="836" customWidth="1"/>
    <col min="11505" max="11505" width="13.33203125" style="836"/>
    <col min="11506" max="11506" width="21.6640625" style="836" customWidth="1"/>
    <col min="11507" max="11758" width="13.33203125" style="836"/>
    <col min="11759" max="11759" width="2.77734375" style="836" customWidth="1"/>
    <col min="11760" max="11760" width="85" style="836" customWidth="1"/>
    <col min="11761" max="11761" width="13.33203125" style="836"/>
    <col min="11762" max="11762" width="21.6640625" style="836" customWidth="1"/>
    <col min="11763" max="12014" width="13.33203125" style="836"/>
    <col min="12015" max="12015" width="2.77734375" style="836" customWidth="1"/>
    <col min="12016" max="12016" width="85" style="836" customWidth="1"/>
    <col min="12017" max="12017" width="13.33203125" style="836"/>
    <col min="12018" max="12018" width="21.6640625" style="836" customWidth="1"/>
    <col min="12019" max="12270" width="13.33203125" style="836"/>
    <col min="12271" max="12271" width="2.77734375" style="836" customWidth="1"/>
    <col min="12272" max="12272" width="85" style="836" customWidth="1"/>
    <col min="12273" max="12273" width="13.33203125" style="836"/>
    <col min="12274" max="12274" width="21.6640625" style="836" customWidth="1"/>
    <col min="12275" max="12526" width="13.33203125" style="836"/>
    <col min="12527" max="12527" width="2.77734375" style="836" customWidth="1"/>
    <col min="12528" max="12528" width="85" style="836" customWidth="1"/>
    <col min="12529" max="12529" width="13.33203125" style="836"/>
    <col min="12530" max="12530" width="21.6640625" style="836" customWidth="1"/>
    <col min="12531" max="12782" width="13.33203125" style="836"/>
    <col min="12783" max="12783" width="2.77734375" style="836" customWidth="1"/>
    <col min="12784" max="12784" width="85" style="836" customWidth="1"/>
    <col min="12785" max="12785" width="13.33203125" style="836"/>
    <col min="12786" max="12786" width="21.6640625" style="836" customWidth="1"/>
    <col min="12787" max="13038" width="13.33203125" style="836"/>
    <col min="13039" max="13039" width="2.77734375" style="836" customWidth="1"/>
    <col min="13040" max="13040" width="85" style="836" customWidth="1"/>
    <col min="13041" max="13041" width="13.33203125" style="836"/>
    <col min="13042" max="13042" width="21.6640625" style="836" customWidth="1"/>
    <col min="13043" max="13294" width="13.33203125" style="836"/>
    <col min="13295" max="13295" width="2.77734375" style="836" customWidth="1"/>
    <col min="13296" max="13296" width="85" style="836" customWidth="1"/>
    <col min="13297" max="13297" width="13.33203125" style="836"/>
    <col min="13298" max="13298" width="21.6640625" style="836" customWidth="1"/>
    <col min="13299" max="13550" width="13.33203125" style="836"/>
    <col min="13551" max="13551" width="2.77734375" style="836" customWidth="1"/>
    <col min="13552" max="13552" width="85" style="836" customWidth="1"/>
    <col min="13553" max="13553" width="13.33203125" style="836"/>
    <col min="13554" max="13554" width="21.6640625" style="836" customWidth="1"/>
    <col min="13555" max="13806" width="13.33203125" style="836"/>
    <col min="13807" max="13807" width="2.77734375" style="836" customWidth="1"/>
    <col min="13808" max="13808" width="85" style="836" customWidth="1"/>
    <col min="13809" max="13809" width="13.33203125" style="836"/>
    <col min="13810" max="13810" width="21.6640625" style="836" customWidth="1"/>
    <col min="13811" max="14062" width="13.33203125" style="836"/>
    <col min="14063" max="14063" width="2.77734375" style="836" customWidth="1"/>
    <col min="14064" max="14064" width="85" style="836" customWidth="1"/>
    <col min="14065" max="14065" width="13.33203125" style="836"/>
    <col min="14066" max="14066" width="21.6640625" style="836" customWidth="1"/>
    <col min="14067" max="14318" width="13.33203125" style="836"/>
    <col min="14319" max="14319" width="2.77734375" style="836" customWidth="1"/>
    <col min="14320" max="14320" width="85" style="836" customWidth="1"/>
    <col min="14321" max="14321" width="13.33203125" style="836"/>
    <col min="14322" max="14322" width="21.6640625" style="836" customWidth="1"/>
    <col min="14323" max="14574" width="13.33203125" style="836"/>
    <col min="14575" max="14575" width="2.77734375" style="836" customWidth="1"/>
    <col min="14576" max="14576" width="85" style="836" customWidth="1"/>
    <col min="14577" max="14577" width="13.33203125" style="836"/>
    <col min="14578" max="14578" width="21.6640625" style="836" customWidth="1"/>
    <col min="14579" max="14830" width="13.33203125" style="836"/>
    <col min="14831" max="14831" width="2.77734375" style="836" customWidth="1"/>
    <col min="14832" max="14832" width="85" style="836" customWidth="1"/>
    <col min="14833" max="14833" width="13.33203125" style="836"/>
    <col min="14834" max="14834" width="21.6640625" style="836" customWidth="1"/>
    <col min="14835" max="15086" width="13.33203125" style="836"/>
    <col min="15087" max="15087" width="2.77734375" style="836" customWidth="1"/>
    <col min="15088" max="15088" width="85" style="836" customWidth="1"/>
    <col min="15089" max="15089" width="13.33203125" style="836"/>
    <col min="15090" max="15090" width="21.6640625" style="836" customWidth="1"/>
    <col min="15091" max="15342" width="13.33203125" style="836"/>
    <col min="15343" max="15343" width="2.77734375" style="836" customWidth="1"/>
    <col min="15344" max="15344" width="85" style="836" customWidth="1"/>
    <col min="15345" max="15345" width="13.33203125" style="836"/>
    <col min="15346" max="15346" width="21.6640625" style="836" customWidth="1"/>
    <col min="15347" max="15598" width="13.33203125" style="836"/>
    <col min="15599" max="15599" width="2.77734375" style="836" customWidth="1"/>
    <col min="15600" max="15600" width="85" style="836" customWidth="1"/>
    <col min="15601" max="15601" width="13.33203125" style="836"/>
    <col min="15602" max="15602" width="21.6640625" style="836" customWidth="1"/>
    <col min="15603" max="15854" width="13.33203125" style="836"/>
    <col min="15855" max="15855" width="2.77734375" style="836" customWidth="1"/>
    <col min="15856" max="15856" width="85" style="836" customWidth="1"/>
    <col min="15857" max="15857" width="13.33203125" style="836"/>
    <col min="15858" max="15858" width="21.6640625" style="836" customWidth="1"/>
    <col min="15859" max="16110" width="13.33203125" style="836"/>
    <col min="16111" max="16111" width="2.77734375" style="836" customWidth="1"/>
    <col min="16112" max="16112" width="85" style="836" customWidth="1"/>
    <col min="16113" max="16113" width="13.33203125" style="836"/>
    <col min="16114" max="16114" width="21.6640625" style="836" customWidth="1"/>
    <col min="16115" max="16384" width="13.33203125" style="836"/>
  </cols>
  <sheetData>
    <row r="1" spans="1:11" s="15" customFormat="1" ht="39" customHeight="1" x14ac:dyDescent="0.25">
      <c r="B1" s="1129" t="str">
        <f>Instructivo!F1</f>
        <v>Sistema de Gestión Integral (SGI)
Instructivo - Componente Financiero EP
Código: F-PGC-21. Versión: 05</v>
      </c>
      <c r="C1" s="1129"/>
      <c r="D1" s="1129"/>
      <c r="E1" s="1129"/>
      <c r="F1" s="132" t="s">
        <v>102</v>
      </c>
    </row>
    <row r="2" spans="1:11" s="15" customFormat="1" ht="17.25" customHeight="1" x14ac:dyDescent="0.25">
      <c r="B2" s="1173" t="s">
        <v>955</v>
      </c>
      <c r="C2" s="1173"/>
      <c r="D2" s="1173"/>
      <c r="E2" s="1173"/>
      <c r="I2" s="441"/>
      <c r="J2" s="420"/>
      <c r="K2" s="378"/>
    </row>
    <row r="3" spans="1:11" ht="0.75" customHeight="1" x14ac:dyDescent="0.25"/>
    <row r="4" spans="1:11" ht="0.75" customHeight="1" x14ac:dyDescent="0.25"/>
    <row r="5" spans="1:11" ht="0.75" customHeight="1" x14ac:dyDescent="0.25"/>
    <row r="6" spans="1:11" ht="0.75" customHeight="1" x14ac:dyDescent="0.25">
      <c r="A6" s="1208"/>
      <c r="B6" s="1209"/>
      <c r="C6" s="1209"/>
      <c r="D6" s="1209"/>
      <c r="E6" s="1209"/>
    </row>
    <row r="7" spans="1:11" ht="0.75" customHeight="1" x14ac:dyDescent="0.25">
      <c r="A7" s="1208"/>
      <c r="B7" s="1009"/>
      <c r="C7" s="1009"/>
      <c r="D7" s="1009"/>
      <c r="E7" s="1009"/>
    </row>
    <row r="8" spans="1:11" ht="0.75" customHeight="1" x14ac:dyDescent="0.25">
      <c r="A8" s="1208"/>
      <c r="B8" s="1009"/>
      <c r="C8" s="1009"/>
      <c r="D8" s="1009"/>
      <c r="E8" s="1009"/>
    </row>
    <row r="9" spans="1:11" ht="4.5" customHeight="1" x14ac:dyDescent="0.25">
      <c r="A9" s="1210"/>
      <c r="B9" s="1210"/>
      <c r="C9" s="1210"/>
      <c r="D9" s="1210"/>
    </row>
    <row r="10" spans="1:11" ht="24" customHeight="1" x14ac:dyDescent="0.25">
      <c r="A10" s="837" t="s">
        <v>956</v>
      </c>
      <c r="B10" s="1211">
        <v>2025</v>
      </c>
      <c r="C10" s="1211"/>
      <c r="D10" s="1211"/>
    </row>
    <row r="11" spans="1:11" ht="24" customHeight="1" x14ac:dyDescent="0.25">
      <c r="A11" s="837" t="s">
        <v>957</v>
      </c>
      <c r="B11" s="1211" t="s">
        <v>958</v>
      </c>
      <c r="C11" s="1211"/>
      <c r="D11" s="1211"/>
    </row>
    <row r="12" spans="1:11" ht="6" customHeight="1" x14ac:dyDescent="0.25"/>
    <row r="13" spans="1:11" ht="30.75" customHeight="1" x14ac:dyDescent="0.25">
      <c r="A13" s="1212" t="s">
        <v>959</v>
      </c>
      <c r="B13" s="1212"/>
      <c r="C13" s="1212"/>
      <c r="D13" s="1212"/>
    </row>
    <row r="14" spans="1:11" ht="6" customHeight="1" x14ac:dyDescent="0.25">
      <c r="A14" s="838"/>
      <c r="B14" s="838"/>
      <c r="C14" s="838"/>
      <c r="D14" s="838"/>
    </row>
    <row r="15" spans="1:11" ht="101.25" customHeight="1" x14ac:dyDescent="0.25">
      <c r="A15" s="1212" t="s">
        <v>960</v>
      </c>
      <c r="B15" s="1212"/>
      <c r="C15" s="1212"/>
      <c r="D15" s="1212"/>
    </row>
    <row r="16" spans="1:11" ht="4.5" customHeight="1" x14ac:dyDescent="0.25">
      <c r="A16" s="839"/>
      <c r="B16" s="839"/>
      <c r="C16" s="839"/>
      <c r="D16" s="839"/>
    </row>
    <row r="17" spans="1:4" ht="70.5" customHeight="1" x14ac:dyDescent="0.25">
      <c r="A17" s="1212" t="s">
        <v>961</v>
      </c>
      <c r="B17" s="1212"/>
      <c r="C17" s="1212"/>
      <c r="D17" s="1212"/>
    </row>
  </sheetData>
  <mergeCells count="13">
    <mergeCell ref="A17:D17"/>
    <mergeCell ref="A9:D9"/>
    <mergeCell ref="B10:D10"/>
    <mergeCell ref="B11:D11"/>
    <mergeCell ref="A13:D13"/>
    <mergeCell ref="A15:D15"/>
    <mergeCell ref="B1:E1"/>
    <mergeCell ref="B2:E2"/>
    <mergeCell ref="A6:A8"/>
    <mergeCell ref="B6:E6"/>
    <mergeCell ref="B7:E7"/>
    <mergeCell ref="B8:C8"/>
    <mergeCell ref="D8:E8"/>
  </mergeCells>
  <hyperlinks>
    <hyperlink ref="F1" location="ins" display="Instructivo" xr:uid="{00000000-0004-0000-1A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B3A2C7"/>
    <pageSetUpPr fitToPage="1"/>
  </sheetPr>
  <dimension ref="A1:O21"/>
  <sheetViews>
    <sheetView showGridLines="0" zoomScaleNormal="100" workbookViewId="0">
      <selection activeCell="F8" sqref="F8"/>
    </sheetView>
  </sheetViews>
  <sheetFormatPr baseColWidth="10" defaultColWidth="12" defaultRowHeight="19.5" customHeight="1" x14ac:dyDescent="0.25"/>
  <cols>
    <col min="1" max="1" width="37.33203125" style="140" customWidth="1"/>
    <col min="2" max="2" width="35.33203125" style="140" customWidth="1"/>
    <col min="3" max="3" width="21" style="140" customWidth="1"/>
    <col min="4" max="245" width="12" style="140"/>
    <col min="246" max="246" width="36.33203125" style="140" customWidth="1"/>
    <col min="247" max="247" width="22.33203125" style="140" customWidth="1"/>
    <col min="248" max="248" width="12" style="140"/>
    <col min="249" max="249" width="14.33203125" style="140" customWidth="1"/>
    <col min="250" max="501" width="12" style="140"/>
    <col min="502" max="502" width="36.33203125" style="140" customWidth="1"/>
    <col min="503" max="503" width="22.33203125" style="140" customWidth="1"/>
    <col min="504" max="504" width="12" style="140"/>
    <col min="505" max="505" width="14.33203125" style="140" customWidth="1"/>
    <col min="506" max="757" width="12" style="140"/>
    <col min="758" max="758" width="36.33203125" style="140" customWidth="1"/>
    <col min="759" max="759" width="22.33203125" style="140" customWidth="1"/>
    <col min="760" max="760" width="12" style="140"/>
    <col min="761" max="761" width="14.33203125" style="140" customWidth="1"/>
    <col min="762" max="1013" width="12" style="140"/>
    <col min="1014" max="1014" width="36.33203125" style="140" customWidth="1"/>
    <col min="1015" max="1015" width="22.33203125" style="140" customWidth="1"/>
    <col min="1016" max="1016" width="12" style="140"/>
    <col min="1017" max="1017" width="14.33203125" style="140" customWidth="1"/>
    <col min="1018" max="1269" width="12" style="140"/>
    <col min="1270" max="1270" width="36.33203125" style="140" customWidth="1"/>
    <col min="1271" max="1271" width="22.33203125" style="140" customWidth="1"/>
    <col min="1272" max="1272" width="12" style="140"/>
    <col min="1273" max="1273" width="14.33203125" style="140" customWidth="1"/>
    <col min="1274" max="1525" width="12" style="140"/>
    <col min="1526" max="1526" width="36.33203125" style="140" customWidth="1"/>
    <col min="1527" max="1527" width="22.33203125" style="140" customWidth="1"/>
    <col min="1528" max="1528" width="12" style="140"/>
    <col min="1529" max="1529" width="14.33203125" style="140" customWidth="1"/>
    <col min="1530" max="1781" width="12" style="140"/>
    <col min="1782" max="1782" width="36.33203125" style="140" customWidth="1"/>
    <col min="1783" max="1783" width="22.33203125" style="140" customWidth="1"/>
    <col min="1784" max="1784" width="12" style="140"/>
    <col min="1785" max="1785" width="14.33203125" style="140" customWidth="1"/>
    <col min="1786" max="2037" width="12" style="140"/>
    <col min="2038" max="2038" width="36.33203125" style="140" customWidth="1"/>
    <col min="2039" max="2039" width="22.33203125" style="140" customWidth="1"/>
    <col min="2040" max="2040" width="12" style="140"/>
    <col min="2041" max="2041" width="14.33203125" style="140" customWidth="1"/>
    <col min="2042" max="2293" width="12" style="140"/>
    <col min="2294" max="2294" width="36.33203125" style="140" customWidth="1"/>
    <col min="2295" max="2295" width="22.33203125" style="140" customWidth="1"/>
    <col min="2296" max="2296" width="12" style="140"/>
    <col min="2297" max="2297" width="14.33203125" style="140" customWidth="1"/>
    <col min="2298" max="2549" width="12" style="140"/>
    <col min="2550" max="2550" width="36.33203125" style="140" customWidth="1"/>
    <col min="2551" max="2551" width="22.33203125" style="140" customWidth="1"/>
    <col min="2552" max="2552" width="12" style="140"/>
    <col min="2553" max="2553" width="14.33203125" style="140" customWidth="1"/>
    <col min="2554" max="2805" width="12" style="140"/>
    <col min="2806" max="2806" width="36.33203125" style="140" customWidth="1"/>
    <col min="2807" max="2807" width="22.33203125" style="140" customWidth="1"/>
    <col min="2808" max="2808" width="12" style="140"/>
    <col min="2809" max="2809" width="14.33203125" style="140" customWidth="1"/>
    <col min="2810" max="3061" width="12" style="140"/>
    <col min="3062" max="3062" width="36.33203125" style="140" customWidth="1"/>
    <col min="3063" max="3063" width="22.33203125" style="140" customWidth="1"/>
    <col min="3064" max="3064" width="12" style="140"/>
    <col min="3065" max="3065" width="14.33203125" style="140" customWidth="1"/>
    <col min="3066" max="3317" width="12" style="140"/>
    <col min="3318" max="3318" width="36.33203125" style="140" customWidth="1"/>
    <col min="3319" max="3319" width="22.33203125" style="140" customWidth="1"/>
    <col min="3320" max="3320" width="12" style="140"/>
    <col min="3321" max="3321" width="14.33203125" style="140" customWidth="1"/>
    <col min="3322" max="3573" width="12" style="140"/>
    <col min="3574" max="3574" width="36.33203125" style="140" customWidth="1"/>
    <col min="3575" max="3575" width="22.33203125" style="140" customWidth="1"/>
    <col min="3576" max="3576" width="12" style="140"/>
    <col min="3577" max="3577" width="14.33203125" style="140" customWidth="1"/>
    <col min="3578" max="3829" width="12" style="140"/>
    <col min="3830" max="3830" width="36.33203125" style="140" customWidth="1"/>
    <col min="3831" max="3831" width="22.33203125" style="140" customWidth="1"/>
    <col min="3832" max="3832" width="12" style="140"/>
    <col min="3833" max="3833" width="14.33203125" style="140" customWidth="1"/>
    <col min="3834" max="4085" width="12" style="140"/>
    <col min="4086" max="4086" width="36.33203125" style="140" customWidth="1"/>
    <col min="4087" max="4087" width="22.33203125" style="140" customWidth="1"/>
    <col min="4088" max="4088" width="12" style="140"/>
    <col min="4089" max="4089" width="14.33203125" style="140" customWidth="1"/>
    <col min="4090" max="4341" width="12" style="140"/>
    <col min="4342" max="4342" width="36.33203125" style="140" customWidth="1"/>
    <col min="4343" max="4343" width="22.33203125" style="140" customWidth="1"/>
    <col min="4344" max="4344" width="12" style="140"/>
    <col min="4345" max="4345" width="14.33203125" style="140" customWidth="1"/>
    <col min="4346" max="4597" width="12" style="140"/>
    <col min="4598" max="4598" width="36.33203125" style="140" customWidth="1"/>
    <col min="4599" max="4599" width="22.33203125" style="140" customWidth="1"/>
    <col min="4600" max="4600" width="12" style="140"/>
    <col min="4601" max="4601" width="14.33203125" style="140" customWidth="1"/>
    <col min="4602" max="4853" width="12" style="140"/>
    <col min="4854" max="4854" width="36.33203125" style="140" customWidth="1"/>
    <col min="4855" max="4855" width="22.33203125" style="140" customWidth="1"/>
    <col min="4856" max="4856" width="12" style="140"/>
    <col min="4857" max="4857" width="14.33203125" style="140" customWidth="1"/>
    <col min="4858" max="5109" width="12" style="140"/>
    <col min="5110" max="5110" width="36.33203125" style="140" customWidth="1"/>
    <col min="5111" max="5111" width="22.33203125" style="140" customWidth="1"/>
    <col min="5112" max="5112" width="12" style="140"/>
    <col min="5113" max="5113" width="14.33203125" style="140" customWidth="1"/>
    <col min="5114" max="5365" width="12" style="140"/>
    <col min="5366" max="5366" width="36.33203125" style="140" customWidth="1"/>
    <col min="5367" max="5367" width="22.33203125" style="140" customWidth="1"/>
    <col min="5368" max="5368" width="12" style="140"/>
    <col min="5369" max="5369" width="14.33203125" style="140" customWidth="1"/>
    <col min="5370" max="5621" width="12" style="140"/>
    <col min="5622" max="5622" width="36.33203125" style="140" customWidth="1"/>
    <col min="5623" max="5623" width="22.33203125" style="140" customWidth="1"/>
    <col min="5624" max="5624" width="12" style="140"/>
    <col min="5625" max="5625" width="14.33203125" style="140" customWidth="1"/>
    <col min="5626" max="5877" width="12" style="140"/>
    <col min="5878" max="5878" width="36.33203125" style="140" customWidth="1"/>
    <col min="5879" max="5879" width="22.33203125" style="140" customWidth="1"/>
    <col min="5880" max="5880" width="12" style="140"/>
    <col min="5881" max="5881" width="14.33203125" style="140" customWidth="1"/>
    <col min="5882" max="6133" width="12" style="140"/>
    <col min="6134" max="6134" width="36.33203125" style="140" customWidth="1"/>
    <col min="6135" max="6135" width="22.33203125" style="140" customWidth="1"/>
    <col min="6136" max="6136" width="12" style="140"/>
    <col min="6137" max="6137" width="14.33203125" style="140" customWidth="1"/>
    <col min="6138" max="6389" width="12" style="140"/>
    <col min="6390" max="6390" width="36.33203125" style="140" customWidth="1"/>
    <col min="6391" max="6391" width="22.33203125" style="140" customWidth="1"/>
    <col min="6392" max="6392" width="12" style="140"/>
    <col min="6393" max="6393" width="14.33203125" style="140" customWidth="1"/>
    <col min="6394" max="6645" width="12" style="140"/>
    <col min="6646" max="6646" width="36.33203125" style="140" customWidth="1"/>
    <col min="6647" max="6647" width="22.33203125" style="140" customWidth="1"/>
    <col min="6648" max="6648" width="12" style="140"/>
    <col min="6649" max="6649" width="14.33203125" style="140" customWidth="1"/>
    <col min="6650" max="6901" width="12" style="140"/>
    <col min="6902" max="6902" width="36.33203125" style="140" customWidth="1"/>
    <col min="6903" max="6903" width="22.33203125" style="140" customWidth="1"/>
    <col min="6904" max="6904" width="12" style="140"/>
    <col min="6905" max="6905" width="14.33203125" style="140" customWidth="1"/>
    <col min="6906" max="7157" width="12" style="140"/>
    <col min="7158" max="7158" width="36.33203125" style="140" customWidth="1"/>
    <col min="7159" max="7159" width="22.33203125" style="140" customWidth="1"/>
    <col min="7160" max="7160" width="12" style="140"/>
    <col min="7161" max="7161" width="14.33203125" style="140" customWidth="1"/>
    <col min="7162" max="7413" width="12" style="140"/>
    <col min="7414" max="7414" width="36.33203125" style="140" customWidth="1"/>
    <col min="7415" max="7415" width="22.33203125" style="140" customWidth="1"/>
    <col min="7416" max="7416" width="12" style="140"/>
    <col min="7417" max="7417" width="14.33203125" style="140" customWidth="1"/>
    <col min="7418" max="7669" width="12" style="140"/>
    <col min="7670" max="7670" width="36.33203125" style="140" customWidth="1"/>
    <col min="7671" max="7671" width="22.33203125" style="140" customWidth="1"/>
    <col min="7672" max="7672" width="12" style="140"/>
    <col min="7673" max="7673" width="14.33203125" style="140" customWidth="1"/>
    <col min="7674" max="7925" width="12" style="140"/>
    <col min="7926" max="7926" width="36.33203125" style="140" customWidth="1"/>
    <col min="7927" max="7927" width="22.33203125" style="140" customWidth="1"/>
    <col min="7928" max="7928" width="12" style="140"/>
    <col min="7929" max="7929" width="14.33203125" style="140" customWidth="1"/>
    <col min="7930" max="8181" width="12" style="140"/>
    <col min="8182" max="8182" width="36.33203125" style="140" customWidth="1"/>
    <col min="8183" max="8183" width="22.33203125" style="140" customWidth="1"/>
    <col min="8184" max="8184" width="12" style="140"/>
    <col min="8185" max="8185" width="14.33203125" style="140" customWidth="1"/>
    <col min="8186" max="8437" width="12" style="140"/>
    <col min="8438" max="8438" width="36.33203125" style="140" customWidth="1"/>
    <col min="8439" max="8439" width="22.33203125" style="140" customWidth="1"/>
    <col min="8440" max="8440" width="12" style="140"/>
    <col min="8441" max="8441" width="14.33203125" style="140" customWidth="1"/>
    <col min="8442" max="8693" width="12" style="140"/>
    <col min="8694" max="8694" width="36.33203125" style="140" customWidth="1"/>
    <col min="8695" max="8695" width="22.33203125" style="140" customWidth="1"/>
    <col min="8696" max="8696" width="12" style="140"/>
    <col min="8697" max="8697" width="14.33203125" style="140" customWidth="1"/>
    <col min="8698" max="8949" width="12" style="140"/>
    <col min="8950" max="8950" width="36.33203125" style="140" customWidth="1"/>
    <col min="8951" max="8951" width="22.33203125" style="140" customWidth="1"/>
    <col min="8952" max="8952" width="12" style="140"/>
    <col min="8953" max="8953" width="14.33203125" style="140" customWidth="1"/>
    <col min="8954" max="9205" width="12" style="140"/>
    <col min="9206" max="9206" width="36.33203125" style="140" customWidth="1"/>
    <col min="9207" max="9207" width="22.33203125" style="140" customWidth="1"/>
    <col min="9208" max="9208" width="12" style="140"/>
    <col min="9209" max="9209" width="14.33203125" style="140" customWidth="1"/>
    <col min="9210" max="9461" width="12" style="140"/>
    <col min="9462" max="9462" width="36.33203125" style="140" customWidth="1"/>
    <col min="9463" max="9463" width="22.33203125" style="140" customWidth="1"/>
    <col min="9464" max="9464" width="12" style="140"/>
    <col min="9465" max="9465" width="14.33203125" style="140" customWidth="1"/>
    <col min="9466" max="9717" width="12" style="140"/>
    <col min="9718" max="9718" width="36.33203125" style="140" customWidth="1"/>
    <col min="9719" max="9719" width="22.33203125" style="140" customWidth="1"/>
    <col min="9720" max="9720" width="12" style="140"/>
    <col min="9721" max="9721" width="14.33203125" style="140" customWidth="1"/>
    <col min="9722" max="9973" width="12" style="140"/>
    <col min="9974" max="9974" width="36.33203125" style="140" customWidth="1"/>
    <col min="9975" max="9975" width="22.33203125" style="140" customWidth="1"/>
    <col min="9976" max="9976" width="12" style="140"/>
    <col min="9977" max="9977" width="14.33203125" style="140" customWidth="1"/>
    <col min="9978" max="10229" width="12" style="140"/>
    <col min="10230" max="10230" width="36.33203125" style="140" customWidth="1"/>
    <col min="10231" max="10231" width="22.33203125" style="140" customWidth="1"/>
    <col min="10232" max="10232" width="12" style="140"/>
    <col min="10233" max="10233" width="14.33203125" style="140" customWidth="1"/>
    <col min="10234" max="10485" width="12" style="140"/>
    <col min="10486" max="10486" width="36.33203125" style="140" customWidth="1"/>
    <col min="10487" max="10487" width="22.33203125" style="140" customWidth="1"/>
    <col min="10488" max="10488" width="12" style="140"/>
    <col min="10489" max="10489" width="14.33203125" style="140" customWidth="1"/>
    <col min="10490" max="10741" width="12" style="140"/>
    <col min="10742" max="10742" width="36.33203125" style="140" customWidth="1"/>
    <col min="10743" max="10743" width="22.33203125" style="140" customWidth="1"/>
    <col min="10744" max="10744" width="12" style="140"/>
    <col min="10745" max="10745" width="14.33203125" style="140" customWidth="1"/>
    <col min="10746" max="10997" width="12" style="140"/>
    <col min="10998" max="10998" width="36.33203125" style="140" customWidth="1"/>
    <col min="10999" max="10999" width="22.33203125" style="140" customWidth="1"/>
    <col min="11000" max="11000" width="12" style="140"/>
    <col min="11001" max="11001" width="14.33203125" style="140" customWidth="1"/>
    <col min="11002" max="11253" width="12" style="140"/>
    <col min="11254" max="11254" width="36.33203125" style="140" customWidth="1"/>
    <col min="11255" max="11255" width="22.33203125" style="140" customWidth="1"/>
    <col min="11256" max="11256" width="12" style="140"/>
    <col min="11257" max="11257" width="14.33203125" style="140" customWidth="1"/>
    <col min="11258" max="11509" width="12" style="140"/>
    <col min="11510" max="11510" width="36.33203125" style="140" customWidth="1"/>
    <col min="11511" max="11511" width="22.33203125" style="140" customWidth="1"/>
    <col min="11512" max="11512" width="12" style="140"/>
    <col min="11513" max="11513" width="14.33203125" style="140" customWidth="1"/>
    <col min="11514" max="11765" width="12" style="140"/>
    <col min="11766" max="11766" width="36.33203125" style="140" customWidth="1"/>
    <col min="11767" max="11767" width="22.33203125" style="140" customWidth="1"/>
    <col min="11768" max="11768" width="12" style="140"/>
    <col min="11769" max="11769" width="14.33203125" style="140" customWidth="1"/>
    <col min="11770" max="12021" width="12" style="140"/>
    <col min="12022" max="12022" width="36.33203125" style="140" customWidth="1"/>
    <col min="12023" max="12023" width="22.33203125" style="140" customWidth="1"/>
    <col min="12024" max="12024" width="12" style="140"/>
    <col min="12025" max="12025" width="14.33203125" style="140" customWidth="1"/>
    <col min="12026" max="12277" width="12" style="140"/>
    <col min="12278" max="12278" width="36.33203125" style="140" customWidth="1"/>
    <col min="12279" max="12279" width="22.33203125" style="140" customWidth="1"/>
    <col min="12280" max="12280" width="12" style="140"/>
    <col min="12281" max="12281" width="14.33203125" style="140" customWidth="1"/>
    <col min="12282" max="12533" width="12" style="140"/>
    <col min="12534" max="12534" width="36.33203125" style="140" customWidth="1"/>
    <col min="12535" max="12535" width="22.33203125" style="140" customWidth="1"/>
    <col min="12536" max="12536" width="12" style="140"/>
    <col min="12537" max="12537" width="14.33203125" style="140" customWidth="1"/>
    <col min="12538" max="12789" width="12" style="140"/>
    <col min="12790" max="12790" width="36.33203125" style="140" customWidth="1"/>
    <col min="12791" max="12791" width="22.33203125" style="140" customWidth="1"/>
    <col min="12792" max="12792" width="12" style="140"/>
    <col min="12793" max="12793" width="14.33203125" style="140" customWidth="1"/>
    <col min="12794" max="13045" width="12" style="140"/>
    <col min="13046" max="13046" width="36.33203125" style="140" customWidth="1"/>
    <col min="13047" max="13047" width="22.33203125" style="140" customWidth="1"/>
    <col min="13048" max="13048" width="12" style="140"/>
    <col min="13049" max="13049" width="14.33203125" style="140" customWidth="1"/>
    <col min="13050" max="13301" width="12" style="140"/>
    <col min="13302" max="13302" width="36.33203125" style="140" customWidth="1"/>
    <col min="13303" max="13303" width="22.33203125" style="140" customWidth="1"/>
    <col min="13304" max="13304" width="12" style="140"/>
    <col min="13305" max="13305" width="14.33203125" style="140" customWidth="1"/>
    <col min="13306" max="13557" width="12" style="140"/>
    <col min="13558" max="13558" width="36.33203125" style="140" customWidth="1"/>
    <col min="13559" max="13559" width="22.33203125" style="140" customWidth="1"/>
    <col min="13560" max="13560" width="12" style="140"/>
    <col min="13561" max="13561" width="14.33203125" style="140" customWidth="1"/>
    <col min="13562" max="13813" width="12" style="140"/>
    <col min="13814" max="13814" width="36.33203125" style="140" customWidth="1"/>
    <col min="13815" max="13815" width="22.33203125" style="140" customWidth="1"/>
    <col min="13816" max="13816" width="12" style="140"/>
    <col min="13817" max="13817" width="14.33203125" style="140" customWidth="1"/>
    <col min="13818" max="14069" width="12" style="140"/>
    <col min="14070" max="14070" width="36.33203125" style="140" customWidth="1"/>
    <col min="14071" max="14071" width="22.33203125" style="140" customWidth="1"/>
    <col min="14072" max="14072" width="12" style="140"/>
    <col min="14073" max="14073" width="14.33203125" style="140" customWidth="1"/>
    <col min="14074" max="14325" width="12" style="140"/>
    <col min="14326" max="14326" width="36.33203125" style="140" customWidth="1"/>
    <col min="14327" max="14327" width="22.33203125" style="140" customWidth="1"/>
    <col min="14328" max="14328" width="12" style="140"/>
    <col min="14329" max="14329" width="14.33203125" style="140" customWidth="1"/>
    <col min="14330" max="14581" width="12" style="140"/>
    <col min="14582" max="14582" width="36.33203125" style="140" customWidth="1"/>
    <col min="14583" max="14583" width="22.33203125" style="140" customWidth="1"/>
    <col min="14584" max="14584" width="12" style="140"/>
    <col min="14585" max="14585" width="14.33203125" style="140" customWidth="1"/>
    <col min="14586" max="14837" width="12" style="140"/>
    <col min="14838" max="14838" width="36.33203125" style="140" customWidth="1"/>
    <col min="14839" max="14839" width="22.33203125" style="140" customWidth="1"/>
    <col min="14840" max="14840" width="12" style="140"/>
    <col min="14841" max="14841" width="14.33203125" style="140" customWidth="1"/>
    <col min="14842" max="15093" width="12" style="140"/>
    <col min="15094" max="15094" width="36.33203125" style="140" customWidth="1"/>
    <col min="15095" max="15095" width="22.33203125" style="140" customWidth="1"/>
    <col min="15096" max="15096" width="12" style="140"/>
    <col min="15097" max="15097" width="14.33203125" style="140" customWidth="1"/>
    <col min="15098" max="15349" width="12" style="140"/>
    <col min="15350" max="15350" width="36.33203125" style="140" customWidth="1"/>
    <col min="15351" max="15351" width="22.33203125" style="140" customWidth="1"/>
    <col min="15352" max="15352" width="12" style="140"/>
    <col min="15353" max="15353" width="14.33203125" style="140" customWidth="1"/>
    <col min="15354" max="15605" width="12" style="140"/>
    <col min="15606" max="15606" width="36.33203125" style="140" customWidth="1"/>
    <col min="15607" max="15607" width="22.33203125" style="140" customWidth="1"/>
    <col min="15608" max="15608" width="12" style="140"/>
    <col min="15609" max="15609" width="14.33203125" style="140" customWidth="1"/>
    <col min="15610" max="15861" width="12" style="140"/>
    <col min="15862" max="15862" width="36.33203125" style="140" customWidth="1"/>
    <col min="15863" max="15863" width="22.33203125" style="140" customWidth="1"/>
    <col min="15864" max="15864" width="12" style="140"/>
    <col min="15865" max="15865" width="14.33203125" style="140" customWidth="1"/>
    <col min="15866" max="16117" width="12" style="140"/>
    <col min="16118" max="16118" width="36.33203125" style="140" customWidth="1"/>
    <col min="16119" max="16119" width="22.33203125" style="140" customWidth="1"/>
    <col min="16120" max="16120" width="12" style="140"/>
    <col min="16121" max="16121" width="14.33203125" style="140" customWidth="1"/>
    <col min="16122" max="16384" width="12" style="140"/>
  </cols>
  <sheetData>
    <row r="1" spans="1:15" s="15" customFormat="1" ht="39" customHeight="1" x14ac:dyDescent="0.25">
      <c r="B1" s="1129" t="str">
        <f>Instructivo!F1</f>
        <v>Sistema de Gestión Integral (SGI)
Instructivo - Componente Financiero EP
Código: F-PGC-21. Versión: 05</v>
      </c>
      <c r="C1" s="1129"/>
      <c r="D1" s="1129"/>
      <c r="E1" s="132" t="s">
        <v>102</v>
      </c>
    </row>
    <row r="2" spans="1:15" s="15" customFormat="1" ht="17.25" customHeight="1" x14ac:dyDescent="0.25">
      <c r="B2" s="1173" t="s">
        <v>962</v>
      </c>
      <c r="C2" s="1173"/>
      <c r="D2" s="1173"/>
      <c r="H2" s="441"/>
      <c r="I2" s="420"/>
      <c r="J2" s="378"/>
    </row>
    <row r="3" spans="1:15" ht="6" customHeight="1" x14ac:dyDescent="0.25"/>
    <row r="4" spans="1:15" ht="6" customHeight="1" x14ac:dyDescent="0.25">
      <c r="A4" s="708"/>
      <c r="B4" s="708"/>
      <c r="C4" s="708"/>
    </row>
    <row r="5" spans="1:15" ht="21" customHeight="1" x14ac:dyDescent="0.25">
      <c r="A5" s="837" t="s">
        <v>956</v>
      </c>
      <c r="B5" s="1211">
        <v>2025</v>
      </c>
      <c r="C5" s="1211"/>
      <c r="D5" s="139"/>
      <c r="E5" s="139"/>
      <c r="F5" s="139"/>
      <c r="G5" s="139"/>
      <c r="H5" s="139"/>
      <c r="I5" s="139"/>
      <c r="J5" s="139"/>
      <c r="K5" s="139"/>
      <c r="L5" s="139"/>
      <c r="M5" s="139"/>
      <c r="N5" s="139"/>
      <c r="O5" s="139"/>
    </row>
    <row r="6" spans="1:15" ht="30.75" customHeight="1" x14ac:dyDescent="0.25">
      <c r="A6" s="840" t="s">
        <v>957</v>
      </c>
      <c r="B6" s="1213" t="s">
        <v>963</v>
      </c>
      <c r="C6" s="1213"/>
      <c r="D6" s="139"/>
      <c r="E6" s="139"/>
      <c r="F6" s="139"/>
      <c r="G6" s="139"/>
      <c r="H6" s="139"/>
      <c r="I6" s="139"/>
      <c r="J6" s="139"/>
      <c r="K6" s="139"/>
      <c r="L6" s="139"/>
      <c r="M6" s="139"/>
      <c r="N6" s="139"/>
      <c r="O6" s="139"/>
    </row>
    <row r="7" spans="1:15" ht="6" customHeight="1" x14ac:dyDescent="0.25">
      <c r="A7" s="841"/>
      <c r="B7" s="842"/>
      <c r="C7" s="842"/>
      <c r="D7" s="139"/>
      <c r="E7" s="139"/>
      <c r="F7" s="139"/>
      <c r="G7" s="139"/>
      <c r="H7" s="139"/>
      <c r="I7" s="139"/>
      <c r="J7" s="139"/>
      <c r="K7" s="139"/>
      <c r="L7" s="139"/>
      <c r="M7" s="139"/>
      <c r="N7" s="139"/>
      <c r="O7" s="139"/>
    </row>
    <row r="8" spans="1:15" ht="187.5" customHeight="1" x14ac:dyDescent="0.25">
      <c r="A8" s="1214" t="s">
        <v>964</v>
      </c>
      <c r="B8" s="1214"/>
      <c r="C8" s="1214"/>
      <c r="D8" s="139"/>
      <c r="E8" s="139"/>
      <c r="F8" s="139"/>
      <c r="G8" s="139"/>
      <c r="H8" s="139"/>
      <c r="I8" s="139"/>
      <c r="J8" s="139"/>
      <c r="K8" s="139"/>
      <c r="L8" s="139"/>
      <c r="M8" s="139"/>
      <c r="N8" s="139"/>
      <c r="O8" s="139"/>
    </row>
    <row r="9" spans="1:15" ht="6" customHeight="1" x14ac:dyDescent="0.25">
      <c r="A9" s="841"/>
      <c r="B9" s="842"/>
      <c r="C9" s="842"/>
      <c r="D9" s="139"/>
      <c r="E9" s="139"/>
      <c r="F9" s="139"/>
      <c r="G9" s="139"/>
      <c r="H9" s="139"/>
      <c r="I9" s="139"/>
      <c r="J9" s="139"/>
      <c r="K9" s="139"/>
      <c r="L9" s="139"/>
      <c r="M9" s="139"/>
      <c r="N9" s="139"/>
      <c r="O9" s="139"/>
    </row>
    <row r="10" spans="1:15" s="836" customFormat="1" ht="70.5" customHeight="1" x14ac:dyDescent="0.25">
      <c r="A10" s="1212" t="s">
        <v>961</v>
      </c>
      <c r="B10" s="1212"/>
      <c r="C10" s="1212"/>
    </row>
    <row r="11" spans="1:15" ht="19.5" customHeight="1" x14ac:dyDescent="0.25">
      <c r="A11" s="841"/>
      <c r="B11" s="842"/>
      <c r="C11" s="842"/>
      <c r="D11" s="139"/>
      <c r="E11" s="139"/>
      <c r="F11" s="139"/>
      <c r="G11" s="139"/>
      <c r="H11" s="139"/>
      <c r="I11" s="139"/>
      <c r="J11" s="139"/>
      <c r="K11" s="139"/>
      <c r="L11" s="139"/>
      <c r="M11" s="139"/>
      <c r="N11" s="139"/>
      <c r="O11" s="139"/>
    </row>
    <row r="12" spans="1:15" ht="19.5" customHeight="1" x14ac:dyDescent="0.25">
      <c r="A12" s="841"/>
      <c r="B12" s="842"/>
      <c r="C12" s="842"/>
      <c r="D12" s="139"/>
      <c r="E12" s="139"/>
      <c r="F12" s="139"/>
      <c r="G12" s="139"/>
      <c r="H12" s="139"/>
      <c r="I12" s="139"/>
      <c r="J12" s="139"/>
      <c r="K12" s="139"/>
      <c r="L12" s="139"/>
      <c r="M12" s="139"/>
      <c r="N12" s="139"/>
      <c r="O12" s="139"/>
    </row>
    <row r="13" spans="1:15" ht="18.75" customHeight="1" x14ac:dyDescent="0.25">
      <c r="A13" s="841"/>
      <c r="B13" s="842"/>
      <c r="C13" s="842"/>
      <c r="D13" s="139"/>
      <c r="E13" s="139"/>
      <c r="F13" s="139"/>
      <c r="G13" s="139"/>
      <c r="H13" s="139"/>
      <c r="I13" s="139"/>
      <c r="J13" s="139"/>
      <c r="K13" s="139"/>
      <c r="L13" s="139"/>
      <c r="M13" s="139"/>
      <c r="N13" s="139"/>
      <c r="O13" s="139"/>
    </row>
    <row r="14" spans="1:15" ht="19.5" customHeight="1" x14ac:dyDescent="0.25">
      <c r="A14" s="841"/>
      <c r="B14" s="842"/>
      <c r="C14" s="842"/>
      <c r="D14" s="139"/>
      <c r="E14" s="139"/>
      <c r="F14" s="139"/>
      <c r="G14" s="139"/>
      <c r="H14" s="139"/>
      <c r="I14" s="139"/>
      <c r="J14" s="139"/>
      <c r="K14" s="139"/>
      <c r="L14" s="139"/>
      <c r="M14" s="139"/>
      <c r="N14" s="139"/>
      <c r="O14" s="139"/>
    </row>
    <row r="15" spans="1:15" ht="19.5" customHeight="1" x14ac:dyDescent="0.25">
      <c r="A15" s="841"/>
      <c r="B15" s="842"/>
      <c r="C15" s="842"/>
      <c r="D15" s="139"/>
      <c r="E15" s="139"/>
      <c r="F15" s="139"/>
      <c r="G15" s="139"/>
      <c r="H15" s="139"/>
      <c r="I15" s="139"/>
      <c r="J15" s="139"/>
      <c r="K15" s="139"/>
      <c r="L15" s="139"/>
      <c r="M15" s="139"/>
      <c r="N15" s="139"/>
      <c r="O15" s="139"/>
    </row>
    <row r="16" spans="1:15" ht="19.5" customHeight="1" x14ac:dyDescent="0.25">
      <c r="A16" s="841"/>
      <c r="B16" s="842"/>
      <c r="C16" s="842"/>
      <c r="D16" s="139"/>
      <c r="E16" s="139"/>
      <c r="F16" s="139"/>
      <c r="G16" s="139"/>
      <c r="H16" s="139"/>
      <c r="I16" s="139"/>
      <c r="J16" s="139"/>
      <c r="K16" s="139"/>
      <c r="L16" s="139"/>
      <c r="M16" s="139"/>
      <c r="N16" s="139"/>
      <c r="O16" s="139"/>
    </row>
    <row r="17" spans="1:15" ht="54" customHeight="1" x14ac:dyDescent="0.25">
      <c r="A17" s="841"/>
      <c r="B17" s="842"/>
      <c r="C17" s="842"/>
      <c r="D17" s="139"/>
      <c r="E17" s="139"/>
      <c r="F17" s="139"/>
      <c r="G17" s="139"/>
      <c r="H17" s="139"/>
      <c r="I17" s="139"/>
      <c r="J17" s="139"/>
      <c r="K17" s="139"/>
      <c r="L17" s="139"/>
      <c r="M17" s="139"/>
      <c r="N17" s="139"/>
      <c r="O17" s="139"/>
    </row>
    <row r="18" spans="1:15" ht="19.5" customHeight="1" x14ac:dyDescent="0.25">
      <c r="D18" s="139"/>
      <c r="E18" s="139"/>
      <c r="F18" s="139"/>
      <c r="G18" s="139"/>
      <c r="H18" s="139"/>
      <c r="I18" s="139"/>
      <c r="J18" s="139"/>
      <c r="K18" s="139"/>
      <c r="L18" s="139"/>
      <c r="M18" s="139"/>
      <c r="N18" s="139"/>
      <c r="O18" s="139"/>
    </row>
    <row r="19" spans="1:15" ht="19.5" customHeight="1" x14ac:dyDescent="0.25">
      <c r="D19" s="139"/>
      <c r="E19" s="139"/>
      <c r="F19" s="139"/>
      <c r="G19" s="139"/>
      <c r="H19" s="139"/>
      <c r="I19" s="139"/>
      <c r="J19" s="139"/>
      <c r="K19" s="139"/>
      <c r="L19" s="139"/>
      <c r="M19" s="139"/>
      <c r="N19" s="139"/>
      <c r="O19" s="139"/>
    </row>
    <row r="20" spans="1:15" ht="19.5" customHeight="1" x14ac:dyDescent="0.25">
      <c r="D20" s="139"/>
      <c r="E20" s="139"/>
      <c r="F20" s="139"/>
      <c r="G20" s="139"/>
      <c r="H20" s="139"/>
      <c r="I20" s="139"/>
      <c r="J20" s="139"/>
      <c r="K20" s="139"/>
      <c r="L20" s="139"/>
      <c r="M20" s="139"/>
      <c r="N20" s="139"/>
      <c r="O20" s="139"/>
    </row>
    <row r="21" spans="1:15" ht="19.5" customHeight="1" x14ac:dyDescent="0.25">
      <c r="D21" s="139"/>
      <c r="E21" s="139"/>
      <c r="F21" s="139"/>
      <c r="G21" s="139"/>
      <c r="H21" s="139"/>
      <c r="I21" s="139"/>
      <c r="J21" s="139"/>
      <c r="K21" s="139"/>
      <c r="L21" s="139"/>
      <c r="M21" s="139"/>
      <c r="N21" s="139"/>
      <c r="O21" s="139"/>
    </row>
  </sheetData>
  <mergeCells count="6">
    <mergeCell ref="A10:C10"/>
    <mergeCell ref="B1:D1"/>
    <mergeCell ref="B2:D2"/>
    <mergeCell ref="B5:C5"/>
    <mergeCell ref="B6:C6"/>
    <mergeCell ref="A8:C8"/>
  </mergeCells>
  <hyperlinks>
    <hyperlink ref="E1" location="ins" display="Instructivo" xr:uid="{00000000-0004-0000-1B00-000000000000}"/>
  </hyperlinks>
  <printOptions horizontalCentered="1"/>
  <pageMargins left="0" right="0" top="0" bottom="0" header="0.511811023622047" footer="0"/>
  <pageSetup fitToHeight="0" orientation="landscape" horizontalDpi="300" verticalDpi="300"/>
  <headerFooter>
    <oddFooter>&amp;R&amp;"Arial,Regular"&amp;K000000Página &amp;P de &amp;N</oddFooter>
  </headerFooter>
  <drawing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K17"/>
  <sheetViews>
    <sheetView showGridLines="0" zoomScale="90" zoomScaleNormal="90" workbookViewId="0">
      <selection activeCell="J11" sqref="J11"/>
    </sheetView>
  </sheetViews>
  <sheetFormatPr baseColWidth="10" defaultColWidth="11.33203125" defaultRowHeight="18" customHeight="1" x14ac:dyDescent="0.25"/>
  <cols>
    <col min="1" max="3" width="28.77734375" style="483" customWidth="1"/>
    <col min="4" max="4" width="15.77734375" style="483" customWidth="1"/>
    <col min="5" max="16384" width="11.33203125" style="483"/>
  </cols>
  <sheetData>
    <row r="1" spans="1:11" s="15" customFormat="1" ht="39" customHeight="1" x14ac:dyDescent="0.25">
      <c r="B1" s="1129" t="str">
        <f>Instructivo!F1</f>
        <v>Sistema de Gestión Integral (SGI)
Instructivo - Componente Financiero EP
Código: F-PGC-21. Versión: 05</v>
      </c>
      <c r="C1" s="1129"/>
      <c r="D1" s="1129"/>
      <c r="E1" s="1129"/>
      <c r="F1" s="289" t="s">
        <v>102</v>
      </c>
    </row>
    <row r="2" spans="1:11" s="15" customFormat="1" ht="17.25" customHeight="1" x14ac:dyDescent="0.25">
      <c r="B2" s="1173" t="s">
        <v>965</v>
      </c>
      <c r="C2" s="1173"/>
      <c r="D2" s="1173"/>
      <c r="E2" s="1173"/>
      <c r="I2" s="441"/>
      <c r="J2" s="420"/>
      <c r="K2" s="378"/>
    </row>
    <row r="3" spans="1:11" ht="6.75" customHeight="1" x14ac:dyDescent="0.25"/>
    <row r="4" spans="1:11" ht="6.75" customHeight="1" x14ac:dyDescent="0.25"/>
    <row r="5" spans="1:11" ht="18" customHeight="1" x14ac:dyDescent="0.25">
      <c r="A5" s="843" t="s">
        <v>676</v>
      </c>
      <c r="B5" s="1204">
        <f>Honorarios!B4</f>
        <v>2025</v>
      </c>
      <c r="C5" s="1204"/>
    </row>
    <row r="6" spans="1:11" ht="18" customHeight="1" x14ac:dyDescent="0.25">
      <c r="A6" s="844" t="s">
        <v>966</v>
      </c>
      <c r="B6" s="1215" t="s">
        <v>967</v>
      </c>
      <c r="C6" s="1215"/>
    </row>
    <row r="7" spans="1:11" ht="13.2" x14ac:dyDescent="0.25"/>
    <row r="8" spans="1:11" ht="18" customHeight="1" x14ac:dyDescent="0.25">
      <c r="A8" s="843" t="s">
        <v>968</v>
      </c>
      <c r="B8" s="1216">
        <f>Jornal!D7</f>
        <v>1423500</v>
      </c>
      <c r="C8" s="1216"/>
    </row>
    <row r="9" spans="1:11" ht="18" customHeight="1" x14ac:dyDescent="0.25">
      <c r="A9" s="844" t="s">
        <v>969</v>
      </c>
      <c r="B9" s="1216">
        <v>164498279934</v>
      </c>
      <c r="C9" s="1216"/>
    </row>
    <row r="11" spans="1:11" ht="57.75" customHeight="1" x14ac:dyDescent="0.25">
      <c r="A11" s="1217" t="s">
        <v>970</v>
      </c>
      <c r="B11" s="1217"/>
      <c r="C11" s="1217"/>
    </row>
    <row r="13" spans="1:11" ht="18" customHeight="1" x14ac:dyDescent="0.25">
      <c r="A13" s="1218" t="s">
        <v>971</v>
      </c>
      <c r="B13" s="1218"/>
      <c r="C13" s="1218"/>
    </row>
    <row r="14" spans="1:11" ht="18" customHeight="1" x14ac:dyDescent="0.25">
      <c r="A14" s="845" t="s">
        <v>972</v>
      </c>
      <c r="B14" s="846" t="s">
        <v>973</v>
      </c>
      <c r="C14" s="846" t="s">
        <v>973</v>
      </c>
    </row>
    <row r="15" spans="1:11" ht="18" customHeight="1" x14ac:dyDescent="0.25">
      <c r="A15" s="847" t="s">
        <v>974</v>
      </c>
      <c r="B15" s="848">
        <v>1</v>
      </c>
      <c r="C15" s="848">
        <v>58500000</v>
      </c>
    </row>
    <row r="16" spans="1:11" ht="18" customHeight="1" x14ac:dyDescent="0.25">
      <c r="A16" s="847" t="s">
        <v>975</v>
      </c>
      <c r="B16" s="848">
        <v>58500001</v>
      </c>
      <c r="C16" s="848">
        <v>585000000</v>
      </c>
    </row>
    <row r="17" spans="1:3" ht="18" customHeight="1" x14ac:dyDescent="0.25">
      <c r="A17" s="849" t="s">
        <v>976</v>
      </c>
      <c r="B17" s="850">
        <v>585000001</v>
      </c>
      <c r="C17" s="850" t="s">
        <v>977</v>
      </c>
    </row>
  </sheetData>
  <sheetProtection algorithmName="SHA-512" hashValue="4mNBZHw0PF+dGGET9Fx3isUvOcCyHYfCa6e+VYqTVpS4v5yHcy/0Xd7oKd9Admfd/L4dXIoe9CmURhCNqtygBg==" saltValue="i+qK/6wqvOzhPOCQkHjsUQ==" spinCount="100000" sheet="1" formatCells="0" formatColumns="0" formatRows="0" insertRows="0" autoFilter="0" pivotTables="0"/>
  <mergeCells count="8">
    <mergeCell ref="B9:C9"/>
    <mergeCell ref="A11:C11"/>
    <mergeCell ref="A13:C13"/>
    <mergeCell ref="B1:E1"/>
    <mergeCell ref="B2:E2"/>
    <mergeCell ref="B5:C5"/>
    <mergeCell ref="B6:C6"/>
    <mergeCell ref="B8:C8"/>
  </mergeCells>
  <hyperlinks>
    <hyperlink ref="F1" location="ins" display="Instructivo" xr:uid="{00000000-0004-0000-1C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K49"/>
  <sheetViews>
    <sheetView showGridLines="0" zoomScale="90" zoomScaleNormal="90" workbookViewId="0">
      <selection activeCell="G10" sqref="G10"/>
    </sheetView>
  </sheetViews>
  <sheetFormatPr baseColWidth="10" defaultColWidth="11.33203125" defaultRowHeight="18" customHeight="1" x14ac:dyDescent="0.25"/>
  <cols>
    <col min="1" max="1" width="28" style="483" customWidth="1"/>
    <col min="2" max="2" width="22.109375" style="483" customWidth="1"/>
    <col min="3" max="3" width="154.33203125" style="483" customWidth="1"/>
    <col min="4" max="4" width="15.77734375" style="483" customWidth="1"/>
    <col min="5" max="16384" width="11.33203125" style="483"/>
  </cols>
  <sheetData>
    <row r="1" spans="1:11" s="15" customFormat="1" ht="39" customHeight="1" x14ac:dyDescent="0.25">
      <c r="B1" s="1129" t="str">
        <f>Instructivo!F1</f>
        <v>Sistema de Gestión Integral (SGI)
Instructivo - Componente Financiero EP
Código: F-PGC-21. Versión: 05</v>
      </c>
      <c r="C1" s="1129"/>
      <c r="D1" s="289" t="s">
        <v>102</v>
      </c>
      <c r="E1" s="851"/>
    </row>
    <row r="2" spans="1:11" s="15" customFormat="1" ht="17.25" customHeight="1" x14ac:dyDescent="0.25">
      <c r="B2" s="1173" t="s">
        <v>978</v>
      </c>
      <c r="C2" s="1173"/>
      <c r="D2" s="852"/>
      <c r="E2" s="852"/>
      <c r="I2" s="441"/>
      <c r="J2" s="420"/>
      <c r="K2" s="378"/>
    </row>
    <row r="3" spans="1:11" ht="7.5" customHeight="1" x14ac:dyDescent="0.25"/>
    <row r="4" spans="1:11" ht="7.5" customHeight="1" x14ac:dyDescent="0.25"/>
    <row r="5" spans="1:11" ht="18" customHeight="1" x14ac:dyDescent="0.25">
      <c r="A5" s="1061" t="s">
        <v>979</v>
      </c>
      <c r="B5" s="1061"/>
      <c r="C5" s="1061"/>
    </row>
    <row r="6" spans="1:11" ht="18" customHeight="1" x14ac:dyDescent="0.25">
      <c r="A6" s="845" t="s">
        <v>980</v>
      </c>
      <c r="B6" s="846" t="s">
        <v>981</v>
      </c>
      <c r="C6" s="853" t="s">
        <v>982</v>
      </c>
    </row>
    <row r="7" spans="1:11" ht="13.2" x14ac:dyDescent="0.25">
      <c r="A7" s="854" t="s">
        <v>983</v>
      </c>
      <c r="B7" s="855">
        <v>34270</v>
      </c>
      <c r="C7" s="856" t="s">
        <v>984</v>
      </c>
    </row>
    <row r="8" spans="1:11" ht="13.2" x14ac:dyDescent="0.25">
      <c r="A8" s="854" t="s">
        <v>985</v>
      </c>
      <c r="B8" s="855">
        <v>37809</v>
      </c>
      <c r="C8" s="856" t="s">
        <v>986</v>
      </c>
    </row>
    <row r="9" spans="1:11" ht="13.2" x14ac:dyDescent="0.25">
      <c r="A9" s="854" t="s">
        <v>987</v>
      </c>
      <c r="B9" s="855">
        <v>38201</v>
      </c>
      <c r="C9" s="856" t="s">
        <v>988</v>
      </c>
    </row>
    <row r="10" spans="1:11" ht="13.2" x14ac:dyDescent="0.25">
      <c r="A10" s="854" t="s">
        <v>989</v>
      </c>
      <c r="B10" s="855">
        <v>39053</v>
      </c>
      <c r="C10" s="856" t="s">
        <v>990</v>
      </c>
    </row>
    <row r="11" spans="1:11" ht="26.4" x14ac:dyDescent="0.25">
      <c r="A11" s="854" t="s">
        <v>991</v>
      </c>
      <c r="B11" s="855">
        <v>39279</v>
      </c>
      <c r="C11" s="856" t="s">
        <v>992</v>
      </c>
    </row>
    <row r="12" spans="1:11" ht="13.2" x14ac:dyDescent="0.25">
      <c r="A12" s="854" t="s">
        <v>993</v>
      </c>
      <c r="B12" s="855">
        <v>41628</v>
      </c>
      <c r="C12" s="856" t="s">
        <v>994</v>
      </c>
    </row>
    <row r="13" spans="1:11" ht="13.2" x14ac:dyDescent="0.25">
      <c r="A13" s="854" t="s">
        <v>995</v>
      </c>
      <c r="B13" s="855">
        <v>44034</v>
      </c>
      <c r="C13" s="857" t="s">
        <v>996</v>
      </c>
    </row>
    <row r="14" spans="1:11" ht="13.2" x14ac:dyDescent="0.25">
      <c r="A14" s="854" t="s">
        <v>997</v>
      </c>
      <c r="B14" s="855">
        <v>40850</v>
      </c>
      <c r="C14" s="857" t="s">
        <v>998</v>
      </c>
    </row>
    <row r="15" spans="1:11" ht="13.2" x14ac:dyDescent="0.25">
      <c r="A15" s="854" t="s">
        <v>999</v>
      </c>
      <c r="B15" s="855">
        <v>41472</v>
      </c>
      <c r="C15" s="857" t="s">
        <v>1000</v>
      </c>
    </row>
    <row r="16" spans="1:11" ht="13.2" x14ac:dyDescent="0.25">
      <c r="A16" s="854" t="s">
        <v>1001</v>
      </c>
      <c r="B16" s="855">
        <v>42181</v>
      </c>
      <c r="C16" s="857" t="s">
        <v>1002</v>
      </c>
    </row>
    <row r="17" spans="1:3" ht="26.4" x14ac:dyDescent="0.25">
      <c r="A17" s="854" t="s">
        <v>1003</v>
      </c>
      <c r="B17" s="855">
        <v>44280</v>
      </c>
      <c r="C17" s="857" t="s">
        <v>1004</v>
      </c>
    </row>
    <row r="18" spans="1:3" ht="26.4" x14ac:dyDescent="0.25">
      <c r="A18" s="854" t="s">
        <v>1005</v>
      </c>
      <c r="B18" s="855">
        <v>44299</v>
      </c>
      <c r="C18" s="857" t="s">
        <v>1006</v>
      </c>
    </row>
    <row r="19" spans="1:3" ht="39.6" x14ac:dyDescent="0.25">
      <c r="A19" s="854" t="s">
        <v>1007</v>
      </c>
      <c r="B19" s="855">
        <v>44347</v>
      </c>
      <c r="C19" s="857" t="s">
        <v>1008</v>
      </c>
    </row>
    <row r="20" spans="1:3" ht="39" customHeight="1" x14ac:dyDescent="0.25">
      <c r="A20" s="854" t="s">
        <v>1009</v>
      </c>
      <c r="B20" s="855">
        <v>44369</v>
      </c>
      <c r="C20" s="857" t="s">
        <v>1010</v>
      </c>
    </row>
    <row r="21" spans="1:3" ht="26.4" x14ac:dyDescent="0.25">
      <c r="A21" s="854" t="s">
        <v>1011</v>
      </c>
      <c r="B21" s="855">
        <v>44482</v>
      </c>
      <c r="C21" s="857" t="s">
        <v>1012</v>
      </c>
    </row>
    <row r="22" spans="1:3" ht="26.4" x14ac:dyDescent="0.25">
      <c r="A22" s="854" t="s">
        <v>1013</v>
      </c>
      <c r="B22" s="855">
        <v>44554</v>
      </c>
      <c r="C22" s="857" t="s">
        <v>1014</v>
      </c>
    </row>
    <row r="23" spans="1:3" ht="26.4" x14ac:dyDescent="0.25">
      <c r="A23" s="858" t="s">
        <v>1015</v>
      </c>
      <c r="B23" s="859">
        <v>44648</v>
      </c>
      <c r="C23" s="860" t="s">
        <v>1016</v>
      </c>
    </row>
    <row r="25" spans="1:3" ht="18" customHeight="1" x14ac:dyDescent="0.25">
      <c r="A25" s="1061" t="s">
        <v>1017</v>
      </c>
      <c r="B25" s="1061"/>
      <c r="C25" s="1061"/>
    </row>
    <row r="26" spans="1:3" ht="18" customHeight="1" x14ac:dyDescent="0.25">
      <c r="A26" s="1219" t="s">
        <v>982</v>
      </c>
      <c r="B26" s="1219"/>
      <c r="C26" s="853" t="s">
        <v>1018</v>
      </c>
    </row>
    <row r="27" spans="1:3" ht="39" customHeight="1" x14ac:dyDescent="0.25">
      <c r="A27" s="1220" t="s">
        <v>1019</v>
      </c>
      <c r="B27" s="1220"/>
      <c r="C27" s="861" t="s">
        <v>1020</v>
      </c>
    </row>
    <row r="28" spans="1:3" ht="30" customHeight="1" x14ac:dyDescent="0.25">
      <c r="A28" s="1220" t="s">
        <v>1021</v>
      </c>
      <c r="B28" s="1220"/>
      <c r="C28" s="861" t="s">
        <v>1022</v>
      </c>
    </row>
    <row r="29" spans="1:3" ht="39" customHeight="1" x14ac:dyDescent="0.25">
      <c r="A29" s="1221" t="s">
        <v>1023</v>
      </c>
      <c r="B29" s="1221"/>
      <c r="C29" s="861" t="s">
        <v>1024</v>
      </c>
    </row>
    <row r="30" spans="1:3" ht="18" customHeight="1" x14ac:dyDescent="0.25">
      <c r="A30" s="1220" t="s">
        <v>1025</v>
      </c>
      <c r="B30" s="1220"/>
      <c r="C30" s="861" t="s">
        <v>1026</v>
      </c>
    </row>
    <row r="31" spans="1:3" ht="30" customHeight="1" x14ac:dyDescent="0.25">
      <c r="A31" s="1222" t="s">
        <v>1027</v>
      </c>
      <c r="B31" s="1222"/>
      <c r="C31" s="862" t="s">
        <v>1028</v>
      </c>
    </row>
    <row r="32" spans="1:3" ht="25.5" customHeight="1" x14ac:dyDescent="0.25">
      <c r="A32" s="1223" t="s">
        <v>1029</v>
      </c>
      <c r="B32" s="1223"/>
      <c r="C32" s="1223"/>
    </row>
    <row r="34" spans="1:3" ht="18" customHeight="1" x14ac:dyDescent="0.25">
      <c r="A34" s="1224" t="s">
        <v>1030</v>
      </c>
      <c r="B34" s="1224"/>
      <c r="C34" s="1224"/>
    </row>
    <row r="35" spans="1:3" ht="18" customHeight="1" x14ac:dyDescent="0.25">
      <c r="A35" s="845" t="s">
        <v>1031</v>
      </c>
      <c r="B35" s="846" t="s">
        <v>981</v>
      </c>
      <c r="C35" s="846" t="s">
        <v>1032</v>
      </c>
    </row>
    <row r="36" spans="1:3" ht="34.5" customHeight="1" x14ac:dyDescent="0.25">
      <c r="A36" s="863" t="s">
        <v>1033</v>
      </c>
      <c r="B36" s="864">
        <v>43935</v>
      </c>
      <c r="C36" s="847" t="s">
        <v>1034</v>
      </c>
    </row>
    <row r="37" spans="1:3" ht="54.75" customHeight="1" x14ac:dyDescent="0.25">
      <c r="A37" s="863" t="s">
        <v>1035</v>
      </c>
      <c r="B37" s="864">
        <v>43348</v>
      </c>
      <c r="C37" s="847" t="s">
        <v>1036</v>
      </c>
    </row>
    <row r="38" spans="1:3" ht="54" customHeight="1" x14ac:dyDescent="0.25">
      <c r="A38" s="863" t="s">
        <v>1037</v>
      </c>
      <c r="B38" s="864">
        <v>43634</v>
      </c>
      <c r="C38" s="847" t="s">
        <v>1038</v>
      </c>
    </row>
    <row r="39" spans="1:3" ht="28.5" customHeight="1" x14ac:dyDescent="0.25">
      <c r="A39" s="865" t="s">
        <v>1039</v>
      </c>
      <c r="B39" s="866">
        <v>44237</v>
      </c>
      <c r="C39" s="867" t="s">
        <v>1040</v>
      </c>
    </row>
    <row r="41" spans="1:3" ht="18" customHeight="1" x14ac:dyDescent="0.25">
      <c r="A41" s="1061" t="s">
        <v>1041</v>
      </c>
      <c r="B41" s="1061"/>
      <c r="C41" s="1061"/>
    </row>
    <row r="42" spans="1:3" ht="18" customHeight="1" x14ac:dyDescent="0.25">
      <c r="A42" s="845" t="s">
        <v>1042</v>
      </c>
      <c r="B42" s="846" t="s">
        <v>981</v>
      </c>
      <c r="C42" s="853" t="s">
        <v>1032</v>
      </c>
    </row>
    <row r="43" spans="1:3" ht="18" customHeight="1" x14ac:dyDescent="0.25">
      <c r="A43" s="868" t="s">
        <v>1043</v>
      </c>
      <c r="B43" s="864">
        <v>40940</v>
      </c>
      <c r="C43" s="869" t="s">
        <v>1044</v>
      </c>
    </row>
    <row r="44" spans="1:3" ht="18" customHeight="1" x14ac:dyDescent="0.25">
      <c r="A44" s="868" t="s">
        <v>1045</v>
      </c>
      <c r="B44" s="870" t="s">
        <v>1046</v>
      </c>
      <c r="C44" s="869" t="s">
        <v>1047</v>
      </c>
    </row>
    <row r="45" spans="1:3" ht="18" customHeight="1" x14ac:dyDescent="0.25">
      <c r="A45" s="868" t="s">
        <v>1048</v>
      </c>
      <c r="B45" s="864">
        <v>43514</v>
      </c>
      <c r="C45" s="869" t="s">
        <v>1049</v>
      </c>
    </row>
    <row r="46" spans="1:3" ht="18" customHeight="1" x14ac:dyDescent="0.25">
      <c r="A46" s="868" t="s">
        <v>1050</v>
      </c>
      <c r="B46" s="864">
        <v>43613</v>
      </c>
      <c r="C46" s="869" t="s">
        <v>1051</v>
      </c>
    </row>
    <row r="47" spans="1:3" ht="18" customHeight="1" x14ac:dyDescent="0.25">
      <c r="A47" s="868" t="s">
        <v>1052</v>
      </c>
      <c r="B47" s="864">
        <v>44237</v>
      </c>
      <c r="C47" s="869" t="s">
        <v>1053</v>
      </c>
    </row>
    <row r="48" spans="1:3" ht="18" customHeight="1" x14ac:dyDescent="0.25">
      <c r="A48" s="868" t="s">
        <v>1054</v>
      </c>
      <c r="B48" s="864">
        <v>44312</v>
      </c>
      <c r="C48" s="869" t="s">
        <v>1055</v>
      </c>
    </row>
    <row r="49" spans="1:3" ht="18" customHeight="1" x14ac:dyDescent="0.25">
      <c r="A49" s="865" t="s">
        <v>1056</v>
      </c>
      <c r="B49" s="866">
        <v>44483</v>
      </c>
      <c r="C49" s="871" t="s">
        <v>1057</v>
      </c>
    </row>
  </sheetData>
  <sheetProtection algorithmName="SHA-512" hashValue="jRKPww6YHJePpxffoci8E0D3xMn8/JcyS+exOTS3bjaxdO1I80/acLdVPVYqa++DSFuztZYWYIvvbYQ5bcvtnQ==" saltValue="n9NvuOrc0ull8uBm6qpjDQ==" spinCount="100000" sheet="1" formatCells="0" formatColumns="0" formatRows="0" insertRows="0" autoFilter="0" pivotTables="0"/>
  <mergeCells count="13">
    <mergeCell ref="A32:C32"/>
    <mergeCell ref="A34:C34"/>
    <mergeCell ref="A41:C41"/>
    <mergeCell ref="A27:B27"/>
    <mergeCell ref="A28:B28"/>
    <mergeCell ref="A29:B29"/>
    <mergeCell ref="A30:B30"/>
    <mergeCell ref="A31:B31"/>
    <mergeCell ref="B1:C1"/>
    <mergeCell ref="B2:C2"/>
    <mergeCell ref="A5:C5"/>
    <mergeCell ref="A25:C25"/>
    <mergeCell ref="A26:B26"/>
  </mergeCells>
  <hyperlinks>
    <hyperlink ref="D1" location="ins" display="Instructivo" xr:uid="{00000000-0004-0000-1D00-000000000000}"/>
    <hyperlink ref="C27" r:id="rId1" xr:uid="{00000000-0004-0000-1D00-000001000000}"/>
    <hyperlink ref="C28" r:id="rId2" xr:uid="{00000000-0004-0000-1D00-000002000000}"/>
    <hyperlink ref="C29" r:id="rId3" xr:uid="{00000000-0004-0000-1D00-000003000000}"/>
    <hyperlink ref="C30" r:id="rId4" xr:uid="{00000000-0004-0000-1D00-000004000000}"/>
    <hyperlink ref="C31" r:id="rId5" xr:uid="{00000000-0004-0000-1D00-000005000000}"/>
  </hyperlinks>
  <printOptions horizontalCentered="1"/>
  <pageMargins left="0" right="0" top="0" bottom="0" header="0.511811023622047" footer="0.511811023622047"/>
  <pageSetup fitToHeight="0" orientation="landscape" horizontalDpi="300" verticalDpi="300"/>
  <drawing r:id="rId6"/>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K37"/>
  <sheetViews>
    <sheetView showGridLines="0" zoomScale="90" zoomScaleNormal="90" workbookViewId="0">
      <selection activeCell="E6" sqref="E6"/>
    </sheetView>
  </sheetViews>
  <sheetFormatPr baseColWidth="10" defaultColWidth="11.33203125" defaultRowHeight="18" customHeight="1" x14ac:dyDescent="0.25"/>
  <cols>
    <col min="1" max="1" width="26.6640625" style="483" customWidth="1"/>
    <col min="2" max="2" width="48.6640625" style="483" customWidth="1"/>
    <col min="3" max="3" width="46" style="483" customWidth="1"/>
    <col min="4" max="4" width="16.77734375" style="483" customWidth="1"/>
    <col min="5" max="16384" width="11.33203125" style="483"/>
  </cols>
  <sheetData>
    <row r="1" spans="1:11" s="15" customFormat="1" ht="39" customHeight="1" x14ac:dyDescent="0.25">
      <c r="B1" s="1129" t="str">
        <f>Instructivo!F1</f>
        <v>Sistema de Gestión Integral (SGI)
Instructivo - Componente Financiero EP
Código: F-PGC-21. Versión: 05</v>
      </c>
      <c r="C1" s="1129"/>
      <c r="D1" s="132" t="s">
        <v>102</v>
      </c>
      <c r="E1" s="851"/>
    </row>
    <row r="2" spans="1:11" s="15" customFormat="1" ht="17.25" customHeight="1" x14ac:dyDescent="0.25">
      <c r="B2" s="1173" t="s">
        <v>1058</v>
      </c>
      <c r="C2" s="1173"/>
      <c r="D2" s="852"/>
      <c r="E2" s="852"/>
      <c r="I2" s="441"/>
      <c r="J2" s="420"/>
      <c r="K2" s="378"/>
    </row>
    <row r="3" spans="1:11" ht="3.75" customHeight="1" x14ac:dyDescent="0.25"/>
    <row r="4" spans="1:11" ht="3.75" customHeight="1" x14ac:dyDescent="0.25"/>
    <row r="5" spans="1:11" ht="18" customHeight="1" x14ac:dyDescent="0.25">
      <c r="A5" s="1225" t="s">
        <v>1059</v>
      </c>
      <c r="B5" s="1225"/>
      <c r="C5" s="1225"/>
    </row>
    <row r="6" spans="1:11" ht="169.5" customHeight="1" x14ac:dyDescent="0.25">
      <c r="A6" s="1226" t="s">
        <v>1060</v>
      </c>
      <c r="B6" s="1226"/>
      <c r="C6" s="1226"/>
    </row>
    <row r="7" spans="1:11" ht="18" customHeight="1" x14ac:dyDescent="0.25">
      <c r="A7" s="1227" t="s">
        <v>1061</v>
      </c>
      <c r="B7" s="1227"/>
      <c r="C7" s="1227"/>
    </row>
    <row r="8" spans="1:11" ht="18" customHeight="1" x14ac:dyDescent="0.25">
      <c r="A8" s="872"/>
      <c r="B8" s="873"/>
      <c r="C8" s="873"/>
    </row>
    <row r="9" spans="1:11" ht="18" customHeight="1" x14ac:dyDescent="0.25">
      <c r="A9" s="1225" t="s">
        <v>1062</v>
      </c>
      <c r="B9" s="1225"/>
      <c r="C9" s="1225"/>
    </row>
    <row r="10" spans="1:11" ht="18" customHeight="1" x14ac:dyDescent="0.25">
      <c r="A10" s="1228" t="s">
        <v>1063</v>
      </c>
      <c r="B10" s="1228"/>
      <c r="C10" s="1228"/>
    </row>
    <row r="11" spans="1:11" ht="42" customHeight="1" x14ac:dyDescent="0.25">
      <c r="A11" s="1229" t="s">
        <v>1064</v>
      </c>
      <c r="B11" s="1229"/>
      <c r="C11" s="1229"/>
    </row>
    <row r="12" spans="1:11" ht="31.5" customHeight="1" x14ac:dyDescent="0.25">
      <c r="A12" s="1229" t="s">
        <v>1065</v>
      </c>
      <c r="B12" s="1229"/>
      <c r="C12" s="1229"/>
    </row>
    <row r="13" spans="1:11" ht="114" customHeight="1" x14ac:dyDescent="0.25">
      <c r="A13" s="1230" t="s">
        <v>1066</v>
      </c>
      <c r="B13" s="1230"/>
      <c r="C13" s="1230"/>
    </row>
    <row r="14" spans="1:11" ht="18" customHeight="1" x14ac:dyDescent="0.25">
      <c r="A14" s="1231"/>
      <c r="B14" s="1231"/>
      <c r="C14" s="1231"/>
    </row>
    <row r="15" spans="1:11" ht="18" customHeight="1" x14ac:dyDescent="0.25">
      <c r="A15" s="1225" t="s">
        <v>1067</v>
      </c>
      <c r="B15" s="1225"/>
      <c r="C15" s="1225"/>
    </row>
    <row r="16" spans="1:11" ht="62.25" customHeight="1" x14ac:dyDescent="0.25">
      <c r="A16" s="1226" t="s">
        <v>1068</v>
      </c>
      <c r="B16" s="1226"/>
      <c r="C16" s="1226"/>
    </row>
    <row r="17" spans="1:3" ht="18" customHeight="1" x14ac:dyDescent="0.25">
      <c r="A17" s="1232" t="s">
        <v>1069</v>
      </c>
      <c r="B17" s="1232"/>
      <c r="C17" s="1232"/>
    </row>
    <row r="18" spans="1:3" ht="18" customHeight="1" x14ac:dyDescent="0.25">
      <c r="A18" s="1231"/>
      <c r="B18" s="1231"/>
      <c r="C18" s="1231"/>
    </row>
    <row r="19" spans="1:3" ht="18" customHeight="1" x14ac:dyDescent="0.25">
      <c r="A19" s="1225" t="s">
        <v>1070</v>
      </c>
      <c r="B19" s="1225"/>
      <c r="C19" s="1225"/>
    </row>
    <row r="20" spans="1:3" ht="28.5" customHeight="1" x14ac:dyDescent="0.25">
      <c r="A20" s="1226" t="s">
        <v>1071</v>
      </c>
      <c r="B20" s="1226"/>
      <c r="C20" s="1226"/>
    </row>
    <row r="21" spans="1:3" ht="28.5" customHeight="1" x14ac:dyDescent="0.25">
      <c r="A21" s="1227" t="s">
        <v>1072</v>
      </c>
      <c r="B21" s="1227"/>
      <c r="C21" s="1227"/>
    </row>
    <row r="22" spans="1:3" ht="18" customHeight="1" x14ac:dyDescent="0.25">
      <c r="A22" s="1233"/>
      <c r="B22" s="1233"/>
      <c r="C22" s="1233"/>
    </row>
    <row r="23" spans="1:3" ht="27.75" customHeight="1" x14ac:dyDescent="0.25">
      <c r="A23" s="1225" t="s">
        <v>1073</v>
      </c>
      <c r="B23" s="1225"/>
      <c r="C23" s="1225"/>
    </row>
    <row r="24" spans="1:3" ht="69" customHeight="1" x14ac:dyDescent="0.25">
      <c r="A24" s="1227" t="s">
        <v>1074</v>
      </c>
      <c r="B24" s="1227"/>
      <c r="C24" s="1227"/>
    </row>
    <row r="25" spans="1:3" ht="18" customHeight="1" x14ac:dyDescent="0.25">
      <c r="A25" s="1231"/>
      <c r="B25" s="1231"/>
      <c r="C25" s="1231"/>
    </row>
    <row r="26" spans="1:3" ht="26.25" customHeight="1" x14ac:dyDescent="0.25">
      <c r="A26" s="1225" t="s">
        <v>1075</v>
      </c>
      <c r="B26" s="1225"/>
      <c r="C26" s="1225"/>
    </row>
    <row r="27" spans="1:3" ht="96.75" customHeight="1" x14ac:dyDescent="0.25">
      <c r="A27" s="1226" t="s">
        <v>1076</v>
      </c>
      <c r="B27" s="1226"/>
      <c r="C27" s="1226"/>
    </row>
    <row r="28" spans="1:3" ht="36" customHeight="1" x14ac:dyDescent="0.25">
      <c r="A28" s="1234" t="s">
        <v>1077</v>
      </c>
      <c r="B28" s="1234"/>
      <c r="C28" s="1234"/>
    </row>
    <row r="29" spans="1:3" ht="159.75" customHeight="1" x14ac:dyDescent="0.25">
      <c r="A29" s="1235" t="s">
        <v>1078</v>
      </c>
      <c r="B29" s="1235"/>
      <c r="C29" s="1235"/>
    </row>
    <row r="30" spans="1:3" ht="18" customHeight="1" x14ac:dyDescent="0.25">
      <c r="A30" s="1231"/>
      <c r="B30" s="1231"/>
      <c r="C30" s="1231"/>
    </row>
    <row r="31" spans="1:3" ht="18" customHeight="1" x14ac:dyDescent="0.25">
      <c r="A31" s="1225" t="s">
        <v>1079</v>
      </c>
      <c r="B31" s="1225"/>
      <c r="C31" s="1225"/>
    </row>
    <row r="32" spans="1:3" ht="72" customHeight="1" x14ac:dyDescent="0.25">
      <c r="A32" s="1226" t="s">
        <v>1080</v>
      </c>
      <c r="B32" s="1226"/>
      <c r="C32" s="1226"/>
    </row>
    <row r="33" spans="1:3" ht="30.75" customHeight="1" x14ac:dyDescent="0.25">
      <c r="A33" s="1227" t="s">
        <v>1081</v>
      </c>
      <c r="B33" s="1227"/>
      <c r="C33" s="1227"/>
    </row>
    <row r="34" spans="1:3" ht="18" customHeight="1" x14ac:dyDescent="0.25">
      <c r="A34" s="1231"/>
      <c r="B34" s="1231"/>
      <c r="C34" s="1231"/>
    </row>
    <row r="35" spans="1:3" ht="18" customHeight="1" x14ac:dyDescent="0.25">
      <c r="A35" s="1225" t="s">
        <v>1082</v>
      </c>
      <c r="B35" s="1225"/>
      <c r="C35" s="1225"/>
    </row>
    <row r="36" spans="1:3" ht="180.75" customHeight="1" x14ac:dyDescent="0.25">
      <c r="A36" s="1226" t="s">
        <v>1083</v>
      </c>
      <c r="B36" s="1226"/>
      <c r="C36" s="1226"/>
    </row>
    <row r="37" spans="1:3" ht="120" customHeight="1" x14ac:dyDescent="0.25">
      <c r="A37" s="1227" t="s">
        <v>1084</v>
      </c>
      <c r="B37" s="1227"/>
      <c r="C37" s="1227"/>
    </row>
  </sheetData>
  <sheetProtection algorithmName="SHA-512" hashValue="3rMb2SF3FG2aOI+WQ3J2yp9DXq5Xrt79HSvQy9YNOAtzZc7y0EyLUThmUpBJE7AgiAXtXGQDs8BUctFT0rRHFA==" saltValue="1m5XlwWRM5K0VprcHMinTA==" spinCount="100000" sheet="1" formatCells="0" formatColumns="0" formatRows="0" insertRows="0" autoFilter="0" pivotTables="0"/>
  <mergeCells count="34">
    <mergeCell ref="A34:C34"/>
    <mergeCell ref="A35:C35"/>
    <mergeCell ref="A36:C36"/>
    <mergeCell ref="A37:C37"/>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9:C9"/>
    <mergeCell ref="A10:C10"/>
    <mergeCell ref="A11:C11"/>
    <mergeCell ref="A12:C12"/>
    <mergeCell ref="A13:C13"/>
    <mergeCell ref="B1:C1"/>
    <mergeCell ref="B2:C2"/>
    <mergeCell ref="A5:C5"/>
    <mergeCell ref="A6:C6"/>
    <mergeCell ref="A7:C7"/>
  </mergeCells>
  <hyperlinks>
    <hyperlink ref="D1" location="ins" display="Instructivo" xr:uid="{00000000-0004-0000-1E00-000000000000}"/>
  </hyperlinks>
  <printOptions horizontalCentered="1"/>
  <pageMargins left="0" right="0" top="0" bottom="0" header="0.511811023622047" footer="0.511811023622047"/>
  <pageSetup fitToHeight="0" orientation="landscape" horizontalDpi="300" verticalDpi="300"/>
  <drawing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AX292"/>
  <sheetViews>
    <sheetView showGridLines="0" zoomScaleNormal="100" workbookViewId="0"/>
  </sheetViews>
  <sheetFormatPr baseColWidth="10" defaultColWidth="11.33203125" defaultRowHeight="18" customHeight="1" x14ac:dyDescent="0.25"/>
  <cols>
    <col min="1" max="1" width="33.109375" style="481" customWidth="1"/>
    <col min="2" max="2" width="47.109375" style="481" customWidth="1"/>
    <col min="3" max="3" width="17.33203125" style="481" customWidth="1"/>
    <col min="4" max="4" width="18.6640625" style="481" customWidth="1"/>
    <col min="5" max="5" width="24.77734375" style="482" customWidth="1"/>
    <col min="6" max="6" width="16.77734375" style="483" customWidth="1"/>
    <col min="7" max="50" width="11.33203125" style="483"/>
    <col min="51" max="16384" width="11.33203125" style="481"/>
  </cols>
  <sheetData>
    <row r="1" spans="1:11" s="15" customFormat="1" ht="39" customHeight="1" x14ac:dyDescent="0.25">
      <c r="B1" s="1129" t="str">
        <f>Instructivo!F1</f>
        <v>Sistema de Gestión Integral (SGI)
Instructivo - Componente Financiero EP
Código: F-PGC-21. Versión: 05</v>
      </c>
      <c r="C1" s="1129"/>
      <c r="D1" s="132" t="s">
        <v>102</v>
      </c>
      <c r="E1" s="851"/>
    </row>
    <row r="2" spans="1:11" s="15" customFormat="1" ht="17.25" customHeight="1" x14ac:dyDescent="0.25">
      <c r="B2" s="1173" t="s">
        <v>1085</v>
      </c>
      <c r="C2" s="1173"/>
      <c r="D2" s="852"/>
      <c r="E2" s="852"/>
      <c r="I2" s="441"/>
      <c r="J2" s="420"/>
      <c r="K2" s="378"/>
    </row>
    <row r="3" spans="1:11" ht="4.5" customHeight="1" x14ac:dyDescent="0.25"/>
    <row r="4" spans="1:11" ht="4.5" customHeight="1" x14ac:dyDescent="0.25">
      <c r="A4" s="483"/>
      <c r="B4" s="483"/>
      <c r="C4" s="483"/>
      <c r="D4" s="483"/>
      <c r="E4" s="492"/>
    </row>
    <row r="5" spans="1:11" s="483" customFormat="1" ht="18" customHeight="1" x14ac:dyDescent="0.25">
      <c r="A5" s="1061" t="s">
        <v>1086</v>
      </c>
      <c r="B5" s="1061"/>
      <c r="C5" s="1061"/>
      <c r="D5" s="1061"/>
      <c r="E5" s="1061"/>
    </row>
    <row r="6" spans="1:11" s="483" customFormat="1" ht="30.75" customHeight="1" x14ac:dyDescent="0.25">
      <c r="A6" s="1236" t="s">
        <v>1087</v>
      </c>
      <c r="B6" s="1236"/>
      <c r="C6" s="1236"/>
      <c r="D6" s="1236"/>
      <c r="E6" s="1236"/>
    </row>
    <row r="7" spans="1:11" s="483" customFormat="1" ht="21.75" customHeight="1" x14ac:dyDescent="0.25">
      <c r="A7" s="1237" t="s">
        <v>1088</v>
      </c>
      <c r="B7" s="1237"/>
      <c r="C7" s="1237"/>
      <c r="D7" s="1237"/>
      <c r="E7" s="874">
        <v>0</v>
      </c>
    </row>
    <row r="8" spans="1:11" s="483" customFormat="1" ht="18" customHeight="1" x14ac:dyDescent="0.25">
      <c r="A8" s="332" t="s">
        <v>380</v>
      </c>
      <c r="B8" s="333" t="s">
        <v>16</v>
      </c>
      <c r="C8" s="333" t="s">
        <v>806</v>
      </c>
      <c r="D8" s="333" t="s">
        <v>1089</v>
      </c>
      <c r="E8" s="875" t="s">
        <v>807</v>
      </c>
    </row>
    <row r="9" spans="1:11" s="483" customFormat="1" ht="18" customHeight="1" x14ac:dyDescent="0.25">
      <c r="A9" s="1238" t="s">
        <v>1090</v>
      </c>
      <c r="B9" s="1238"/>
      <c r="C9" s="1238"/>
      <c r="D9" s="1238"/>
      <c r="E9" s="1238"/>
    </row>
    <row r="10" spans="1:11" s="483" customFormat="1" ht="30.75" customHeight="1" x14ac:dyDescent="0.25">
      <c r="A10" s="876" t="s">
        <v>1091</v>
      </c>
      <c r="B10" s="877" t="s">
        <v>1092</v>
      </c>
      <c r="C10" s="878">
        <v>3.2000000000000001E-2</v>
      </c>
      <c r="D10" s="879"/>
      <c r="E10" s="880">
        <f>IF(D10="SI",C10*$E$7,0)</f>
        <v>0</v>
      </c>
    </row>
    <row r="11" spans="1:11" s="483" customFormat="1" ht="54.75" customHeight="1" x14ac:dyDescent="0.25">
      <c r="A11" s="876" t="s">
        <v>1093</v>
      </c>
      <c r="B11" s="877" t="s">
        <v>1094</v>
      </c>
      <c r="C11" s="878">
        <v>1.15E-2</v>
      </c>
      <c r="D11" s="879"/>
      <c r="E11" s="880">
        <f>IF(D11="SI",C11*$E$7,0)</f>
        <v>0</v>
      </c>
    </row>
    <row r="12" spans="1:11" s="483" customFormat="1" ht="42.75" customHeight="1" x14ac:dyDescent="0.25">
      <c r="A12" s="876" t="s">
        <v>1095</v>
      </c>
      <c r="B12" s="877" t="s">
        <v>1096</v>
      </c>
      <c r="C12" s="878">
        <v>4.0000000000000001E-3</v>
      </c>
      <c r="D12" s="879"/>
      <c r="E12" s="880">
        <f>IF(D12="SI",C12*$E$7,0)</f>
        <v>0</v>
      </c>
    </row>
    <row r="13" spans="1:11" s="483" customFormat="1" ht="54" customHeight="1" x14ac:dyDescent="0.25">
      <c r="A13" s="876" t="s">
        <v>1097</v>
      </c>
      <c r="B13" s="877" t="s">
        <v>1098</v>
      </c>
      <c r="C13" s="878">
        <v>0.05</v>
      </c>
      <c r="D13" s="879"/>
      <c r="E13" s="880">
        <f>IF(D13="SI",C13*$E$7,0)</f>
        <v>0</v>
      </c>
    </row>
    <row r="14" spans="1:11" s="483" customFormat="1" ht="65.25" customHeight="1" x14ac:dyDescent="0.25">
      <c r="A14" s="876" t="s">
        <v>1099</v>
      </c>
      <c r="B14" s="877" t="s">
        <v>1100</v>
      </c>
      <c r="C14" s="881">
        <v>0</v>
      </c>
      <c r="D14" s="879"/>
      <c r="E14" s="880">
        <f>IF(D14="SI",C14*$E$7,0)</f>
        <v>0</v>
      </c>
    </row>
    <row r="15" spans="1:11" s="483" customFormat="1" ht="18" customHeight="1" x14ac:dyDescent="0.25">
      <c r="A15" s="1239" t="s">
        <v>1090</v>
      </c>
      <c r="B15" s="1239"/>
      <c r="C15" s="1239"/>
      <c r="D15" s="1239"/>
      <c r="E15" s="882">
        <f>SUM(E10:E14)</f>
        <v>0</v>
      </c>
    </row>
    <row r="16" spans="1:11" s="483" customFormat="1" ht="18" customHeight="1" x14ac:dyDescent="0.25">
      <c r="A16" s="1238" t="s">
        <v>1101</v>
      </c>
      <c r="B16" s="1238"/>
      <c r="C16" s="1238"/>
      <c r="D16" s="1238"/>
      <c r="E16" s="1238"/>
    </row>
    <row r="17" spans="1:5" s="483" customFormat="1" ht="32.25" customHeight="1" x14ac:dyDescent="0.25">
      <c r="A17" s="883" t="s">
        <v>1091</v>
      </c>
      <c r="B17" s="877" t="s">
        <v>1092</v>
      </c>
      <c r="C17" s="878">
        <v>1.6E-2</v>
      </c>
      <c r="D17" s="879"/>
      <c r="E17" s="880">
        <f t="shared" ref="E17:E22" si="0">IF(D17="SI",C17*$E$7,0)</f>
        <v>0</v>
      </c>
    </row>
    <row r="18" spans="1:5" s="483" customFormat="1" ht="54" customHeight="1" x14ac:dyDescent="0.25">
      <c r="A18" s="883" t="s">
        <v>1093</v>
      </c>
      <c r="B18" s="877" t="s">
        <v>1094</v>
      </c>
      <c r="C18" s="878">
        <v>1.15E-2</v>
      </c>
      <c r="D18" s="879"/>
      <c r="E18" s="880">
        <f t="shared" si="0"/>
        <v>0</v>
      </c>
    </row>
    <row r="19" spans="1:5" s="483" customFormat="1" ht="54" customHeight="1" x14ac:dyDescent="0.25">
      <c r="A19" s="883" t="s">
        <v>1102</v>
      </c>
      <c r="B19" s="877" t="s">
        <v>1103</v>
      </c>
      <c r="C19" s="878">
        <v>4.0000000000000001E-3</v>
      </c>
      <c r="D19" s="879"/>
      <c r="E19" s="880">
        <f t="shared" si="0"/>
        <v>0</v>
      </c>
    </row>
    <row r="20" spans="1:5" s="483" customFormat="1" ht="54" customHeight="1" x14ac:dyDescent="0.25">
      <c r="A20" s="876" t="s">
        <v>1097</v>
      </c>
      <c r="B20" s="877" t="s">
        <v>1098</v>
      </c>
      <c r="C20" s="878">
        <v>0.05</v>
      </c>
      <c r="D20" s="879"/>
      <c r="E20" s="880">
        <f t="shared" si="0"/>
        <v>0</v>
      </c>
    </row>
    <row r="21" spans="1:5" s="483" customFormat="1" ht="69" customHeight="1" x14ac:dyDescent="0.25">
      <c r="A21" s="883" t="s">
        <v>1099</v>
      </c>
      <c r="B21" s="877" t="s">
        <v>1100</v>
      </c>
      <c r="C21" s="881">
        <v>0</v>
      </c>
      <c r="D21" s="879"/>
      <c r="E21" s="880">
        <f t="shared" si="0"/>
        <v>0</v>
      </c>
    </row>
    <row r="22" spans="1:5" s="483" customFormat="1" ht="54" customHeight="1" x14ac:dyDescent="0.25">
      <c r="A22" s="883" t="s">
        <v>1104</v>
      </c>
      <c r="B22" s="877" t="s">
        <v>1105</v>
      </c>
      <c r="C22" s="878">
        <v>4.0000000000000001E-3</v>
      </c>
      <c r="D22" s="879"/>
      <c r="E22" s="880">
        <f t="shared" si="0"/>
        <v>0</v>
      </c>
    </row>
    <row r="23" spans="1:5" s="483" customFormat="1" ht="18" customHeight="1" x14ac:dyDescent="0.25">
      <c r="A23" s="1239" t="s">
        <v>1101</v>
      </c>
      <c r="B23" s="1239"/>
      <c r="C23" s="1239"/>
      <c r="D23" s="1239"/>
      <c r="E23" s="882">
        <f>SUM(E17:E22)</f>
        <v>0</v>
      </c>
    </row>
    <row r="24" spans="1:5" s="483" customFormat="1" ht="18" customHeight="1" x14ac:dyDescent="0.25">
      <c r="A24" s="1238" t="s">
        <v>1106</v>
      </c>
      <c r="B24" s="1238"/>
      <c r="C24" s="1238"/>
      <c r="D24" s="1238"/>
      <c r="E24" s="1238"/>
    </row>
    <row r="25" spans="1:5" s="483" customFormat="1" ht="34.5" customHeight="1" x14ac:dyDescent="0.25">
      <c r="A25" s="883" t="s">
        <v>1091</v>
      </c>
      <c r="B25" s="877" t="s">
        <v>1092</v>
      </c>
      <c r="C25" s="878">
        <v>1.6E-2</v>
      </c>
      <c r="D25" s="879"/>
      <c r="E25" s="880">
        <f t="shared" ref="E25:E34" si="1">IF(D25="SI",C25*$E$7,0)</f>
        <v>0</v>
      </c>
    </row>
    <row r="26" spans="1:5" s="483" customFormat="1" ht="56.25" customHeight="1" x14ac:dyDescent="0.25">
      <c r="A26" s="876" t="s">
        <v>1093</v>
      </c>
      <c r="B26" s="877" t="s">
        <v>1094</v>
      </c>
      <c r="C26" s="878">
        <v>1.15E-2</v>
      </c>
      <c r="D26" s="879"/>
      <c r="E26" s="880">
        <f t="shared" si="1"/>
        <v>0</v>
      </c>
    </row>
    <row r="27" spans="1:5" s="483" customFormat="1" ht="53.25" customHeight="1" x14ac:dyDescent="0.25">
      <c r="A27" s="883" t="s">
        <v>1102</v>
      </c>
      <c r="B27" s="877" t="s">
        <v>1103</v>
      </c>
      <c r="C27" s="878">
        <v>4.0000000000000001E-3</v>
      </c>
      <c r="D27" s="879"/>
      <c r="E27" s="880">
        <f t="shared" si="1"/>
        <v>0</v>
      </c>
    </row>
    <row r="28" spans="1:5" s="483" customFormat="1" ht="52.5" customHeight="1" x14ac:dyDescent="0.25">
      <c r="A28" s="876" t="s">
        <v>1097</v>
      </c>
      <c r="B28" s="877" t="s">
        <v>1098</v>
      </c>
      <c r="C28" s="878">
        <v>0.05</v>
      </c>
      <c r="D28" s="879"/>
      <c r="E28" s="880">
        <f t="shared" si="1"/>
        <v>0</v>
      </c>
    </row>
    <row r="29" spans="1:5" s="483" customFormat="1" ht="57.75" customHeight="1" x14ac:dyDescent="0.25">
      <c r="A29" s="876" t="s">
        <v>1107</v>
      </c>
      <c r="B29" s="877" t="s">
        <v>1108</v>
      </c>
      <c r="C29" s="878">
        <v>0.02</v>
      </c>
      <c r="D29" s="879"/>
      <c r="E29" s="880">
        <f t="shared" si="1"/>
        <v>0</v>
      </c>
    </row>
    <row r="30" spans="1:5" s="483" customFormat="1" ht="50.25" customHeight="1" x14ac:dyDescent="0.25">
      <c r="A30" s="883" t="s">
        <v>1104</v>
      </c>
      <c r="B30" s="877" t="s">
        <v>1105</v>
      </c>
      <c r="C30" s="878">
        <v>4.0000000000000001E-3</v>
      </c>
      <c r="D30" s="879"/>
      <c r="E30" s="880">
        <f t="shared" si="1"/>
        <v>0</v>
      </c>
    </row>
    <row r="31" spans="1:5" s="483" customFormat="1" ht="52.5" customHeight="1" x14ac:dyDescent="0.25">
      <c r="A31" s="883" t="s">
        <v>1109</v>
      </c>
      <c r="B31" s="877" t="s">
        <v>1108</v>
      </c>
      <c r="C31" s="878">
        <v>6.0000000000000001E-3</v>
      </c>
      <c r="D31" s="879"/>
      <c r="E31" s="880">
        <f t="shared" si="1"/>
        <v>0</v>
      </c>
    </row>
    <row r="32" spans="1:5" s="483" customFormat="1" ht="59.25" customHeight="1" x14ac:dyDescent="0.25">
      <c r="A32" s="883" t="s">
        <v>1110</v>
      </c>
      <c r="B32" s="877" t="s">
        <v>1108</v>
      </c>
      <c r="C32" s="878">
        <v>0.01</v>
      </c>
      <c r="D32" s="879"/>
      <c r="E32" s="880">
        <f t="shared" si="1"/>
        <v>0</v>
      </c>
    </row>
    <row r="33" spans="1:5" s="483" customFormat="1" ht="60" customHeight="1" x14ac:dyDescent="0.25">
      <c r="A33" s="883" t="s">
        <v>1111</v>
      </c>
      <c r="B33" s="877" t="s">
        <v>1108</v>
      </c>
      <c r="C33" s="878">
        <v>4.0000000000000001E-3</v>
      </c>
      <c r="D33" s="879"/>
      <c r="E33" s="880">
        <f t="shared" si="1"/>
        <v>0</v>
      </c>
    </row>
    <row r="34" spans="1:5" s="483" customFormat="1" ht="58.5" customHeight="1" x14ac:dyDescent="0.25">
      <c r="A34" s="883" t="s">
        <v>1112</v>
      </c>
      <c r="B34" s="877" t="s">
        <v>1108</v>
      </c>
      <c r="C34" s="881">
        <v>0</v>
      </c>
      <c r="D34" s="879"/>
      <c r="E34" s="880">
        <f t="shared" si="1"/>
        <v>0</v>
      </c>
    </row>
    <row r="35" spans="1:5" s="483" customFormat="1" ht="18" customHeight="1" x14ac:dyDescent="0.25">
      <c r="A35" s="1239" t="s">
        <v>1106</v>
      </c>
      <c r="B35" s="1239"/>
      <c r="C35" s="1239"/>
      <c r="D35" s="1239"/>
      <c r="E35" s="882">
        <f>SUM(E25:E34)</f>
        <v>0</v>
      </c>
    </row>
    <row r="36" spans="1:5" s="483" customFormat="1" ht="18" customHeight="1" x14ac:dyDescent="0.25">
      <c r="A36" s="1238" t="s">
        <v>1113</v>
      </c>
      <c r="B36" s="1238"/>
      <c r="C36" s="1238"/>
      <c r="D36" s="1238"/>
      <c r="E36" s="1238"/>
    </row>
    <row r="37" spans="1:5" s="483" customFormat="1" ht="30" customHeight="1" x14ac:dyDescent="0.25">
      <c r="A37" s="883" t="s">
        <v>1091</v>
      </c>
      <c r="B37" s="877" t="s">
        <v>1092</v>
      </c>
      <c r="C37" s="878">
        <v>1.6E-2</v>
      </c>
      <c r="D37" s="879"/>
      <c r="E37" s="880">
        <f t="shared" ref="E37:E45" si="2">IF(D37="SI",C37*$E$7,0)</f>
        <v>0</v>
      </c>
    </row>
    <row r="38" spans="1:5" s="483" customFormat="1" ht="54" customHeight="1" x14ac:dyDescent="0.25">
      <c r="A38" s="876" t="s">
        <v>1093</v>
      </c>
      <c r="B38" s="877" t="s">
        <v>1094</v>
      </c>
      <c r="C38" s="878">
        <v>1.15E-2</v>
      </c>
      <c r="D38" s="879"/>
      <c r="E38" s="880">
        <f t="shared" si="2"/>
        <v>0</v>
      </c>
    </row>
    <row r="39" spans="1:5" s="483" customFormat="1" ht="57.75" customHeight="1" x14ac:dyDescent="0.25">
      <c r="A39" s="883" t="s">
        <v>1102</v>
      </c>
      <c r="B39" s="877" t="s">
        <v>1103</v>
      </c>
      <c r="C39" s="878">
        <v>4.0000000000000001E-3</v>
      </c>
      <c r="D39" s="879"/>
      <c r="E39" s="880">
        <f t="shared" si="2"/>
        <v>0</v>
      </c>
    </row>
    <row r="40" spans="1:5" s="483" customFormat="1" ht="57" customHeight="1" x14ac:dyDescent="0.25">
      <c r="A40" s="876" t="s">
        <v>1097</v>
      </c>
      <c r="B40" s="877" t="s">
        <v>1098</v>
      </c>
      <c r="C40" s="878">
        <v>0.05</v>
      </c>
      <c r="D40" s="879"/>
      <c r="E40" s="880">
        <f t="shared" si="2"/>
        <v>0</v>
      </c>
    </row>
    <row r="41" spans="1:5" s="483" customFormat="1" ht="61.5" customHeight="1" x14ac:dyDescent="0.25">
      <c r="A41" s="883" t="s">
        <v>1114</v>
      </c>
      <c r="B41" s="877" t="s">
        <v>1108</v>
      </c>
      <c r="C41" s="881">
        <v>0</v>
      </c>
      <c r="D41" s="879"/>
      <c r="E41" s="880">
        <f t="shared" si="2"/>
        <v>0</v>
      </c>
    </row>
    <row r="42" spans="1:5" s="483" customFormat="1" ht="55.5" customHeight="1" x14ac:dyDescent="0.25">
      <c r="A42" s="876" t="s">
        <v>1107</v>
      </c>
      <c r="B42" s="877" t="s">
        <v>1108</v>
      </c>
      <c r="C42" s="881">
        <v>0</v>
      </c>
      <c r="D42" s="879"/>
      <c r="E42" s="880">
        <f t="shared" si="2"/>
        <v>0</v>
      </c>
    </row>
    <row r="43" spans="1:5" s="483" customFormat="1" ht="58.5" customHeight="1" x14ac:dyDescent="0.25">
      <c r="A43" s="876" t="s">
        <v>1115</v>
      </c>
      <c r="B43" s="877" t="s">
        <v>1108</v>
      </c>
      <c r="C43" s="881">
        <v>0</v>
      </c>
      <c r="D43" s="879"/>
      <c r="E43" s="880">
        <f t="shared" si="2"/>
        <v>0</v>
      </c>
    </row>
    <row r="44" spans="1:5" s="483" customFormat="1" ht="60.75" customHeight="1" x14ac:dyDescent="0.25">
      <c r="A44" s="883" t="s">
        <v>1116</v>
      </c>
      <c r="B44" s="877" t="s">
        <v>1108</v>
      </c>
      <c r="C44" s="881">
        <v>0</v>
      </c>
      <c r="D44" s="879"/>
      <c r="E44" s="880">
        <f t="shared" si="2"/>
        <v>0</v>
      </c>
    </row>
    <row r="45" spans="1:5" s="483" customFormat="1" ht="57.75" customHeight="1" x14ac:dyDescent="0.25">
      <c r="A45" s="883" t="s">
        <v>1112</v>
      </c>
      <c r="B45" s="877" t="s">
        <v>1108</v>
      </c>
      <c r="C45" s="881">
        <v>0</v>
      </c>
      <c r="D45" s="879"/>
      <c r="E45" s="880">
        <f t="shared" si="2"/>
        <v>0</v>
      </c>
    </row>
    <row r="46" spans="1:5" s="483" customFormat="1" ht="18" customHeight="1" x14ac:dyDescent="0.25">
      <c r="A46" s="1240" t="s">
        <v>1113</v>
      </c>
      <c r="B46" s="1240"/>
      <c r="C46" s="1240"/>
      <c r="D46" s="1240"/>
      <c r="E46" s="884">
        <f>SUM(E37:E45)</f>
        <v>0</v>
      </c>
    </row>
    <row r="47" spans="1:5" s="483" customFormat="1" ht="18" customHeight="1" x14ac:dyDescent="0.25">
      <c r="A47" s="1241"/>
      <c r="B47" s="1241"/>
      <c r="C47" s="1241"/>
      <c r="D47" s="1241"/>
      <c r="E47" s="1241"/>
    </row>
    <row r="48" spans="1:5" s="483" customFormat="1" ht="18" customHeight="1" x14ac:dyDescent="0.25">
      <c r="E48" s="492"/>
    </row>
    <row r="49" spans="1:5" s="483" customFormat="1" ht="18" customHeight="1" x14ac:dyDescent="0.25">
      <c r="A49" s="1061" t="s">
        <v>1117</v>
      </c>
      <c r="B49" s="1061"/>
      <c r="C49" s="1061"/>
      <c r="D49" s="1061"/>
      <c r="E49" s="1061"/>
    </row>
    <row r="50" spans="1:5" s="483" customFormat="1" ht="29.25" customHeight="1" x14ac:dyDescent="0.25">
      <c r="A50" s="1242" t="s">
        <v>1118</v>
      </c>
      <c r="B50" s="1242"/>
      <c r="C50" s="1242"/>
      <c r="D50" s="1242"/>
      <c r="E50" s="1242"/>
    </row>
    <row r="51" spans="1:5" s="483" customFormat="1" ht="18" customHeight="1" x14ac:dyDescent="0.25">
      <c r="A51" s="1044" t="s">
        <v>380</v>
      </c>
      <c r="B51" s="1044"/>
      <c r="C51" s="1243" t="s">
        <v>16</v>
      </c>
      <c r="D51" s="1243"/>
      <c r="E51" s="1243"/>
    </row>
    <row r="52" spans="1:5" s="483" customFormat="1" ht="28.5" customHeight="1" x14ac:dyDescent="0.25">
      <c r="A52" s="1244" t="s">
        <v>1119</v>
      </c>
      <c r="B52" s="1244"/>
      <c r="C52" s="1245" t="s">
        <v>1120</v>
      </c>
      <c r="D52" s="1245"/>
      <c r="E52" s="1245"/>
    </row>
    <row r="53" spans="1:5" s="483" customFormat="1" ht="27" customHeight="1" x14ac:dyDescent="0.25">
      <c r="A53" s="1246" t="s">
        <v>1121</v>
      </c>
      <c r="B53" s="1246"/>
      <c r="C53" s="1245" t="s">
        <v>1122</v>
      </c>
      <c r="D53" s="1245"/>
      <c r="E53" s="1245"/>
    </row>
    <row r="54" spans="1:5" s="483" customFormat="1" ht="39" customHeight="1" x14ac:dyDescent="0.25">
      <c r="A54" s="1246" t="s">
        <v>1123</v>
      </c>
      <c r="B54" s="1246"/>
      <c r="C54" s="1245" t="s">
        <v>1124</v>
      </c>
      <c r="D54" s="1245"/>
      <c r="E54" s="1245"/>
    </row>
    <row r="55" spans="1:5" s="483" customFormat="1" ht="54.75" customHeight="1" x14ac:dyDescent="0.25">
      <c r="A55" s="1246" t="s">
        <v>1125</v>
      </c>
      <c r="B55" s="1246"/>
      <c r="C55" s="1245" t="s">
        <v>1126</v>
      </c>
      <c r="D55" s="1245"/>
      <c r="E55" s="1245"/>
    </row>
    <row r="56" spans="1:5" s="483" customFormat="1" ht="25.5" customHeight="1" x14ac:dyDescent="0.25">
      <c r="A56" s="1246" t="s">
        <v>1127</v>
      </c>
      <c r="B56" s="1246"/>
      <c r="C56" s="1245" t="s">
        <v>1128</v>
      </c>
      <c r="D56" s="1245"/>
      <c r="E56" s="1245"/>
    </row>
    <row r="57" spans="1:5" s="483" customFormat="1" ht="42.75" customHeight="1" x14ac:dyDescent="0.25">
      <c r="A57" s="1246" t="s">
        <v>1129</v>
      </c>
      <c r="B57" s="1246"/>
      <c r="C57" s="1245" t="s">
        <v>1130</v>
      </c>
      <c r="D57" s="1245"/>
      <c r="E57" s="1245"/>
    </row>
    <row r="58" spans="1:5" s="483" customFormat="1" ht="44.25" customHeight="1" x14ac:dyDescent="0.25">
      <c r="A58" s="1246" t="s">
        <v>1131</v>
      </c>
      <c r="B58" s="1246"/>
      <c r="C58" s="1245" t="s">
        <v>1132</v>
      </c>
      <c r="D58" s="1245"/>
      <c r="E58" s="1245"/>
    </row>
    <row r="59" spans="1:5" s="483" customFormat="1" ht="33" customHeight="1" x14ac:dyDescent="0.25">
      <c r="A59" s="1246" t="s">
        <v>1133</v>
      </c>
      <c r="B59" s="1246"/>
      <c r="C59" s="1245" t="s">
        <v>1134</v>
      </c>
      <c r="D59" s="1245"/>
      <c r="E59" s="1245"/>
    </row>
    <row r="60" spans="1:5" s="483" customFormat="1" ht="54.75" customHeight="1" x14ac:dyDescent="0.25">
      <c r="A60" s="1246" t="s">
        <v>1135</v>
      </c>
      <c r="B60" s="1246"/>
      <c r="C60" s="1245" t="s">
        <v>1136</v>
      </c>
      <c r="D60" s="1245"/>
      <c r="E60" s="1245"/>
    </row>
    <row r="61" spans="1:5" s="483" customFormat="1" ht="32.25" customHeight="1" x14ac:dyDescent="0.25">
      <c r="A61" s="1247" t="s">
        <v>1137</v>
      </c>
      <c r="B61" s="1247"/>
      <c r="C61" s="1248" t="s">
        <v>1138</v>
      </c>
      <c r="D61" s="1248"/>
      <c r="E61" s="1248"/>
    </row>
    <row r="62" spans="1:5" s="483" customFormat="1" ht="18" customHeight="1" x14ac:dyDescent="0.25">
      <c r="E62" s="492"/>
    </row>
    <row r="63" spans="1:5" s="483" customFormat="1" ht="18" customHeight="1" x14ac:dyDescent="0.25">
      <c r="E63" s="492"/>
    </row>
    <row r="64" spans="1:5" s="483" customFormat="1" ht="18" customHeight="1" x14ac:dyDescent="0.25">
      <c r="E64" s="492"/>
    </row>
    <row r="65" spans="5:5" s="483" customFormat="1" ht="18" customHeight="1" x14ac:dyDescent="0.25">
      <c r="E65" s="492"/>
    </row>
    <row r="66" spans="5:5" s="483" customFormat="1" ht="18" customHeight="1" x14ac:dyDescent="0.25">
      <c r="E66" s="492"/>
    </row>
    <row r="67" spans="5:5" s="483" customFormat="1" ht="18" customHeight="1" x14ac:dyDescent="0.25">
      <c r="E67" s="492"/>
    </row>
    <row r="68" spans="5:5" s="483" customFormat="1" ht="18" customHeight="1" x14ac:dyDescent="0.25">
      <c r="E68" s="492"/>
    </row>
    <row r="69" spans="5:5" s="483" customFormat="1" ht="18" customHeight="1" x14ac:dyDescent="0.25">
      <c r="E69" s="492"/>
    </row>
    <row r="70" spans="5:5" s="483" customFormat="1" ht="18" customHeight="1" x14ac:dyDescent="0.25">
      <c r="E70" s="492"/>
    </row>
    <row r="71" spans="5:5" s="483" customFormat="1" ht="18" customHeight="1" x14ac:dyDescent="0.25">
      <c r="E71" s="492"/>
    </row>
    <row r="72" spans="5:5" s="483" customFormat="1" ht="18" customHeight="1" x14ac:dyDescent="0.25">
      <c r="E72" s="492"/>
    </row>
    <row r="73" spans="5:5" s="483" customFormat="1" ht="18" customHeight="1" x14ac:dyDescent="0.25">
      <c r="E73" s="492"/>
    </row>
    <row r="74" spans="5:5" s="483" customFormat="1" ht="18" customHeight="1" x14ac:dyDescent="0.25">
      <c r="E74" s="492"/>
    </row>
    <row r="75" spans="5:5" s="483" customFormat="1" ht="18" customHeight="1" x14ac:dyDescent="0.25">
      <c r="E75" s="492"/>
    </row>
    <row r="76" spans="5:5" s="483" customFormat="1" ht="18" customHeight="1" x14ac:dyDescent="0.25">
      <c r="E76" s="492"/>
    </row>
    <row r="77" spans="5:5" s="483" customFormat="1" ht="18" customHeight="1" x14ac:dyDescent="0.25">
      <c r="E77" s="492"/>
    </row>
    <row r="78" spans="5:5" s="483" customFormat="1" ht="18" customHeight="1" x14ac:dyDescent="0.25">
      <c r="E78" s="492"/>
    </row>
    <row r="79" spans="5:5" s="483" customFormat="1" ht="18" customHeight="1" x14ac:dyDescent="0.25">
      <c r="E79" s="492"/>
    </row>
    <row r="80" spans="5:5" s="483" customFormat="1" ht="18" customHeight="1" x14ac:dyDescent="0.25">
      <c r="E80" s="492"/>
    </row>
    <row r="81" spans="5:5" s="483" customFormat="1" ht="18" customHeight="1" x14ac:dyDescent="0.25">
      <c r="E81" s="492"/>
    </row>
    <row r="82" spans="5:5" s="483" customFormat="1" ht="18" customHeight="1" x14ac:dyDescent="0.25">
      <c r="E82" s="492"/>
    </row>
    <row r="83" spans="5:5" s="483" customFormat="1" ht="18" customHeight="1" x14ac:dyDescent="0.25">
      <c r="E83" s="492"/>
    </row>
    <row r="84" spans="5:5" s="483" customFormat="1" ht="18" customHeight="1" x14ac:dyDescent="0.25">
      <c r="E84" s="492"/>
    </row>
    <row r="85" spans="5:5" s="483" customFormat="1" ht="18" customHeight="1" x14ac:dyDescent="0.25">
      <c r="E85" s="492"/>
    </row>
    <row r="86" spans="5:5" s="483" customFormat="1" ht="18" customHeight="1" x14ac:dyDescent="0.25">
      <c r="E86" s="492"/>
    </row>
    <row r="87" spans="5:5" s="483" customFormat="1" ht="18" customHeight="1" x14ac:dyDescent="0.25">
      <c r="E87" s="492"/>
    </row>
    <row r="88" spans="5:5" s="483" customFormat="1" ht="18" customHeight="1" x14ac:dyDescent="0.25">
      <c r="E88" s="492"/>
    </row>
    <row r="89" spans="5:5" s="483" customFormat="1" ht="18" customHeight="1" x14ac:dyDescent="0.25">
      <c r="E89" s="492"/>
    </row>
    <row r="90" spans="5:5" s="483" customFormat="1" ht="18" customHeight="1" x14ac:dyDescent="0.25">
      <c r="E90" s="492"/>
    </row>
    <row r="91" spans="5:5" s="483" customFormat="1" ht="18" customHeight="1" x14ac:dyDescent="0.25">
      <c r="E91" s="492"/>
    </row>
    <row r="92" spans="5:5" s="483" customFormat="1" ht="18" customHeight="1" x14ac:dyDescent="0.25">
      <c r="E92" s="492"/>
    </row>
    <row r="93" spans="5:5" s="483" customFormat="1" ht="18" customHeight="1" x14ac:dyDescent="0.25">
      <c r="E93" s="492"/>
    </row>
    <row r="94" spans="5:5" s="483" customFormat="1" ht="18" customHeight="1" x14ac:dyDescent="0.25">
      <c r="E94" s="492"/>
    </row>
    <row r="95" spans="5:5" s="483" customFormat="1" ht="18" customHeight="1" x14ac:dyDescent="0.25">
      <c r="E95" s="492"/>
    </row>
    <row r="96" spans="5:5" s="483" customFormat="1" ht="18" customHeight="1" x14ac:dyDescent="0.25">
      <c r="E96" s="492"/>
    </row>
    <row r="97" spans="5:5" s="483" customFormat="1" ht="18" customHeight="1" x14ac:dyDescent="0.25">
      <c r="E97" s="492"/>
    </row>
    <row r="98" spans="5:5" s="483" customFormat="1" ht="18" customHeight="1" x14ac:dyDescent="0.25">
      <c r="E98" s="492"/>
    </row>
    <row r="99" spans="5:5" s="483" customFormat="1" ht="18" customHeight="1" x14ac:dyDescent="0.25">
      <c r="E99" s="492"/>
    </row>
    <row r="100" spans="5:5" s="483" customFormat="1" ht="18" customHeight="1" x14ac:dyDescent="0.25">
      <c r="E100" s="492"/>
    </row>
    <row r="101" spans="5:5" s="483" customFormat="1" ht="18" customHeight="1" x14ac:dyDescent="0.25">
      <c r="E101" s="492"/>
    </row>
    <row r="102" spans="5:5" s="483" customFormat="1" ht="18" customHeight="1" x14ac:dyDescent="0.25">
      <c r="E102" s="492"/>
    </row>
    <row r="103" spans="5:5" s="483" customFormat="1" ht="18" customHeight="1" x14ac:dyDescent="0.25">
      <c r="E103" s="492"/>
    </row>
    <row r="104" spans="5:5" s="483" customFormat="1" ht="18" customHeight="1" x14ac:dyDescent="0.25">
      <c r="E104" s="492"/>
    </row>
    <row r="105" spans="5:5" s="483" customFormat="1" ht="18" customHeight="1" x14ac:dyDescent="0.25">
      <c r="E105" s="492"/>
    </row>
    <row r="106" spans="5:5" s="483" customFormat="1" ht="18" customHeight="1" x14ac:dyDescent="0.25">
      <c r="E106" s="492"/>
    </row>
    <row r="107" spans="5:5" s="483" customFormat="1" ht="18" customHeight="1" x14ac:dyDescent="0.25">
      <c r="E107" s="492"/>
    </row>
    <row r="108" spans="5:5" s="483" customFormat="1" ht="18" customHeight="1" x14ac:dyDescent="0.25">
      <c r="E108" s="492"/>
    </row>
    <row r="109" spans="5:5" s="483" customFormat="1" ht="18" customHeight="1" x14ac:dyDescent="0.25">
      <c r="E109" s="492"/>
    </row>
    <row r="110" spans="5:5" s="483" customFormat="1" ht="18" customHeight="1" x14ac:dyDescent="0.25">
      <c r="E110" s="492"/>
    </row>
    <row r="111" spans="5:5" s="483" customFormat="1" ht="18" customHeight="1" x14ac:dyDescent="0.25">
      <c r="E111" s="492"/>
    </row>
    <row r="112" spans="5:5" s="483" customFormat="1" ht="18" customHeight="1" x14ac:dyDescent="0.25">
      <c r="E112" s="492"/>
    </row>
    <row r="113" spans="5:5" s="483" customFormat="1" ht="18" customHeight="1" x14ac:dyDescent="0.25">
      <c r="E113" s="492"/>
    </row>
    <row r="114" spans="5:5" s="483" customFormat="1" ht="18" customHeight="1" x14ac:dyDescent="0.25">
      <c r="E114" s="492"/>
    </row>
    <row r="115" spans="5:5" s="483" customFormat="1" ht="18" customHeight="1" x14ac:dyDescent="0.25">
      <c r="E115" s="492"/>
    </row>
    <row r="116" spans="5:5" s="483" customFormat="1" ht="18" customHeight="1" x14ac:dyDescent="0.25">
      <c r="E116" s="492"/>
    </row>
    <row r="117" spans="5:5" s="483" customFormat="1" ht="18" customHeight="1" x14ac:dyDescent="0.25">
      <c r="E117" s="492"/>
    </row>
    <row r="118" spans="5:5" s="483" customFormat="1" ht="18" customHeight="1" x14ac:dyDescent="0.25">
      <c r="E118" s="492"/>
    </row>
    <row r="119" spans="5:5" s="483" customFormat="1" ht="18" customHeight="1" x14ac:dyDescent="0.25">
      <c r="E119" s="492"/>
    </row>
    <row r="120" spans="5:5" s="483" customFormat="1" ht="18" customHeight="1" x14ac:dyDescent="0.25">
      <c r="E120" s="492"/>
    </row>
    <row r="121" spans="5:5" s="483" customFormat="1" ht="18" customHeight="1" x14ac:dyDescent="0.25">
      <c r="E121" s="492"/>
    </row>
    <row r="122" spans="5:5" s="483" customFormat="1" ht="18" customHeight="1" x14ac:dyDescent="0.25">
      <c r="E122" s="492"/>
    </row>
    <row r="123" spans="5:5" s="483" customFormat="1" ht="18" customHeight="1" x14ac:dyDescent="0.25">
      <c r="E123" s="492"/>
    </row>
    <row r="124" spans="5:5" s="483" customFormat="1" ht="18" customHeight="1" x14ac:dyDescent="0.25">
      <c r="E124" s="492"/>
    </row>
    <row r="125" spans="5:5" s="483" customFormat="1" ht="18" customHeight="1" x14ac:dyDescent="0.25">
      <c r="E125" s="492"/>
    </row>
    <row r="126" spans="5:5" s="483" customFormat="1" ht="18" customHeight="1" x14ac:dyDescent="0.25">
      <c r="E126" s="492"/>
    </row>
    <row r="127" spans="5:5" s="483" customFormat="1" ht="18" customHeight="1" x14ac:dyDescent="0.25">
      <c r="E127" s="492"/>
    </row>
    <row r="128" spans="5:5" s="483" customFormat="1" ht="18" customHeight="1" x14ac:dyDescent="0.25">
      <c r="E128" s="492"/>
    </row>
    <row r="129" spans="5:5" s="483" customFormat="1" ht="18" customHeight="1" x14ac:dyDescent="0.25">
      <c r="E129" s="492"/>
    </row>
    <row r="130" spans="5:5" s="483" customFormat="1" ht="18" customHeight="1" x14ac:dyDescent="0.25">
      <c r="E130" s="492"/>
    </row>
    <row r="131" spans="5:5" s="483" customFormat="1" ht="18" customHeight="1" x14ac:dyDescent="0.25">
      <c r="E131" s="492"/>
    </row>
    <row r="132" spans="5:5" s="483" customFormat="1" ht="18" customHeight="1" x14ac:dyDescent="0.25">
      <c r="E132" s="492"/>
    </row>
    <row r="133" spans="5:5" s="483" customFormat="1" ht="18" customHeight="1" x14ac:dyDescent="0.25">
      <c r="E133" s="492"/>
    </row>
    <row r="134" spans="5:5" s="483" customFormat="1" ht="18" customHeight="1" x14ac:dyDescent="0.25">
      <c r="E134" s="492"/>
    </row>
    <row r="135" spans="5:5" s="483" customFormat="1" ht="18" customHeight="1" x14ac:dyDescent="0.25">
      <c r="E135" s="492"/>
    </row>
    <row r="136" spans="5:5" s="483" customFormat="1" ht="18" customHeight="1" x14ac:dyDescent="0.25">
      <c r="E136" s="492"/>
    </row>
    <row r="137" spans="5:5" s="483" customFormat="1" ht="18" customHeight="1" x14ac:dyDescent="0.25">
      <c r="E137" s="492"/>
    </row>
    <row r="138" spans="5:5" s="483" customFormat="1" ht="18" customHeight="1" x14ac:dyDescent="0.25">
      <c r="E138" s="492"/>
    </row>
    <row r="139" spans="5:5" s="483" customFormat="1" ht="18" customHeight="1" x14ac:dyDescent="0.25">
      <c r="E139" s="492"/>
    </row>
    <row r="140" spans="5:5" s="483" customFormat="1" ht="18" customHeight="1" x14ac:dyDescent="0.25">
      <c r="E140" s="492"/>
    </row>
    <row r="141" spans="5:5" s="483" customFormat="1" ht="18" customHeight="1" x14ac:dyDescent="0.25">
      <c r="E141" s="492"/>
    </row>
    <row r="142" spans="5:5" s="483" customFormat="1" ht="18" customHeight="1" x14ac:dyDescent="0.25">
      <c r="E142" s="492"/>
    </row>
    <row r="143" spans="5:5" s="483" customFormat="1" ht="18" customHeight="1" x14ac:dyDescent="0.25">
      <c r="E143" s="492"/>
    </row>
    <row r="144" spans="5:5" s="483" customFormat="1" ht="18" customHeight="1" x14ac:dyDescent="0.25">
      <c r="E144" s="492"/>
    </row>
    <row r="145" spans="5:5" s="483" customFormat="1" ht="18" customHeight="1" x14ac:dyDescent="0.25">
      <c r="E145" s="492"/>
    </row>
    <row r="146" spans="5:5" s="483" customFormat="1" ht="18" customHeight="1" x14ac:dyDescent="0.25">
      <c r="E146" s="492"/>
    </row>
    <row r="147" spans="5:5" s="483" customFormat="1" ht="18" customHeight="1" x14ac:dyDescent="0.25">
      <c r="E147" s="492"/>
    </row>
    <row r="148" spans="5:5" s="483" customFormat="1" ht="18" customHeight="1" x14ac:dyDescent="0.25">
      <c r="E148" s="492"/>
    </row>
    <row r="149" spans="5:5" s="483" customFormat="1" ht="18" customHeight="1" x14ac:dyDescent="0.25">
      <c r="E149" s="492"/>
    </row>
    <row r="150" spans="5:5" s="483" customFormat="1" ht="18" customHeight="1" x14ac:dyDescent="0.25">
      <c r="E150" s="492"/>
    </row>
    <row r="151" spans="5:5" s="483" customFormat="1" ht="18" customHeight="1" x14ac:dyDescent="0.25">
      <c r="E151" s="492"/>
    </row>
    <row r="152" spans="5:5" s="483" customFormat="1" ht="18" customHeight="1" x14ac:dyDescent="0.25">
      <c r="E152" s="492"/>
    </row>
    <row r="153" spans="5:5" s="483" customFormat="1" ht="18" customHeight="1" x14ac:dyDescent="0.25">
      <c r="E153" s="492"/>
    </row>
    <row r="154" spans="5:5" s="483" customFormat="1" ht="18" customHeight="1" x14ac:dyDescent="0.25">
      <c r="E154" s="492"/>
    </row>
    <row r="155" spans="5:5" s="483" customFormat="1" ht="18" customHeight="1" x14ac:dyDescent="0.25">
      <c r="E155" s="492"/>
    </row>
    <row r="156" spans="5:5" s="483" customFormat="1" ht="18" customHeight="1" x14ac:dyDescent="0.25">
      <c r="E156" s="492"/>
    </row>
    <row r="157" spans="5:5" s="483" customFormat="1" ht="18" customHeight="1" x14ac:dyDescent="0.25">
      <c r="E157" s="492"/>
    </row>
    <row r="158" spans="5:5" s="483" customFormat="1" ht="18" customHeight="1" x14ac:dyDescent="0.25">
      <c r="E158" s="492"/>
    </row>
    <row r="159" spans="5:5" s="483" customFormat="1" ht="18" customHeight="1" x14ac:dyDescent="0.25">
      <c r="E159" s="492"/>
    </row>
    <row r="160" spans="5:5" s="483" customFormat="1" ht="18" customHeight="1" x14ac:dyDescent="0.25">
      <c r="E160" s="492"/>
    </row>
    <row r="161" spans="5:5" s="483" customFormat="1" ht="18" customHeight="1" x14ac:dyDescent="0.25">
      <c r="E161" s="492"/>
    </row>
    <row r="162" spans="5:5" s="483" customFormat="1" ht="18" customHeight="1" x14ac:dyDescent="0.25">
      <c r="E162" s="492"/>
    </row>
    <row r="163" spans="5:5" s="483" customFormat="1" ht="18" customHeight="1" x14ac:dyDescent="0.25">
      <c r="E163" s="492"/>
    </row>
    <row r="164" spans="5:5" s="483" customFormat="1" ht="18" customHeight="1" x14ac:dyDescent="0.25">
      <c r="E164" s="492"/>
    </row>
    <row r="165" spans="5:5" s="483" customFormat="1" ht="18" customHeight="1" x14ac:dyDescent="0.25">
      <c r="E165" s="492"/>
    </row>
    <row r="166" spans="5:5" s="483" customFormat="1" ht="18" customHeight="1" x14ac:dyDescent="0.25">
      <c r="E166" s="492"/>
    </row>
    <row r="167" spans="5:5" s="483" customFormat="1" ht="18" customHeight="1" x14ac:dyDescent="0.25">
      <c r="E167" s="492"/>
    </row>
    <row r="168" spans="5:5" s="483" customFormat="1" ht="18" customHeight="1" x14ac:dyDescent="0.25">
      <c r="E168" s="492"/>
    </row>
    <row r="169" spans="5:5" s="483" customFormat="1" ht="18" customHeight="1" x14ac:dyDescent="0.25">
      <c r="E169" s="492"/>
    </row>
    <row r="170" spans="5:5" s="483" customFormat="1" ht="18" customHeight="1" x14ac:dyDescent="0.25">
      <c r="E170" s="492"/>
    </row>
    <row r="171" spans="5:5" s="483" customFormat="1" ht="18" customHeight="1" x14ac:dyDescent="0.25">
      <c r="E171" s="492"/>
    </row>
    <row r="172" spans="5:5" s="483" customFormat="1" ht="18" customHeight="1" x14ac:dyDescent="0.25">
      <c r="E172" s="492"/>
    </row>
    <row r="173" spans="5:5" s="483" customFormat="1" ht="18" customHeight="1" x14ac:dyDescent="0.25">
      <c r="E173" s="492"/>
    </row>
    <row r="174" spans="5:5" s="483" customFormat="1" ht="18" customHeight="1" x14ac:dyDescent="0.25">
      <c r="E174" s="492"/>
    </row>
    <row r="175" spans="5:5" s="483" customFormat="1" ht="18" customHeight="1" x14ac:dyDescent="0.25">
      <c r="E175" s="492"/>
    </row>
    <row r="176" spans="5:5" s="483" customFormat="1" ht="18" customHeight="1" x14ac:dyDescent="0.25">
      <c r="E176" s="492"/>
    </row>
    <row r="177" spans="5:5" s="483" customFormat="1" ht="18" customHeight="1" x14ac:dyDescent="0.25">
      <c r="E177" s="492"/>
    </row>
    <row r="178" spans="5:5" s="483" customFormat="1" ht="18" customHeight="1" x14ac:dyDescent="0.25">
      <c r="E178" s="492"/>
    </row>
    <row r="179" spans="5:5" s="483" customFormat="1" ht="18" customHeight="1" x14ac:dyDescent="0.25">
      <c r="E179" s="492"/>
    </row>
    <row r="180" spans="5:5" s="483" customFormat="1" ht="18" customHeight="1" x14ac:dyDescent="0.25">
      <c r="E180" s="492"/>
    </row>
    <row r="181" spans="5:5" s="483" customFormat="1" ht="18" customHeight="1" x14ac:dyDescent="0.25">
      <c r="E181" s="492"/>
    </row>
    <row r="182" spans="5:5" s="483" customFormat="1" ht="18" customHeight="1" x14ac:dyDescent="0.25">
      <c r="E182" s="492"/>
    </row>
    <row r="183" spans="5:5" s="483" customFormat="1" ht="18" customHeight="1" x14ac:dyDescent="0.25">
      <c r="E183" s="492"/>
    </row>
    <row r="184" spans="5:5" s="483" customFormat="1" ht="18" customHeight="1" x14ac:dyDescent="0.25">
      <c r="E184" s="492"/>
    </row>
    <row r="185" spans="5:5" s="483" customFormat="1" ht="18" customHeight="1" x14ac:dyDescent="0.25">
      <c r="E185" s="492"/>
    </row>
    <row r="186" spans="5:5" s="483" customFormat="1" ht="18" customHeight="1" x14ac:dyDescent="0.25">
      <c r="E186" s="492"/>
    </row>
    <row r="187" spans="5:5" s="483" customFormat="1" ht="18" customHeight="1" x14ac:dyDescent="0.25">
      <c r="E187" s="492"/>
    </row>
    <row r="188" spans="5:5" s="483" customFormat="1" ht="18" customHeight="1" x14ac:dyDescent="0.25">
      <c r="E188" s="492"/>
    </row>
    <row r="189" spans="5:5" s="483" customFormat="1" ht="18" customHeight="1" x14ac:dyDescent="0.25">
      <c r="E189" s="492"/>
    </row>
    <row r="190" spans="5:5" s="483" customFormat="1" ht="18" customHeight="1" x14ac:dyDescent="0.25">
      <c r="E190" s="492"/>
    </row>
    <row r="191" spans="5:5" s="483" customFormat="1" ht="18" customHeight="1" x14ac:dyDescent="0.25">
      <c r="E191" s="492"/>
    </row>
    <row r="192" spans="5:5" s="483" customFormat="1" ht="18" customHeight="1" x14ac:dyDescent="0.25">
      <c r="E192" s="492"/>
    </row>
    <row r="193" spans="5:5" s="483" customFormat="1" ht="18" customHeight="1" x14ac:dyDescent="0.25">
      <c r="E193" s="492"/>
    </row>
    <row r="194" spans="5:5" s="483" customFormat="1" ht="18" customHeight="1" x14ac:dyDescent="0.25">
      <c r="E194" s="492"/>
    </row>
    <row r="195" spans="5:5" s="483" customFormat="1" ht="18" customHeight="1" x14ac:dyDescent="0.25">
      <c r="E195" s="492"/>
    </row>
    <row r="196" spans="5:5" s="483" customFormat="1" ht="18" customHeight="1" x14ac:dyDescent="0.25">
      <c r="E196" s="492"/>
    </row>
    <row r="197" spans="5:5" s="483" customFormat="1" ht="18" customHeight="1" x14ac:dyDescent="0.25">
      <c r="E197" s="492"/>
    </row>
    <row r="198" spans="5:5" s="483" customFormat="1" ht="18" customHeight="1" x14ac:dyDescent="0.25">
      <c r="E198" s="492"/>
    </row>
    <row r="199" spans="5:5" s="483" customFormat="1" ht="18" customHeight="1" x14ac:dyDescent="0.25">
      <c r="E199" s="492"/>
    </row>
    <row r="200" spans="5:5" s="483" customFormat="1" ht="18" customHeight="1" x14ac:dyDescent="0.25">
      <c r="E200" s="492"/>
    </row>
    <row r="201" spans="5:5" s="483" customFormat="1" ht="18" customHeight="1" x14ac:dyDescent="0.25">
      <c r="E201" s="492"/>
    </row>
    <row r="202" spans="5:5" s="483" customFormat="1" ht="18" customHeight="1" x14ac:dyDescent="0.25">
      <c r="E202" s="492"/>
    </row>
    <row r="203" spans="5:5" s="483" customFormat="1" ht="18" customHeight="1" x14ac:dyDescent="0.25">
      <c r="E203" s="492"/>
    </row>
    <row r="204" spans="5:5" s="483" customFormat="1" ht="18" customHeight="1" x14ac:dyDescent="0.25">
      <c r="E204" s="492"/>
    </row>
    <row r="205" spans="5:5" s="483" customFormat="1" ht="18" customHeight="1" x14ac:dyDescent="0.25">
      <c r="E205" s="492"/>
    </row>
    <row r="206" spans="5:5" s="483" customFormat="1" ht="18" customHeight="1" x14ac:dyDescent="0.25">
      <c r="E206" s="492"/>
    </row>
    <row r="207" spans="5:5" s="483" customFormat="1" ht="18" customHeight="1" x14ac:dyDescent="0.25">
      <c r="E207" s="492"/>
    </row>
    <row r="208" spans="5:5" s="483" customFormat="1" ht="18" customHeight="1" x14ac:dyDescent="0.25">
      <c r="E208" s="492"/>
    </row>
    <row r="209" spans="5:5" s="483" customFormat="1" ht="18" customHeight="1" x14ac:dyDescent="0.25">
      <c r="E209" s="492"/>
    </row>
    <row r="210" spans="5:5" s="483" customFormat="1" ht="18" customHeight="1" x14ac:dyDescent="0.25">
      <c r="E210" s="492"/>
    </row>
    <row r="211" spans="5:5" s="483" customFormat="1" ht="18" customHeight="1" x14ac:dyDescent="0.25">
      <c r="E211" s="492"/>
    </row>
    <row r="212" spans="5:5" s="483" customFormat="1" ht="18" customHeight="1" x14ac:dyDescent="0.25">
      <c r="E212" s="492"/>
    </row>
    <row r="213" spans="5:5" s="483" customFormat="1" ht="18" customHeight="1" x14ac:dyDescent="0.25">
      <c r="E213" s="492"/>
    </row>
    <row r="214" spans="5:5" s="483" customFormat="1" ht="18" customHeight="1" x14ac:dyDescent="0.25">
      <c r="E214" s="492"/>
    </row>
    <row r="215" spans="5:5" s="483" customFormat="1" ht="18" customHeight="1" x14ac:dyDescent="0.25">
      <c r="E215" s="492"/>
    </row>
    <row r="216" spans="5:5" s="483" customFormat="1" ht="18" customHeight="1" x14ac:dyDescent="0.25">
      <c r="E216" s="492"/>
    </row>
    <row r="217" spans="5:5" s="483" customFormat="1" ht="18" customHeight="1" x14ac:dyDescent="0.25">
      <c r="E217" s="492"/>
    </row>
    <row r="218" spans="5:5" s="483" customFormat="1" ht="18" customHeight="1" x14ac:dyDescent="0.25">
      <c r="E218" s="492"/>
    </row>
    <row r="219" spans="5:5" s="483" customFormat="1" ht="18" customHeight="1" x14ac:dyDescent="0.25">
      <c r="E219" s="492"/>
    </row>
    <row r="220" spans="5:5" s="483" customFormat="1" ht="18" customHeight="1" x14ac:dyDescent="0.25">
      <c r="E220" s="492"/>
    </row>
    <row r="221" spans="5:5" s="483" customFormat="1" ht="18" customHeight="1" x14ac:dyDescent="0.25">
      <c r="E221" s="492"/>
    </row>
    <row r="222" spans="5:5" s="483" customFormat="1" ht="18" customHeight="1" x14ac:dyDescent="0.25">
      <c r="E222" s="492"/>
    </row>
    <row r="223" spans="5:5" s="483" customFormat="1" ht="18" customHeight="1" x14ac:dyDescent="0.25">
      <c r="E223" s="492"/>
    </row>
    <row r="224" spans="5:5" s="483" customFormat="1" ht="18" customHeight="1" x14ac:dyDescent="0.25">
      <c r="E224" s="492"/>
    </row>
    <row r="225" spans="5:5" s="483" customFormat="1" ht="18" customHeight="1" x14ac:dyDescent="0.25">
      <c r="E225" s="492"/>
    </row>
    <row r="226" spans="5:5" s="483" customFormat="1" ht="18" customHeight="1" x14ac:dyDescent="0.25">
      <c r="E226" s="492"/>
    </row>
    <row r="227" spans="5:5" s="483" customFormat="1" ht="18" customHeight="1" x14ac:dyDescent="0.25">
      <c r="E227" s="492"/>
    </row>
    <row r="228" spans="5:5" s="483" customFormat="1" ht="18" customHeight="1" x14ac:dyDescent="0.25">
      <c r="E228" s="492"/>
    </row>
    <row r="229" spans="5:5" s="483" customFormat="1" ht="18" customHeight="1" x14ac:dyDescent="0.25">
      <c r="E229" s="492"/>
    </row>
    <row r="230" spans="5:5" s="483" customFormat="1" ht="18" customHeight="1" x14ac:dyDescent="0.25">
      <c r="E230" s="492"/>
    </row>
    <row r="231" spans="5:5" s="483" customFormat="1" ht="18" customHeight="1" x14ac:dyDescent="0.25">
      <c r="E231" s="492"/>
    </row>
    <row r="232" spans="5:5" s="483" customFormat="1" ht="18" customHeight="1" x14ac:dyDescent="0.25">
      <c r="E232" s="492"/>
    </row>
    <row r="233" spans="5:5" s="483" customFormat="1" ht="18" customHeight="1" x14ac:dyDescent="0.25">
      <c r="E233" s="492"/>
    </row>
    <row r="234" spans="5:5" s="483" customFormat="1" ht="18" customHeight="1" x14ac:dyDescent="0.25">
      <c r="E234" s="492"/>
    </row>
    <row r="235" spans="5:5" s="483" customFormat="1" ht="18" customHeight="1" x14ac:dyDescent="0.25">
      <c r="E235" s="492"/>
    </row>
    <row r="236" spans="5:5" s="483" customFormat="1" ht="18" customHeight="1" x14ac:dyDescent="0.25">
      <c r="E236" s="492"/>
    </row>
    <row r="237" spans="5:5" s="483" customFormat="1" ht="18" customHeight="1" x14ac:dyDescent="0.25">
      <c r="E237" s="492"/>
    </row>
    <row r="238" spans="5:5" s="483" customFormat="1" ht="18" customHeight="1" x14ac:dyDescent="0.25">
      <c r="E238" s="492"/>
    </row>
    <row r="239" spans="5:5" s="483" customFormat="1" ht="18" customHeight="1" x14ac:dyDescent="0.25">
      <c r="E239" s="492"/>
    </row>
    <row r="240" spans="5:5" s="483" customFormat="1" ht="18" customHeight="1" x14ac:dyDescent="0.25">
      <c r="E240" s="492"/>
    </row>
    <row r="241" spans="5:5" s="483" customFormat="1" ht="18" customHeight="1" x14ac:dyDescent="0.25">
      <c r="E241" s="492"/>
    </row>
    <row r="242" spans="5:5" s="483" customFormat="1" ht="18" customHeight="1" x14ac:dyDescent="0.25">
      <c r="E242" s="492"/>
    </row>
    <row r="243" spans="5:5" s="483" customFormat="1" ht="18" customHeight="1" x14ac:dyDescent="0.25">
      <c r="E243" s="492"/>
    </row>
    <row r="244" spans="5:5" s="483" customFormat="1" ht="18" customHeight="1" x14ac:dyDescent="0.25">
      <c r="E244" s="492"/>
    </row>
    <row r="245" spans="5:5" s="483" customFormat="1" ht="18" customHeight="1" x14ac:dyDescent="0.25">
      <c r="E245" s="492"/>
    </row>
    <row r="246" spans="5:5" s="483" customFormat="1" ht="18" customHeight="1" x14ac:dyDescent="0.25">
      <c r="E246" s="492"/>
    </row>
    <row r="247" spans="5:5" s="483" customFormat="1" ht="18" customHeight="1" x14ac:dyDescent="0.25">
      <c r="E247" s="492"/>
    </row>
    <row r="248" spans="5:5" s="483" customFormat="1" ht="18" customHeight="1" x14ac:dyDescent="0.25">
      <c r="E248" s="492"/>
    </row>
    <row r="249" spans="5:5" s="483" customFormat="1" ht="18" customHeight="1" x14ac:dyDescent="0.25">
      <c r="E249" s="492"/>
    </row>
    <row r="250" spans="5:5" s="483" customFormat="1" ht="18" customHeight="1" x14ac:dyDescent="0.25">
      <c r="E250" s="492"/>
    </row>
    <row r="251" spans="5:5" s="483" customFormat="1" ht="18" customHeight="1" x14ac:dyDescent="0.25">
      <c r="E251" s="492"/>
    </row>
    <row r="252" spans="5:5" s="483" customFormat="1" ht="18" customHeight="1" x14ac:dyDescent="0.25">
      <c r="E252" s="492"/>
    </row>
    <row r="253" spans="5:5" s="483" customFormat="1" ht="18" customHeight="1" x14ac:dyDescent="0.25">
      <c r="E253" s="492"/>
    </row>
    <row r="254" spans="5:5" s="483" customFormat="1" ht="18" customHeight="1" x14ac:dyDescent="0.25">
      <c r="E254" s="492"/>
    </row>
    <row r="255" spans="5:5" s="483" customFormat="1" ht="18" customHeight="1" x14ac:dyDescent="0.25">
      <c r="E255" s="492"/>
    </row>
    <row r="256" spans="5:5" s="483" customFormat="1" ht="18" customHeight="1" x14ac:dyDescent="0.25">
      <c r="E256" s="492"/>
    </row>
    <row r="257" spans="5:5" s="483" customFormat="1" ht="18" customHeight="1" x14ac:dyDescent="0.25">
      <c r="E257" s="492"/>
    </row>
    <row r="258" spans="5:5" s="483" customFormat="1" ht="18" customHeight="1" x14ac:dyDescent="0.25">
      <c r="E258" s="492"/>
    </row>
    <row r="259" spans="5:5" s="483" customFormat="1" ht="18" customHeight="1" x14ac:dyDescent="0.25">
      <c r="E259" s="492"/>
    </row>
    <row r="260" spans="5:5" s="483" customFormat="1" ht="18" customHeight="1" x14ac:dyDescent="0.25">
      <c r="E260" s="492"/>
    </row>
    <row r="261" spans="5:5" s="483" customFormat="1" ht="18" customHeight="1" x14ac:dyDescent="0.25">
      <c r="E261" s="492"/>
    </row>
    <row r="262" spans="5:5" s="483" customFormat="1" ht="18" customHeight="1" x14ac:dyDescent="0.25">
      <c r="E262" s="492"/>
    </row>
    <row r="263" spans="5:5" s="483" customFormat="1" ht="18" customHeight="1" x14ac:dyDescent="0.25">
      <c r="E263" s="492"/>
    </row>
    <row r="264" spans="5:5" s="483" customFormat="1" ht="18" customHeight="1" x14ac:dyDescent="0.25">
      <c r="E264" s="492"/>
    </row>
    <row r="265" spans="5:5" s="483" customFormat="1" ht="18" customHeight="1" x14ac:dyDescent="0.25">
      <c r="E265" s="492"/>
    </row>
    <row r="266" spans="5:5" s="483" customFormat="1" ht="18" customHeight="1" x14ac:dyDescent="0.25">
      <c r="E266" s="492"/>
    </row>
    <row r="267" spans="5:5" s="483" customFormat="1" ht="18" customHeight="1" x14ac:dyDescent="0.25">
      <c r="E267" s="492"/>
    </row>
    <row r="268" spans="5:5" s="483" customFormat="1" ht="18" customHeight="1" x14ac:dyDescent="0.25">
      <c r="E268" s="492"/>
    </row>
    <row r="269" spans="5:5" s="483" customFormat="1" ht="18" customHeight="1" x14ac:dyDescent="0.25">
      <c r="E269" s="492"/>
    </row>
    <row r="270" spans="5:5" s="483" customFormat="1" ht="18" customHeight="1" x14ac:dyDescent="0.25">
      <c r="E270" s="492"/>
    </row>
    <row r="271" spans="5:5" s="483" customFormat="1" ht="18" customHeight="1" x14ac:dyDescent="0.25">
      <c r="E271" s="492"/>
    </row>
    <row r="272" spans="5:5" s="483" customFormat="1" ht="18" customHeight="1" x14ac:dyDescent="0.25">
      <c r="E272" s="492"/>
    </row>
    <row r="273" spans="5:5" s="483" customFormat="1" ht="18" customHeight="1" x14ac:dyDescent="0.25">
      <c r="E273" s="492"/>
    </row>
    <row r="274" spans="5:5" s="483" customFormat="1" ht="18" customHeight="1" x14ac:dyDescent="0.25">
      <c r="E274" s="492"/>
    </row>
    <row r="275" spans="5:5" s="483" customFormat="1" ht="18" customHeight="1" x14ac:dyDescent="0.25">
      <c r="E275" s="492"/>
    </row>
    <row r="276" spans="5:5" s="483" customFormat="1" ht="18" customHeight="1" x14ac:dyDescent="0.25">
      <c r="E276" s="492"/>
    </row>
    <row r="277" spans="5:5" s="483" customFormat="1" ht="18" customHeight="1" x14ac:dyDescent="0.25">
      <c r="E277" s="492"/>
    </row>
    <row r="278" spans="5:5" s="483" customFormat="1" ht="18" customHeight="1" x14ac:dyDescent="0.25">
      <c r="E278" s="492"/>
    </row>
    <row r="279" spans="5:5" s="483" customFormat="1" ht="18" customHeight="1" x14ac:dyDescent="0.25">
      <c r="E279" s="492"/>
    </row>
    <row r="280" spans="5:5" s="483" customFormat="1" ht="18" customHeight="1" x14ac:dyDescent="0.25">
      <c r="E280" s="492"/>
    </row>
    <row r="281" spans="5:5" s="483" customFormat="1" ht="18" customHeight="1" x14ac:dyDescent="0.25">
      <c r="E281" s="492"/>
    </row>
    <row r="282" spans="5:5" s="483" customFormat="1" ht="18" customHeight="1" x14ac:dyDescent="0.25">
      <c r="E282" s="492"/>
    </row>
    <row r="283" spans="5:5" s="483" customFormat="1" ht="18" customHeight="1" x14ac:dyDescent="0.25">
      <c r="E283" s="492"/>
    </row>
    <row r="284" spans="5:5" s="483" customFormat="1" ht="18" customHeight="1" x14ac:dyDescent="0.25">
      <c r="E284" s="492"/>
    </row>
    <row r="285" spans="5:5" s="483" customFormat="1" ht="18" customHeight="1" x14ac:dyDescent="0.25">
      <c r="E285" s="492"/>
    </row>
    <row r="286" spans="5:5" s="483" customFormat="1" ht="18" customHeight="1" x14ac:dyDescent="0.25">
      <c r="E286" s="492"/>
    </row>
    <row r="287" spans="5:5" s="483" customFormat="1" ht="18" customHeight="1" x14ac:dyDescent="0.25">
      <c r="E287" s="492"/>
    </row>
    <row r="288" spans="5:5" s="483" customFormat="1" ht="18" customHeight="1" x14ac:dyDescent="0.25">
      <c r="E288" s="492"/>
    </row>
    <row r="289" spans="5:5" s="483" customFormat="1" ht="18" customHeight="1" x14ac:dyDescent="0.25">
      <c r="E289" s="492"/>
    </row>
    <row r="290" spans="5:5" s="483" customFormat="1" ht="18" customHeight="1" x14ac:dyDescent="0.25">
      <c r="E290" s="492"/>
    </row>
    <row r="291" spans="5:5" s="483" customFormat="1" ht="18" customHeight="1" x14ac:dyDescent="0.25">
      <c r="E291" s="492"/>
    </row>
    <row r="292" spans="5:5" s="483" customFormat="1" ht="18" customHeight="1" x14ac:dyDescent="0.25">
      <c r="E292" s="492"/>
    </row>
  </sheetData>
  <sheetProtection algorithmName="SHA-512" hashValue="DwgKwbBh2+tHSz0IFisxV6QV1nPOtOB/LaPKdTw4QylEq2NPU9J1/a+GwG60xF13wrT15Z/h+0tf4Ak67h1cgg==" saltValue="isyu1DKT946InPusoZoG5g==" spinCount="100000" sheet="1" formatCells="0" formatColumns="0" formatRows="0" insertRows="0" autoFilter="0" pivotTables="0"/>
  <mergeCells count="38">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0:E50"/>
    <mergeCell ref="A51:B51"/>
    <mergeCell ref="C51:E51"/>
    <mergeCell ref="A52:B52"/>
    <mergeCell ref="C52:E52"/>
    <mergeCell ref="A35:D35"/>
    <mergeCell ref="A36:E36"/>
    <mergeCell ref="A46:D46"/>
    <mergeCell ref="A47:E47"/>
    <mergeCell ref="A49:E49"/>
    <mergeCell ref="A9:E9"/>
    <mergeCell ref="A15:D15"/>
    <mergeCell ref="A16:E16"/>
    <mergeCell ref="A23:D23"/>
    <mergeCell ref="A24:E24"/>
    <mergeCell ref="B1:C1"/>
    <mergeCell ref="B2:C2"/>
    <mergeCell ref="A5:E5"/>
    <mergeCell ref="A6:E6"/>
    <mergeCell ref="A7:D7"/>
  </mergeCells>
  <dataValidations count="1">
    <dataValidation type="list" allowBlank="1" showInputMessage="1" showErrorMessage="1" sqref="D10:D14 D17:D22 D25:D34 D37:D45" xr:uid="{00000000-0002-0000-1F00-000000000000}">
      <formula1>"Si,No"</formula1>
      <formula2>0</formula2>
    </dataValidation>
  </dataValidations>
  <hyperlinks>
    <hyperlink ref="D1" location="ins" display="Instructivo" xr:uid="{00000000-0004-0000-1F00-000000000000}"/>
  </hyperlinks>
  <printOptions horizontalCentered="1"/>
  <pageMargins left="0" right="0" top="0" bottom="0" header="0.511811023622047" footer="0.511811023622047"/>
  <pageSetup fitToHeight="0" orientation="landscape" horizontalDpi="300" verticalDpi="300"/>
  <drawing r:id="rId1"/>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AX82"/>
  <sheetViews>
    <sheetView showGridLines="0" zoomScaleNormal="100" workbookViewId="0">
      <selection activeCell="H12" sqref="H12"/>
    </sheetView>
  </sheetViews>
  <sheetFormatPr baseColWidth="10" defaultColWidth="11.33203125" defaultRowHeight="18" customHeight="1" x14ac:dyDescent="0.25"/>
  <cols>
    <col min="1" max="1" width="33.109375" style="481" customWidth="1"/>
    <col min="2" max="2" width="47.109375" style="481" customWidth="1"/>
    <col min="3" max="3" width="17.33203125" style="481" customWidth="1"/>
    <col min="4" max="4" width="18.6640625" style="481" customWidth="1"/>
    <col min="5" max="5" width="19.109375" style="482" customWidth="1"/>
    <col min="6" max="6" width="16.77734375" style="483" customWidth="1"/>
    <col min="7" max="50" width="11.33203125" style="483"/>
    <col min="51" max="16384" width="11.33203125" style="481"/>
  </cols>
  <sheetData>
    <row r="1" spans="1:11" s="15" customFormat="1" ht="39" customHeight="1" x14ac:dyDescent="0.25">
      <c r="B1" s="1129" t="str">
        <f>Instructivo!F1</f>
        <v>Sistema de Gestión Integral (SGI)
Instructivo - Componente Financiero EP
Código: F-PGC-21. Versión: 05</v>
      </c>
      <c r="C1" s="1129"/>
      <c r="D1" s="132" t="s">
        <v>102</v>
      </c>
      <c r="E1" s="851"/>
    </row>
    <row r="2" spans="1:11" s="15" customFormat="1" ht="17.25" customHeight="1" x14ac:dyDescent="0.25">
      <c r="B2" s="1173" t="s">
        <v>1139</v>
      </c>
      <c r="C2" s="1173"/>
      <c r="D2" s="132" t="s">
        <v>40</v>
      </c>
      <c r="E2" s="852"/>
      <c r="I2" s="441"/>
      <c r="J2" s="420"/>
      <c r="K2" s="378"/>
    </row>
    <row r="3" spans="1:11" ht="7.5" customHeight="1" x14ac:dyDescent="0.25"/>
    <row r="4" spans="1:11" s="483" customFormat="1" ht="7.5" customHeight="1" x14ac:dyDescent="0.25">
      <c r="E4" s="492"/>
    </row>
    <row r="5" spans="1:11" s="483" customFormat="1" ht="30.75" customHeight="1" x14ac:dyDescent="0.25">
      <c r="A5" s="1249" t="s">
        <v>1140</v>
      </c>
      <c r="B5" s="1249"/>
      <c r="C5" s="1249"/>
      <c r="D5" s="1249"/>
      <c r="E5" s="1249"/>
    </row>
    <row r="6" spans="1:11" s="483" customFormat="1" ht="18" customHeight="1" x14ac:dyDescent="0.25">
      <c r="A6" s="1231"/>
      <c r="B6" s="1231"/>
      <c r="C6" s="1231"/>
      <c r="D6" s="1231"/>
      <c r="E6" s="1231"/>
    </row>
    <row r="7" spans="1:11" s="483" customFormat="1" ht="18" customHeight="1" x14ac:dyDescent="0.25">
      <c r="A7" s="1225" t="s">
        <v>1141</v>
      </c>
      <c r="B7" s="1225"/>
      <c r="C7" s="1225"/>
      <c r="D7" s="1225"/>
      <c r="E7" s="1225"/>
    </row>
    <row r="8" spans="1:11" s="483" customFormat="1" ht="55.5" customHeight="1" x14ac:dyDescent="0.25">
      <c r="A8" s="1226" t="s">
        <v>1142</v>
      </c>
      <c r="B8" s="1226"/>
      <c r="C8" s="1226"/>
      <c r="D8" s="1226"/>
      <c r="E8" s="1226"/>
    </row>
    <row r="9" spans="1:11" s="483" customFormat="1" ht="18" customHeight="1" x14ac:dyDescent="0.25">
      <c r="A9" s="1250" t="s">
        <v>1143</v>
      </c>
      <c r="B9" s="1250"/>
      <c r="C9" s="1250"/>
      <c r="D9" s="1250"/>
      <c r="E9" s="1250"/>
    </row>
    <row r="10" spans="1:11" s="483" customFormat="1" ht="18" customHeight="1" x14ac:dyDescent="0.25">
      <c r="A10" s="1231"/>
      <c r="B10" s="1231"/>
      <c r="C10" s="1231"/>
      <c r="D10" s="1231"/>
      <c r="E10" s="1231"/>
    </row>
    <row r="11" spans="1:11" s="483" customFormat="1" ht="18" customHeight="1" x14ac:dyDescent="0.25">
      <c r="A11" s="1225" t="s">
        <v>1144</v>
      </c>
      <c r="B11" s="1225"/>
      <c r="C11" s="1225"/>
      <c r="D11" s="1225"/>
      <c r="E11" s="1225"/>
    </row>
    <row r="12" spans="1:11" s="483" customFormat="1" ht="111" customHeight="1" x14ac:dyDescent="0.25">
      <c r="A12" s="1226" t="s">
        <v>1145</v>
      </c>
      <c r="B12" s="1226"/>
      <c r="C12" s="1226"/>
      <c r="D12" s="1226"/>
      <c r="E12" s="1226"/>
    </row>
    <row r="13" spans="1:11" s="483" customFormat="1" ht="18" customHeight="1" x14ac:dyDescent="0.25">
      <c r="A13" s="1250" t="s">
        <v>1146</v>
      </c>
      <c r="B13" s="1250"/>
      <c r="C13" s="1250"/>
      <c r="D13" s="1250"/>
      <c r="E13" s="1250"/>
    </row>
    <row r="14" spans="1:11" s="483" customFormat="1" ht="18" customHeight="1" x14ac:dyDescent="0.25">
      <c r="A14" s="1231"/>
      <c r="B14" s="1231"/>
      <c r="C14" s="1231"/>
      <c r="D14" s="1231"/>
      <c r="E14" s="1231"/>
    </row>
    <row r="15" spans="1:11" s="483" customFormat="1" ht="18" customHeight="1" x14ac:dyDescent="0.25">
      <c r="A15" s="1225" t="s">
        <v>1147</v>
      </c>
      <c r="B15" s="1225"/>
      <c r="C15" s="1225"/>
      <c r="D15" s="1225"/>
      <c r="E15" s="1225"/>
    </row>
    <row r="16" spans="1:11" s="483" customFormat="1" ht="66" customHeight="1" x14ac:dyDescent="0.25">
      <c r="A16" s="1226" t="s">
        <v>1148</v>
      </c>
      <c r="B16" s="1226"/>
      <c r="C16" s="1226"/>
      <c r="D16" s="1226"/>
      <c r="E16" s="1226"/>
    </row>
    <row r="17" spans="1:5" s="483" customFormat="1" ht="18" customHeight="1" x14ac:dyDescent="0.25">
      <c r="A17" s="1250" t="s">
        <v>1149</v>
      </c>
      <c r="B17" s="1250"/>
      <c r="C17" s="1250"/>
      <c r="D17" s="1250"/>
      <c r="E17" s="1250"/>
    </row>
    <row r="18" spans="1:5" s="483" customFormat="1" ht="18" customHeight="1" x14ac:dyDescent="0.25">
      <c r="A18" s="1231"/>
      <c r="B18" s="1231"/>
      <c r="C18" s="1231"/>
      <c r="D18" s="1231"/>
      <c r="E18" s="1231"/>
    </row>
    <row r="19" spans="1:5" s="483" customFormat="1" ht="18" customHeight="1" x14ac:dyDescent="0.25">
      <c r="A19" s="1225" t="s">
        <v>1150</v>
      </c>
      <c r="B19" s="1225"/>
      <c r="C19" s="1225"/>
      <c r="D19" s="1225"/>
      <c r="E19" s="1225"/>
    </row>
    <row r="20" spans="1:5" s="483" customFormat="1" ht="102" customHeight="1" x14ac:dyDescent="0.25">
      <c r="A20" s="1226" t="s">
        <v>1151</v>
      </c>
      <c r="B20" s="1226"/>
      <c r="C20" s="1226"/>
      <c r="D20" s="1226"/>
      <c r="E20" s="1226"/>
    </row>
    <row r="21" spans="1:5" s="483" customFormat="1" ht="18" customHeight="1" x14ac:dyDescent="0.25">
      <c r="A21" s="1250" t="s">
        <v>1152</v>
      </c>
      <c r="B21" s="1250"/>
      <c r="C21" s="1250"/>
      <c r="D21" s="1250"/>
      <c r="E21" s="1250"/>
    </row>
    <row r="22" spans="1:5" s="483" customFormat="1" ht="18" customHeight="1" x14ac:dyDescent="0.25">
      <c r="A22" s="1231"/>
      <c r="B22" s="1231"/>
      <c r="C22" s="1231"/>
      <c r="D22" s="1231"/>
      <c r="E22" s="1231"/>
    </row>
    <row r="23" spans="1:5" s="483" customFormat="1" ht="18" customHeight="1" x14ac:dyDescent="0.25">
      <c r="A23" s="1225" t="s">
        <v>1153</v>
      </c>
      <c r="B23" s="1225"/>
      <c r="C23" s="1225"/>
      <c r="D23" s="1225"/>
      <c r="E23" s="1225"/>
    </row>
    <row r="24" spans="1:5" s="483" customFormat="1" ht="108.75" customHeight="1" x14ac:dyDescent="0.25">
      <c r="A24" s="1226" t="s">
        <v>1154</v>
      </c>
      <c r="B24" s="1226"/>
      <c r="C24" s="1226"/>
      <c r="D24" s="1226"/>
      <c r="E24" s="1226"/>
    </row>
    <row r="25" spans="1:5" s="483" customFormat="1" ht="18" customHeight="1" x14ac:dyDescent="0.25">
      <c r="A25" s="1250" t="s">
        <v>1143</v>
      </c>
      <c r="B25" s="1250"/>
      <c r="C25" s="1250"/>
      <c r="D25" s="1250"/>
      <c r="E25" s="1250"/>
    </row>
    <row r="26" spans="1:5" s="483" customFormat="1" ht="18" customHeight="1" x14ac:dyDescent="0.25"/>
    <row r="27" spans="1:5" s="483" customFormat="1" ht="18" customHeight="1" x14ac:dyDescent="0.25"/>
    <row r="28" spans="1:5" s="483" customFormat="1" ht="18" customHeight="1" x14ac:dyDescent="0.25"/>
    <row r="29" spans="1:5" s="483" customFormat="1" ht="18" customHeight="1" x14ac:dyDescent="0.25">
      <c r="E29" s="492"/>
    </row>
    <row r="30" spans="1:5" s="483" customFormat="1" ht="18" customHeight="1" x14ac:dyDescent="0.25">
      <c r="E30" s="492"/>
    </row>
    <row r="31" spans="1:5" s="483" customFormat="1" ht="18" customHeight="1" x14ac:dyDescent="0.25">
      <c r="E31" s="492"/>
    </row>
    <row r="32" spans="1:5" s="483" customFormat="1" ht="18" customHeight="1" x14ac:dyDescent="0.25">
      <c r="E32" s="492"/>
    </row>
    <row r="33" spans="5:5" s="483" customFormat="1" ht="18" customHeight="1" x14ac:dyDescent="0.25">
      <c r="E33" s="492"/>
    </row>
    <row r="34" spans="5:5" s="483" customFormat="1" ht="18" customHeight="1" x14ac:dyDescent="0.25">
      <c r="E34" s="492"/>
    </row>
    <row r="35" spans="5:5" s="483" customFormat="1" ht="18" customHeight="1" x14ac:dyDescent="0.25">
      <c r="E35" s="492"/>
    </row>
    <row r="36" spans="5:5" s="483" customFormat="1" ht="18" customHeight="1" x14ac:dyDescent="0.25">
      <c r="E36" s="492"/>
    </row>
    <row r="37" spans="5:5" s="483" customFormat="1" ht="18" customHeight="1" x14ac:dyDescent="0.25">
      <c r="E37" s="492"/>
    </row>
    <row r="38" spans="5:5" s="483" customFormat="1" ht="18" customHeight="1" x14ac:dyDescent="0.25">
      <c r="E38" s="492"/>
    </row>
    <row r="39" spans="5:5" s="483" customFormat="1" ht="18" customHeight="1" x14ac:dyDescent="0.25">
      <c r="E39" s="492"/>
    </row>
    <row r="40" spans="5:5" s="483" customFormat="1" ht="18" customHeight="1" x14ac:dyDescent="0.25">
      <c r="E40" s="492"/>
    </row>
    <row r="41" spans="5:5" s="483" customFormat="1" ht="18" customHeight="1" x14ac:dyDescent="0.25">
      <c r="E41" s="492"/>
    </row>
    <row r="42" spans="5:5" s="483" customFormat="1" ht="18" customHeight="1" x14ac:dyDescent="0.25">
      <c r="E42" s="492"/>
    </row>
    <row r="43" spans="5:5" s="483" customFormat="1" ht="18" customHeight="1" x14ac:dyDescent="0.25">
      <c r="E43" s="492"/>
    </row>
    <row r="44" spans="5:5" s="483" customFormat="1" ht="18" customHeight="1" x14ac:dyDescent="0.25">
      <c r="E44" s="492"/>
    </row>
    <row r="45" spans="5:5" s="483" customFormat="1" ht="18" customHeight="1" x14ac:dyDescent="0.25">
      <c r="E45" s="492"/>
    </row>
    <row r="46" spans="5:5" s="483" customFormat="1" ht="18" customHeight="1" x14ac:dyDescent="0.25">
      <c r="E46" s="492"/>
    </row>
    <row r="47" spans="5:5" s="483" customFormat="1" ht="18" customHeight="1" x14ac:dyDescent="0.25">
      <c r="E47" s="492"/>
    </row>
    <row r="48" spans="5:5" s="483" customFormat="1" ht="18" customHeight="1" x14ac:dyDescent="0.25">
      <c r="E48" s="492"/>
    </row>
    <row r="49" spans="5:5" s="483" customFormat="1" ht="18" customHeight="1" x14ac:dyDescent="0.25">
      <c r="E49" s="492"/>
    </row>
    <row r="50" spans="5:5" s="483" customFormat="1" ht="18" customHeight="1" x14ac:dyDescent="0.25">
      <c r="E50" s="492"/>
    </row>
    <row r="51" spans="5:5" s="483" customFormat="1" ht="18" customHeight="1" x14ac:dyDescent="0.25">
      <c r="E51" s="492"/>
    </row>
    <row r="52" spans="5:5" s="483" customFormat="1" ht="18" customHeight="1" x14ac:dyDescent="0.25">
      <c r="E52" s="492"/>
    </row>
    <row r="53" spans="5:5" s="483" customFormat="1" ht="18" customHeight="1" x14ac:dyDescent="0.25">
      <c r="E53" s="492"/>
    </row>
    <row r="54" spans="5:5" s="483" customFormat="1" ht="18" customHeight="1" x14ac:dyDescent="0.25">
      <c r="E54" s="492"/>
    </row>
    <row r="55" spans="5:5" s="483" customFormat="1" ht="18" customHeight="1" x14ac:dyDescent="0.25">
      <c r="E55" s="492"/>
    </row>
    <row r="56" spans="5:5" s="483" customFormat="1" ht="18" customHeight="1" x14ac:dyDescent="0.25">
      <c r="E56" s="492"/>
    </row>
    <row r="57" spans="5:5" s="483" customFormat="1" ht="18" customHeight="1" x14ac:dyDescent="0.25">
      <c r="E57" s="492"/>
    </row>
    <row r="58" spans="5:5" s="483" customFormat="1" ht="18" customHeight="1" x14ac:dyDescent="0.25">
      <c r="E58" s="492"/>
    </row>
    <row r="59" spans="5:5" s="483" customFormat="1" ht="18" customHeight="1" x14ac:dyDescent="0.25">
      <c r="E59" s="492"/>
    </row>
    <row r="60" spans="5:5" s="483" customFormat="1" ht="18" customHeight="1" x14ac:dyDescent="0.25">
      <c r="E60" s="492"/>
    </row>
    <row r="61" spans="5:5" s="483" customFormat="1" ht="18" customHeight="1" x14ac:dyDescent="0.25">
      <c r="E61" s="492"/>
    </row>
    <row r="62" spans="5:5" s="483" customFormat="1" ht="18" customHeight="1" x14ac:dyDescent="0.25">
      <c r="E62" s="492"/>
    </row>
    <row r="63" spans="5:5" s="483" customFormat="1" ht="18" customHeight="1" x14ac:dyDescent="0.25">
      <c r="E63" s="492"/>
    </row>
    <row r="64" spans="5:5" s="483" customFormat="1" ht="18" customHeight="1" x14ac:dyDescent="0.25">
      <c r="E64" s="492"/>
    </row>
    <row r="65" spans="5:5" s="483" customFormat="1" ht="18" customHeight="1" x14ac:dyDescent="0.25">
      <c r="E65" s="492"/>
    </row>
    <row r="66" spans="5:5" s="483" customFormat="1" ht="18" customHeight="1" x14ac:dyDescent="0.25">
      <c r="E66" s="492"/>
    </row>
    <row r="67" spans="5:5" s="483" customFormat="1" ht="18" customHeight="1" x14ac:dyDescent="0.25">
      <c r="E67" s="492"/>
    </row>
    <row r="68" spans="5:5" s="483" customFormat="1" ht="18" customHeight="1" x14ac:dyDescent="0.25">
      <c r="E68" s="492"/>
    </row>
    <row r="69" spans="5:5" s="483" customFormat="1" ht="18" customHeight="1" x14ac:dyDescent="0.25">
      <c r="E69" s="492"/>
    </row>
    <row r="70" spans="5:5" s="483" customFormat="1" ht="18" customHeight="1" x14ac:dyDescent="0.25">
      <c r="E70" s="492"/>
    </row>
    <row r="71" spans="5:5" s="483" customFormat="1" ht="18" customHeight="1" x14ac:dyDescent="0.25">
      <c r="E71" s="492"/>
    </row>
    <row r="72" spans="5:5" s="483" customFormat="1" ht="18" customHeight="1" x14ac:dyDescent="0.25">
      <c r="E72" s="492"/>
    </row>
    <row r="73" spans="5:5" s="483" customFormat="1" ht="18" customHeight="1" x14ac:dyDescent="0.25">
      <c r="E73" s="492"/>
    </row>
    <row r="74" spans="5:5" s="483" customFormat="1" ht="18" customHeight="1" x14ac:dyDescent="0.25">
      <c r="E74" s="492"/>
    </row>
    <row r="75" spans="5:5" s="483" customFormat="1" ht="18" customHeight="1" x14ac:dyDescent="0.25">
      <c r="E75" s="492"/>
    </row>
    <row r="76" spans="5:5" s="483" customFormat="1" ht="18" customHeight="1" x14ac:dyDescent="0.25">
      <c r="E76" s="492"/>
    </row>
    <row r="77" spans="5:5" s="483" customFormat="1" ht="18" customHeight="1" x14ac:dyDescent="0.25">
      <c r="E77" s="492"/>
    </row>
    <row r="78" spans="5:5" s="483" customFormat="1" ht="18" customHeight="1" x14ac:dyDescent="0.25">
      <c r="E78" s="492"/>
    </row>
    <row r="79" spans="5:5" s="483" customFormat="1" ht="18" customHeight="1" x14ac:dyDescent="0.25">
      <c r="E79" s="492"/>
    </row>
    <row r="80" spans="5:5" s="483" customFormat="1" ht="18" customHeight="1" x14ac:dyDescent="0.25">
      <c r="E80" s="492"/>
    </row>
    <row r="81" spans="5:5" s="483" customFormat="1" ht="18" customHeight="1" x14ac:dyDescent="0.25">
      <c r="E81" s="492"/>
    </row>
    <row r="82" spans="5:5" s="483" customFormat="1" ht="18" customHeight="1" x14ac:dyDescent="0.25">
      <c r="E82" s="492"/>
    </row>
  </sheetData>
  <sheetProtection algorithmName="SHA-512" hashValue="ZjGV5Y6kj+HnFGnvlWK+9dMh+XpPX0ABHXpWipY/FOxU7rFUiitj3AsmUwOtnUHWt6Mc9UPfDqPHupR4r/g1qg==" saltValue="P6Bjwb4ygn3gSxfW5l5fHw==" spinCount="100000" sheet="1" formatCells="0" formatColumns="0" formatRows="0" insertRows="0" autoFilter="0" pivotTables="0"/>
  <mergeCells count="23">
    <mergeCell ref="A23:E23"/>
    <mergeCell ref="A24:E24"/>
    <mergeCell ref="A25:E25"/>
    <mergeCell ref="A18:E18"/>
    <mergeCell ref="A19:E19"/>
    <mergeCell ref="A20:E20"/>
    <mergeCell ref="A21:E21"/>
    <mergeCell ref="A22:E22"/>
    <mergeCell ref="A13:E13"/>
    <mergeCell ref="A14:E14"/>
    <mergeCell ref="A15:E15"/>
    <mergeCell ref="A16:E16"/>
    <mergeCell ref="A17:E17"/>
    <mergeCell ref="A8:E8"/>
    <mergeCell ref="A9:E9"/>
    <mergeCell ref="A10:E10"/>
    <mergeCell ref="A11:E11"/>
    <mergeCell ref="A12:E12"/>
    <mergeCell ref="B1:C1"/>
    <mergeCell ref="B2:C2"/>
    <mergeCell ref="A5:E5"/>
    <mergeCell ref="A6:E6"/>
    <mergeCell ref="A7:E7"/>
  </mergeCells>
  <hyperlinks>
    <hyperlink ref="D1" location="ins" display="Instructivo" xr:uid="{00000000-0004-0000-2000-000000000000}"/>
    <hyperlink ref="D2" location="PEFI" display="Plan de ejecución física y de inversiones" xr:uid="{00000000-0004-0000-2000-000001000000}"/>
  </hyperlinks>
  <printOptions horizontalCentered="1"/>
  <pageMargins left="0" right="0" top="0" bottom="0" header="0.511811023622047" footer="0.511811023622047"/>
  <pageSetup fitToHeight="0" orientation="portrait" horizontalDpi="300" verticalDpi="300"/>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K100"/>
  <sheetViews>
    <sheetView showGridLines="0" topLeftCell="A21" zoomScaleNormal="100" workbookViewId="0">
      <selection activeCell="F10" sqref="F10"/>
    </sheetView>
  </sheetViews>
  <sheetFormatPr baseColWidth="10" defaultColWidth="11.33203125" defaultRowHeight="18" customHeight="1" x14ac:dyDescent="0.25"/>
  <cols>
    <col min="1" max="1" width="33.109375" style="483" customWidth="1"/>
    <col min="2" max="2" width="47.109375" style="483" customWidth="1"/>
    <col min="3" max="3" width="17.33203125" style="483" customWidth="1"/>
    <col min="4" max="4" width="22.33203125" style="483" customWidth="1"/>
    <col min="5" max="5" width="25" style="492" customWidth="1"/>
    <col min="6" max="6" width="23.33203125" style="483" customWidth="1"/>
    <col min="7" max="7" width="24.33203125" style="483" customWidth="1"/>
    <col min="8" max="8" width="22.77734375" style="483" customWidth="1"/>
    <col min="9" max="16384" width="11.33203125" style="483"/>
  </cols>
  <sheetData>
    <row r="1" spans="1:11" s="15" customFormat="1" ht="39" customHeight="1" x14ac:dyDescent="0.25">
      <c r="B1" s="1129" t="str">
        <f>Instructivo!F1</f>
        <v>Sistema de Gestión Integral (SGI)
Instructivo - Componente Financiero EP
Código: F-PGC-21. Versión: 05</v>
      </c>
      <c r="C1" s="1129"/>
      <c r="D1" s="132" t="s">
        <v>102</v>
      </c>
      <c r="E1" s="132" t="s">
        <v>1155</v>
      </c>
      <c r="F1" s="132" t="s">
        <v>1156</v>
      </c>
    </row>
    <row r="2" spans="1:11" s="15" customFormat="1" ht="17.25" customHeight="1" x14ac:dyDescent="0.25">
      <c r="B2" s="1173" t="s">
        <v>1157</v>
      </c>
      <c r="C2" s="1173"/>
      <c r="D2" s="132" t="s">
        <v>1158</v>
      </c>
      <c r="E2" s="132" t="s">
        <v>1159</v>
      </c>
      <c r="F2" s="483"/>
      <c r="I2" s="441"/>
      <c r="J2" s="420"/>
      <c r="K2" s="378"/>
    </row>
    <row r="3" spans="1:11" ht="18" customHeight="1" x14ac:dyDescent="0.25">
      <c r="D3" s="132" t="s">
        <v>1160</v>
      </c>
      <c r="E3" s="132" t="s">
        <v>1161</v>
      </c>
    </row>
    <row r="5" spans="1:11" ht="18" customHeight="1" x14ac:dyDescent="0.25">
      <c r="A5" s="1251" t="s">
        <v>1162</v>
      </c>
      <c r="B5" s="1251"/>
      <c r="C5" s="1251"/>
      <c r="D5" s="1251"/>
      <c r="E5" s="1251"/>
    </row>
    <row r="6" spans="1:11" ht="97.5" customHeight="1" x14ac:dyDescent="0.25">
      <c r="A6" s="1226" t="s">
        <v>1163</v>
      </c>
      <c r="B6" s="1226"/>
      <c r="C6" s="1226"/>
      <c r="D6" s="1226"/>
      <c r="E6" s="1226"/>
    </row>
    <row r="7" spans="1:11" ht="18" customHeight="1" x14ac:dyDescent="0.25">
      <c r="A7" s="1252" t="s">
        <v>1164</v>
      </c>
      <c r="B7" s="1252"/>
      <c r="C7" s="1252"/>
      <c r="D7" s="1252"/>
      <c r="E7" s="1252"/>
    </row>
    <row r="8" spans="1:11" ht="18" customHeight="1" x14ac:dyDescent="0.25">
      <c r="A8" s="1110"/>
      <c r="B8" s="1110"/>
      <c r="C8" s="1110"/>
      <c r="D8" s="1110"/>
      <c r="E8" s="1110"/>
    </row>
    <row r="9" spans="1:11" ht="18" customHeight="1" x14ac:dyDescent="0.25">
      <c r="A9" s="1251" t="s">
        <v>1165</v>
      </c>
      <c r="B9" s="1251"/>
      <c r="C9" s="1251"/>
      <c r="D9" s="1251"/>
      <c r="E9" s="1251"/>
    </row>
    <row r="10" spans="1:11" ht="63.75" customHeight="1" x14ac:dyDescent="0.25">
      <c r="A10" s="1228" t="s">
        <v>1166</v>
      </c>
      <c r="B10" s="1228"/>
      <c r="C10" s="1228"/>
      <c r="D10" s="1228"/>
      <c r="E10" s="1228"/>
    </row>
    <row r="11" spans="1:11" ht="188.25" customHeight="1" x14ac:dyDescent="0.25">
      <c r="A11" s="1228" t="s">
        <v>1167</v>
      </c>
      <c r="B11" s="1228"/>
      <c r="C11" s="1228"/>
      <c r="D11" s="1228"/>
      <c r="E11" s="1228"/>
    </row>
    <row r="12" spans="1:11" ht="180" customHeight="1" x14ac:dyDescent="0.25">
      <c r="A12" s="1228" t="s">
        <v>1168</v>
      </c>
      <c r="B12" s="1228"/>
      <c r="C12" s="1228"/>
      <c r="D12" s="1228"/>
      <c r="E12" s="1228"/>
    </row>
    <row r="13" spans="1:11" ht="41.25" customHeight="1" x14ac:dyDescent="0.25">
      <c r="A13" s="1228" t="s">
        <v>1169</v>
      </c>
      <c r="B13" s="1228"/>
      <c r="C13" s="1228"/>
      <c r="D13" s="1228"/>
      <c r="E13" s="1228"/>
    </row>
    <row r="14" spans="1:11" ht="193.5" customHeight="1" x14ac:dyDescent="0.25">
      <c r="A14" s="1228" t="s">
        <v>1170</v>
      </c>
      <c r="B14" s="1228"/>
      <c r="C14" s="1228"/>
      <c r="D14" s="1228"/>
      <c r="E14" s="1228"/>
    </row>
    <row r="15" spans="1:11" ht="240" customHeight="1" x14ac:dyDescent="0.25">
      <c r="A15" s="1228" t="s">
        <v>1171</v>
      </c>
      <c r="B15" s="1228"/>
      <c r="C15" s="1228"/>
      <c r="D15" s="1228"/>
      <c r="E15" s="1228"/>
    </row>
    <row r="16" spans="1:11" ht="284.25" customHeight="1" x14ac:dyDescent="0.25">
      <c r="A16" s="1228" t="s">
        <v>1172</v>
      </c>
      <c r="B16" s="1228"/>
      <c r="C16" s="1228"/>
      <c r="D16" s="1228"/>
      <c r="E16" s="1228"/>
    </row>
    <row r="17" spans="1:5" ht="129.75" customHeight="1" x14ac:dyDescent="0.25">
      <c r="A17" s="1253" t="s">
        <v>1173</v>
      </c>
      <c r="B17" s="1253"/>
      <c r="C17" s="1253"/>
      <c r="D17" s="1253"/>
      <c r="E17" s="1253"/>
    </row>
    <row r="18" spans="1:5" ht="18" customHeight="1" x14ac:dyDescent="0.25">
      <c r="A18" s="1110"/>
      <c r="B18" s="1110"/>
      <c r="C18" s="1110"/>
      <c r="D18" s="1110"/>
      <c r="E18" s="1110"/>
    </row>
    <row r="19" spans="1:5" ht="18" customHeight="1" x14ac:dyDescent="0.25">
      <c r="A19" s="1251" t="s">
        <v>1174</v>
      </c>
      <c r="B19" s="1251"/>
      <c r="C19" s="1251"/>
      <c r="D19" s="1251"/>
      <c r="E19" s="1251"/>
    </row>
    <row r="20" spans="1:5" ht="117" customHeight="1" x14ac:dyDescent="0.25">
      <c r="A20" s="1228" t="s">
        <v>1175</v>
      </c>
      <c r="B20" s="1228"/>
      <c r="C20" s="1228"/>
      <c r="D20" s="1228"/>
      <c r="E20" s="1228"/>
    </row>
    <row r="21" spans="1:5" ht="18" customHeight="1" x14ac:dyDescent="0.25">
      <c r="A21" s="1254" t="s">
        <v>1176</v>
      </c>
      <c r="B21" s="1254"/>
      <c r="C21" s="1254"/>
      <c r="D21" s="1254"/>
      <c r="E21" s="1254"/>
    </row>
    <row r="22" spans="1:5" ht="340.5" customHeight="1" x14ac:dyDescent="0.25">
      <c r="A22" s="1255" t="s">
        <v>1177</v>
      </c>
      <c r="B22" s="1255"/>
      <c r="C22" s="1255"/>
      <c r="D22" s="1255"/>
      <c r="E22" s="1255"/>
    </row>
    <row r="23" spans="1:5" ht="18" customHeight="1" x14ac:dyDescent="0.25">
      <c r="A23" s="1256"/>
      <c r="B23" s="1256"/>
      <c r="C23" s="1256"/>
      <c r="D23" s="1256"/>
      <c r="E23" s="1256"/>
    </row>
    <row r="24" spans="1:5" ht="18" customHeight="1" x14ac:dyDescent="0.25">
      <c r="A24" s="1251" t="s">
        <v>1178</v>
      </c>
      <c r="B24" s="1251"/>
      <c r="C24" s="1251"/>
      <c r="D24" s="1251"/>
      <c r="E24" s="1251"/>
    </row>
    <row r="25" spans="1:5" ht="114" customHeight="1" x14ac:dyDescent="0.25">
      <c r="A25" s="1226" t="s">
        <v>1179</v>
      </c>
      <c r="B25" s="1226"/>
      <c r="C25" s="1226"/>
      <c r="D25" s="1226"/>
      <c r="E25" s="1226"/>
    </row>
    <row r="26" spans="1:5" ht="63" customHeight="1" x14ac:dyDescent="0.25">
      <c r="A26" s="1257" t="s">
        <v>1180</v>
      </c>
      <c r="B26" s="1257"/>
      <c r="C26" s="1257"/>
      <c r="D26" s="1257"/>
      <c r="E26" s="1257"/>
    </row>
    <row r="27" spans="1:5" ht="63.75" customHeight="1" x14ac:dyDescent="0.25">
      <c r="A27" s="1257" t="s">
        <v>1181</v>
      </c>
      <c r="B27" s="1257"/>
      <c r="C27" s="1257"/>
      <c r="D27" s="1257"/>
      <c r="E27" s="1257"/>
    </row>
    <row r="28" spans="1:5" ht="41.25" customHeight="1" x14ac:dyDescent="0.25">
      <c r="A28" s="1257" t="s">
        <v>1182</v>
      </c>
      <c r="B28" s="1257"/>
      <c r="C28" s="1257"/>
      <c r="D28" s="1257"/>
      <c r="E28" s="1257"/>
    </row>
    <row r="29" spans="1:5" ht="52.5" customHeight="1" x14ac:dyDescent="0.25">
      <c r="A29" s="1257" t="s">
        <v>1183</v>
      </c>
      <c r="B29" s="1257"/>
      <c r="C29" s="1257"/>
      <c r="D29" s="1257"/>
      <c r="E29" s="1257"/>
    </row>
    <row r="30" spans="1:5" ht="17.25" customHeight="1" x14ac:dyDescent="0.25">
      <c r="A30" s="1252" t="s">
        <v>1164</v>
      </c>
      <c r="B30" s="1252"/>
      <c r="C30" s="1252"/>
      <c r="D30" s="1252"/>
      <c r="E30" s="1252"/>
    </row>
    <row r="31" spans="1:5" ht="18" customHeight="1" x14ac:dyDescent="0.25">
      <c r="A31" s="1110"/>
      <c r="B31" s="1110"/>
      <c r="C31" s="1110"/>
      <c r="D31" s="1110"/>
      <c r="E31" s="1110"/>
    </row>
    <row r="32" spans="1:5" ht="18" customHeight="1" x14ac:dyDescent="0.25">
      <c r="A32" s="1251" t="s">
        <v>1184</v>
      </c>
      <c r="B32" s="1251"/>
      <c r="C32" s="1251"/>
      <c r="D32" s="1251"/>
      <c r="E32" s="1251"/>
    </row>
    <row r="33" spans="1:5" ht="107.25" customHeight="1" x14ac:dyDescent="0.25">
      <c r="A33" s="1253" t="s">
        <v>1185</v>
      </c>
      <c r="B33" s="1253"/>
      <c r="C33" s="1253"/>
      <c r="D33" s="1253"/>
      <c r="E33" s="1253"/>
    </row>
    <row r="35" spans="1:5" ht="29.25" customHeight="1" x14ac:dyDescent="0.25">
      <c r="A35" s="1258" t="s">
        <v>1186</v>
      </c>
      <c r="B35" s="1258"/>
      <c r="C35" s="1258"/>
      <c r="D35" s="1258"/>
      <c r="E35" s="1258"/>
    </row>
    <row r="36" spans="1:5" ht="183" customHeight="1" x14ac:dyDescent="0.25">
      <c r="A36" s="1228" t="s">
        <v>1187</v>
      </c>
      <c r="B36" s="1228"/>
      <c r="C36" s="1228"/>
      <c r="D36" s="1228"/>
      <c r="E36" s="1228"/>
    </row>
    <row r="37" spans="1:5" ht="27" customHeight="1" x14ac:dyDescent="0.25">
      <c r="A37" s="1228" t="s">
        <v>1188</v>
      </c>
      <c r="B37" s="1228"/>
      <c r="C37" s="1228"/>
      <c r="D37" s="1228"/>
      <c r="E37" s="1228"/>
    </row>
    <row r="38" spans="1:5" ht="18" customHeight="1" x14ac:dyDescent="0.25">
      <c r="A38" s="1252" t="s">
        <v>1189</v>
      </c>
      <c r="B38" s="1252"/>
      <c r="C38" s="1252"/>
      <c r="D38" s="1252"/>
      <c r="E38" s="1252"/>
    </row>
    <row r="40" spans="1:5" ht="18" customHeight="1" x14ac:dyDescent="0.25">
      <c r="A40" s="1258" t="s">
        <v>1190</v>
      </c>
      <c r="B40" s="1258"/>
      <c r="C40" s="1258"/>
      <c r="D40" s="1258"/>
      <c r="E40" s="1258"/>
    </row>
    <row r="41" spans="1:5" ht="18" customHeight="1" x14ac:dyDescent="0.25">
      <c r="A41" s="1228" t="s">
        <v>1191</v>
      </c>
      <c r="B41" s="1228"/>
      <c r="C41" s="1228"/>
      <c r="D41" s="1228"/>
      <c r="E41" s="1228"/>
    </row>
    <row r="42" spans="1:5" ht="18" customHeight="1" x14ac:dyDescent="0.25">
      <c r="A42" s="1226" t="s">
        <v>1192</v>
      </c>
      <c r="B42" s="1226"/>
      <c r="C42" s="1226"/>
      <c r="D42" s="1226"/>
      <c r="E42" s="1226"/>
    </row>
    <row r="43" spans="1:5" ht="18" customHeight="1" x14ac:dyDescent="0.25">
      <c r="A43" s="1226" t="s">
        <v>1193</v>
      </c>
      <c r="B43" s="1226"/>
      <c r="C43" s="1226"/>
      <c r="D43" s="1226"/>
      <c r="E43" s="1226"/>
    </row>
    <row r="44" spans="1:5" ht="25.5" customHeight="1" x14ac:dyDescent="0.25">
      <c r="A44" s="1226" t="s">
        <v>1194</v>
      </c>
      <c r="B44" s="1226"/>
      <c r="C44" s="1226"/>
      <c r="D44" s="1226"/>
      <c r="E44" s="1226"/>
    </row>
    <row r="45" spans="1:5" ht="68.25" customHeight="1" x14ac:dyDescent="0.25">
      <c r="A45" s="1226" t="s">
        <v>1195</v>
      </c>
      <c r="B45" s="1226"/>
      <c r="C45" s="1226"/>
      <c r="D45" s="1226"/>
      <c r="E45" s="1226"/>
    </row>
    <row r="46" spans="1:5" ht="40.5" customHeight="1" x14ac:dyDescent="0.25">
      <c r="A46" s="1226" t="s">
        <v>1196</v>
      </c>
      <c r="B46" s="1226"/>
      <c r="C46" s="1226"/>
      <c r="D46" s="1226"/>
      <c r="E46" s="1226"/>
    </row>
    <row r="47" spans="1:5" ht="79.5" customHeight="1" x14ac:dyDescent="0.25">
      <c r="A47" s="1226" t="s">
        <v>1197</v>
      </c>
      <c r="B47" s="1226"/>
      <c r="C47" s="1226"/>
      <c r="D47" s="1226"/>
      <c r="E47" s="1226"/>
    </row>
    <row r="48" spans="1:5" ht="28.5" customHeight="1" x14ac:dyDescent="0.25">
      <c r="A48" s="1226" t="s">
        <v>1198</v>
      </c>
      <c r="B48" s="1226"/>
      <c r="C48" s="1226"/>
      <c r="D48" s="1226"/>
      <c r="E48" s="1226"/>
    </row>
    <row r="49" spans="1:5" ht="18" customHeight="1" x14ac:dyDescent="0.25">
      <c r="A49" s="1226" t="s">
        <v>1199</v>
      </c>
      <c r="B49" s="1226"/>
      <c r="C49" s="1226"/>
      <c r="D49" s="1226"/>
      <c r="E49" s="1226"/>
    </row>
    <row r="50" spans="1:5" ht="33.75" customHeight="1" x14ac:dyDescent="0.25">
      <c r="A50" s="1226" t="s">
        <v>1200</v>
      </c>
      <c r="B50" s="1226"/>
      <c r="C50" s="1226"/>
      <c r="D50" s="1226"/>
      <c r="E50" s="1226"/>
    </row>
    <row r="51" spans="1:5" ht="32.25" customHeight="1" x14ac:dyDescent="0.25">
      <c r="A51" s="1226" t="s">
        <v>1201</v>
      </c>
      <c r="B51" s="1226"/>
      <c r="C51" s="1226"/>
      <c r="D51" s="1226"/>
      <c r="E51" s="1226"/>
    </row>
    <row r="52" spans="1:5" ht="54" customHeight="1" x14ac:dyDescent="0.25">
      <c r="A52" s="1226" t="s">
        <v>1202</v>
      </c>
      <c r="B52" s="1226"/>
      <c r="C52" s="1226"/>
      <c r="D52" s="1226"/>
      <c r="E52" s="1226"/>
    </row>
    <row r="53" spans="1:5" ht="18" customHeight="1" x14ac:dyDescent="0.25">
      <c r="A53" s="1226" t="s">
        <v>1203</v>
      </c>
      <c r="B53" s="1226"/>
      <c r="C53" s="1226"/>
      <c r="D53" s="1226"/>
      <c r="E53" s="1226"/>
    </row>
    <row r="54" spans="1:5" ht="28.5" customHeight="1" x14ac:dyDescent="0.25">
      <c r="A54" s="1226" t="s">
        <v>1204</v>
      </c>
      <c r="B54" s="1226"/>
      <c r="C54" s="1226"/>
      <c r="D54" s="1226"/>
      <c r="E54" s="1226"/>
    </row>
    <row r="55" spans="1:5" ht="26.25" customHeight="1" x14ac:dyDescent="0.25">
      <c r="A55" s="1226" t="s">
        <v>1205</v>
      </c>
      <c r="B55" s="1226"/>
      <c r="C55" s="1226"/>
      <c r="D55" s="1226"/>
      <c r="E55" s="1226"/>
    </row>
    <row r="56" spans="1:5" ht="45" customHeight="1" x14ac:dyDescent="0.25">
      <c r="A56" s="1226" t="s">
        <v>1206</v>
      </c>
      <c r="B56" s="1226"/>
      <c r="C56" s="1226"/>
      <c r="D56" s="1226"/>
      <c r="E56" s="1226"/>
    </row>
    <row r="57" spans="1:5" ht="32.25" customHeight="1" x14ac:dyDescent="0.25">
      <c r="A57" s="1226" t="s">
        <v>1207</v>
      </c>
      <c r="B57" s="1226"/>
      <c r="C57" s="1226"/>
      <c r="D57" s="1226"/>
      <c r="E57" s="1226"/>
    </row>
    <row r="58" spans="1:5" ht="30.75" customHeight="1" x14ac:dyDescent="0.25">
      <c r="A58" s="1226" t="s">
        <v>1208</v>
      </c>
      <c r="B58" s="1226"/>
      <c r="C58" s="1226"/>
      <c r="D58" s="1226"/>
      <c r="E58" s="1226"/>
    </row>
    <row r="59" spans="1:5" ht="28.5" customHeight="1" x14ac:dyDescent="0.25">
      <c r="A59" s="1226" t="s">
        <v>1209</v>
      </c>
      <c r="B59" s="1226"/>
      <c r="C59" s="1226"/>
      <c r="D59" s="1226"/>
      <c r="E59" s="1226"/>
    </row>
    <row r="60" spans="1:5" ht="28.5" customHeight="1" x14ac:dyDescent="0.25">
      <c r="A60" s="1226" t="s">
        <v>1210</v>
      </c>
      <c r="B60" s="1226"/>
      <c r="C60" s="1226"/>
      <c r="D60" s="1226"/>
      <c r="E60" s="1226"/>
    </row>
    <row r="61" spans="1:5" ht="18" customHeight="1" x14ac:dyDescent="0.25">
      <c r="A61" s="1226" t="s">
        <v>1211</v>
      </c>
      <c r="B61" s="1226"/>
      <c r="C61" s="1226"/>
      <c r="D61" s="1226"/>
      <c r="E61" s="1226"/>
    </row>
    <row r="62" spans="1:5" ht="30" customHeight="1" x14ac:dyDescent="0.25">
      <c r="A62" s="1226" t="s">
        <v>1212</v>
      </c>
      <c r="B62" s="1226"/>
      <c r="C62" s="1226"/>
      <c r="D62" s="1226"/>
      <c r="E62" s="1226"/>
    </row>
    <row r="63" spans="1:5" ht="18" customHeight="1" x14ac:dyDescent="0.25">
      <c r="A63" s="1226" t="s">
        <v>1213</v>
      </c>
      <c r="B63" s="1226"/>
      <c r="C63" s="1226"/>
      <c r="D63" s="1226"/>
      <c r="E63" s="1226"/>
    </row>
    <row r="64" spans="1:5" ht="39" customHeight="1" x14ac:dyDescent="0.25">
      <c r="A64" s="1226" t="s">
        <v>1214</v>
      </c>
      <c r="B64" s="1226"/>
      <c r="C64" s="1226"/>
      <c r="D64" s="1226"/>
      <c r="E64" s="1226"/>
    </row>
    <row r="65" spans="1:5" ht="28.5" customHeight="1" x14ac:dyDescent="0.25">
      <c r="A65" s="1226" t="s">
        <v>1215</v>
      </c>
      <c r="B65" s="1226"/>
      <c r="C65" s="1226"/>
      <c r="D65" s="1226"/>
      <c r="E65" s="1226"/>
    </row>
    <row r="66" spans="1:5" ht="27.75" customHeight="1" x14ac:dyDescent="0.25">
      <c r="A66" s="1226" t="s">
        <v>1216</v>
      </c>
      <c r="B66" s="1226"/>
      <c r="C66" s="1226"/>
      <c r="D66" s="1226"/>
      <c r="E66" s="1226"/>
    </row>
    <row r="67" spans="1:5" ht="18" customHeight="1" x14ac:dyDescent="0.25">
      <c r="A67" s="1226" t="s">
        <v>1217</v>
      </c>
      <c r="B67" s="1226"/>
      <c r="C67" s="1226"/>
      <c r="D67" s="1226"/>
      <c r="E67" s="1226"/>
    </row>
    <row r="68" spans="1:5" ht="18" customHeight="1" x14ac:dyDescent="0.25">
      <c r="A68" s="1226" t="s">
        <v>1218</v>
      </c>
      <c r="B68" s="1226"/>
      <c r="C68" s="1226"/>
      <c r="D68" s="1226"/>
      <c r="E68" s="1226"/>
    </row>
    <row r="69" spans="1:5" ht="18" customHeight="1" x14ac:dyDescent="0.25">
      <c r="A69" s="1226" t="s">
        <v>1219</v>
      </c>
      <c r="B69" s="1226"/>
      <c r="C69" s="1226"/>
      <c r="D69" s="1226"/>
      <c r="E69" s="1226"/>
    </row>
    <row r="70" spans="1:5" ht="18" customHeight="1" x14ac:dyDescent="0.25">
      <c r="A70" s="1226" t="s">
        <v>1220</v>
      </c>
      <c r="B70" s="1226"/>
      <c r="C70" s="1226"/>
      <c r="D70" s="1226"/>
      <c r="E70" s="1226"/>
    </row>
    <row r="71" spans="1:5" ht="18" customHeight="1" x14ac:dyDescent="0.25">
      <c r="A71" s="1226" t="s">
        <v>1221</v>
      </c>
      <c r="B71" s="1226"/>
      <c r="C71" s="1226"/>
      <c r="D71" s="1226"/>
      <c r="E71" s="1226"/>
    </row>
    <row r="72" spans="1:5" ht="18" customHeight="1" x14ac:dyDescent="0.25">
      <c r="A72" s="1226" t="s">
        <v>1222</v>
      </c>
      <c r="B72" s="1226"/>
      <c r="C72" s="1226"/>
      <c r="D72" s="1226"/>
      <c r="E72" s="1226"/>
    </row>
    <row r="73" spans="1:5" ht="18" customHeight="1" x14ac:dyDescent="0.25">
      <c r="A73" s="1226" t="s">
        <v>1223</v>
      </c>
      <c r="B73" s="1226"/>
      <c r="C73" s="1226"/>
      <c r="D73" s="1226"/>
      <c r="E73" s="1226"/>
    </row>
    <row r="74" spans="1:5" ht="18" customHeight="1" x14ac:dyDescent="0.25">
      <c r="A74" s="1226" t="s">
        <v>1224</v>
      </c>
      <c r="B74" s="1226"/>
      <c r="C74" s="1226"/>
      <c r="D74" s="1226"/>
      <c r="E74" s="1226"/>
    </row>
    <row r="75" spans="1:5" ht="18" customHeight="1" x14ac:dyDescent="0.25">
      <c r="A75" s="1226" t="s">
        <v>1225</v>
      </c>
      <c r="B75" s="1226"/>
      <c r="C75" s="1226"/>
      <c r="D75" s="1226"/>
      <c r="E75" s="1226"/>
    </row>
    <row r="76" spans="1:5" ht="18" customHeight="1" x14ac:dyDescent="0.25">
      <c r="A76" s="1226" t="s">
        <v>1226</v>
      </c>
      <c r="B76" s="1226"/>
      <c r="C76" s="1226"/>
      <c r="D76" s="1226"/>
      <c r="E76" s="1226"/>
    </row>
    <row r="77" spans="1:5" ht="18" customHeight="1" x14ac:dyDescent="0.25">
      <c r="A77" s="1226" t="s">
        <v>1227</v>
      </c>
      <c r="B77" s="1226"/>
      <c r="C77" s="1226"/>
      <c r="D77" s="1226"/>
      <c r="E77" s="1226"/>
    </row>
    <row r="78" spans="1:5" ht="18" customHeight="1" x14ac:dyDescent="0.25">
      <c r="A78" s="1226" t="s">
        <v>1228</v>
      </c>
      <c r="B78" s="1226"/>
      <c r="C78" s="1226"/>
      <c r="D78" s="1226"/>
      <c r="E78" s="1226"/>
    </row>
    <row r="79" spans="1:5" ht="18" customHeight="1" x14ac:dyDescent="0.25">
      <c r="A79" s="1226" t="s">
        <v>1229</v>
      </c>
      <c r="B79" s="1226"/>
      <c r="C79" s="1226"/>
      <c r="D79" s="1226"/>
      <c r="E79" s="1226"/>
    </row>
    <row r="80" spans="1:5" ht="18" customHeight="1" x14ac:dyDescent="0.25">
      <c r="A80" s="1226" t="s">
        <v>1230</v>
      </c>
      <c r="B80" s="1226"/>
      <c r="C80" s="1226"/>
      <c r="D80" s="1226"/>
      <c r="E80" s="1226"/>
    </row>
    <row r="81" spans="1:5" ht="18" customHeight="1" x14ac:dyDescent="0.25">
      <c r="A81" s="1226" t="s">
        <v>1231</v>
      </c>
      <c r="B81" s="1226"/>
      <c r="C81" s="1226"/>
      <c r="D81" s="1226"/>
      <c r="E81" s="1226"/>
    </row>
    <row r="82" spans="1:5" ht="18" customHeight="1" x14ac:dyDescent="0.25">
      <c r="A82" s="1226" t="s">
        <v>1232</v>
      </c>
      <c r="B82" s="1226"/>
      <c r="C82" s="1226"/>
      <c r="D82" s="1226"/>
      <c r="E82" s="1226"/>
    </row>
    <row r="83" spans="1:5" ht="18" customHeight="1" x14ac:dyDescent="0.25">
      <c r="A83" s="1226" t="s">
        <v>1233</v>
      </c>
      <c r="B83" s="1226"/>
      <c r="C83" s="1226"/>
      <c r="D83" s="1226"/>
      <c r="E83" s="1226"/>
    </row>
    <row r="84" spans="1:5" ht="18" customHeight="1" x14ac:dyDescent="0.25">
      <c r="A84" s="1226" t="s">
        <v>1234</v>
      </c>
      <c r="B84" s="1226"/>
      <c r="C84" s="1226"/>
      <c r="D84" s="1226"/>
      <c r="E84" s="1226"/>
    </row>
    <row r="85" spans="1:5" ht="18" customHeight="1" x14ac:dyDescent="0.25">
      <c r="A85" s="1226" t="s">
        <v>1235</v>
      </c>
      <c r="B85" s="1226"/>
      <c r="C85" s="1226"/>
      <c r="D85" s="1226"/>
      <c r="E85" s="1226"/>
    </row>
    <row r="86" spans="1:5" ht="18" customHeight="1" x14ac:dyDescent="0.25">
      <c r="A86" s="1226" t="s">
        <v>1236</v>
      </c>
      <c r="B86" s="1226"/>
      <c r="C86" s="1226"/>
      <c r="D86" s="1226"/>
      <c r="E86" s="1226"/>
    </row>
    <row r="87" spans="1:5" ht="18" customHeight="1" x14ac:dyDescent="0.25">
      <c r="A87" s="885"/>
      <c r="B87" s="872"/>
      <c r="C87" s="872"/>
      <c r="D87" s="872"/>
      <c r="E87" s="886"/>
    </row>
    <row r="88" spans="1:5" ht="40.5" customHeight="1" x14ac:dyDescent="0.25">
      <c r="A88" s="1226" t="s">
        <v>1237</v>
      </c>
      <c r="B88" s="1226"/>
      <c r="C88" s="1226"/>
      <c r="D88" s="1226"/>
      <c r="E88" s="1226"/>
    </row>
    <row r="89" spans="1:5" ht="18" customHeight="1" x14ac:dyDescent="0.25">
      <c r="A89" s="1226" t="s">
        <v>1238</v>
      </c>
      <c r="B89" s="1226"/>
      <c r="C89" s="1226"/>
      <c r="D89" s="1226"/>
      <c r="E89" s="1226"/>
    </row>
    <row r="90" spans="1:5" ht="45.75" customHeight="1" x14ac:dyDescent="0.25">
      <c r="A90" s="1226" t="s">
        <v>1239</v>
      </c>
      <c r="B90" s="1226"/>
      <c r="C90" s="1226"/>
      <c r="D90" s="1226"/>
      <c r="E90" s="1226"/>
    </row>
    <row r="91" spans="1:5" ht="26.25" customHeight="1" x14ac:dyDescent="0.25">
      <c r="A91" s="1226" t="s">
        <v>1240</v>
      </c>
      <c r="B91" s="1226"/>
      <c r="C91" s="1226"/>
      <c r="D91" s="1226"/>
      <c r="E91" s="1226"/>
    </row>
    <row r="92" spans="1:5" ht="18" customHeight="1" x14ac:dyDescent="0.25">
      <c r="A92" s="1226" t="s">
        <v>1241</v>
      </c>
      <c r="B92" s="1226"/>
      <c r="C92" s="1226"/>
      <c r="D92" s="1226"/>
      <c r="E92" s="1226"/>
    </row>
    <row r="93" spans="1:5" ht="29.25" customHeight="1" x14ac:dyDescent="0.25">
      <c r="A93" s="1226" t="s">
        <v>1242</v>
      </c>
      <c r="B93" s="1226"/>
      <c r="C93" s="1226"/>
      <c r="D93" s="1226"/>
      <c r="E93" s="1226"/>
    </row>
    <row r="94" spans="1:5" ht="32.25" customHeight="1" x14ac:dyDescent="0.25">
      <c r="A94" s="1226" t="s">
        <v>1243</v>
      </c>
      <c r="B94" s="1226"/>
      <c r="C94" s="1226"/>
      <c r="D94" s="1226"/>
      <c r="E94" s="1226"/>
    </row>
    <row r="95" spans="1:5" ht="26.25" customHeight="1" x14ac:dyDescent="0.25">
      <c r="A95" s="1226" t="s">
        <v>1244</v>
      </c>
      <c r="B95" s="1226"/>
      <c r="C95" s="1226"/>
      <c r="D95" s="1226"/>
      <c r="E95" s="1226"/>
    </row>
    <row r="96" spans="1:5" ht="45.75" customHeight="1" x14ac:dyDescent="0.25">
      <c r="A96" s="1226" t="s">
        <v>1245</v>
      </c>
      <c r="B96" s="1226"/>
      <c r="C96" s="1226"/>
      <c r="D96" s="1226"/>
      <c r="E96" s="1226"/>
    </row>
    <row r="97" spans="1:5" ht="42.75" customHeight="1" x14ac:dyDescent="0.25">
      <c r="A97" s="1226" t="s">
        <v>1246</v>
      </c>
      <c r="B97" s="1226"/>
      <c r="C97" s="1226"/>
      <c r="D97" s="1226"/>
      <c r="E97" s="1226"/>
    </row>
    <row r="98" spans="1:5" ht="18" customHeight="1" x14ac:dyDescent="0.25">
      <c r="A98" s="1226" t="s">
        <v>1247</v>
      </c>
      <c r="B98" s="1226"/>
      <c r="C98" s="1226"/>
      <c r="D98" s="1226"/>
      <c r="E98" s="1226"/>
    </row>
    <row r="99" spans="1:5" ht="54.75" customHeight="1" x14ac:dyDescent="0.25">
      <c r="A99" s="1226" t="s">
        <v>1248</v>
      </c>
      <c r="B99" s="1226"/>
      <c r="C99" s="1226"/>
      <c r="D99" s="1226"/>
      <c r="E99" s="1226"/>
    </row>
    <row r="100" spans="1:5" ht="18" customHeight="1" x14ac:dyDescent="0.25">
      <c r="A100" s="1227" t="s">
        <v>1249</v>
      </c>
      <c r="B100" s="1227"/>
      <c r="C100" s="1227"/>
      <c r="D100" s="1227"/>
      <c r="E100" s="1227"/>
    </row>
  </sheetData>
  <sheetProtection algorithmName="SHA-512" hashValue="B9jGBjE5GjQLyUxemcKIIHH69uDFyPqv3petSxscaK5qYmMBmpokVvRtmVg59CaKC0h/MHNer3eE0Vnum/BXyQ==" saltValue="+UlblcgbKfYOGLnOX+edXQ==" spinCount="100000" sheet="1" formatCells="0" formatColumns="0" formatRows="0" insertRows="0" autoFilter="0" pivotTables="0"/>
  <mergeCells count="95">
    <mergeCell ref="A96:E96"/>
    <mergeCell ref="A97:E97"/>
    <mergeCell ref="A98:E98"/>
    <mergeCell ref="A99:E99"/>
    <mergeCell ref="A100:E100"/>
    <mergeCell ref="A91:E91"/>
    <mergeCell ref="A92:E92"/>
    <mergeCell ref="A93:E93"/>
    <mergeCell ref="A94:E94"/>
    <mergeCell ref="A95:E95"/>
    <mergeCell ref="A85:E85"/>
    <mergeCell ref="A86:E86"/>
    <mergeCell ref="A88:E88"/>
    <mergeCell ref="A89:E89"/>
    <mergeCell ref="A90:E90"/>
    <mergeCell ref="A80:E80"/>
    <mergeCell ref="A81:E81"/>
    <mergeCell ref="A82:E82"/>
    <mergeCell ref="A83:E83"/>
    <mergeCell ref="A84:E84"/>
    <mergeCell ref="A75:E75"/>
    <mergeCell ref="A76:E76"/>
    <mergeCell ref="A77:E77"/>
    <mergeCell ref="A78:E78"/>
    <mergeCell ref="A79:E79"/>
    <mergeCell ref="A70:E70"/>
    <mergeCell ref="A71:E71"/>
    <mergeCell ref="A72:E72"/>
    <mergeCell ref="A73:E73"/>
    <mergeCell ref="A74:E74"/>
    <mergeCell ref="A65:E65"/>
    <mergeCell ref="A66:E66"/>
    <mergeCell ref="A67:E67"/>
    <mergeCell ref="A68:E68"/>
    <mergeCell ref="A69:E69"/>
    <mergeCell ref="A60:E60"/>
    <mergeCell ref="A61:E61"/>
    <mergeCell ref="A62:E62"/>
    <mergeCell ref="A63:E63"/>
    <mergeCell ref="A64:E64"/>
    <mergeCell ref="A55:E55"/>
    <mergeCell ref="A56:E56"/>
    <mergeCell ref="A57:E57"/>
    <mergeCell ref="A58:E58"/>
    <mergeCell ref="A59:E59"/>
    <mergeCell ref="A50:E50"/>
    <mergeCell ref="A51:E51"/>
    <mergeCell ref="A52:E52"/>
    <mergeCell ref="A53:E53"/>
    <mergeCell ref="A54:E54"/>
    <mergeCell ref="A45:E45"/>
    <mergeCell ref="A46:E46"/>
    <mergeCell ref="A47:E47"/>
    <mergeCell ref="A48:E48"/>
    <mergeCell ref="A49:E49"/>
    <mergeCell ref="A40:E40"/>
    <mergeCell ref="A41:E41"/>
    <mergeCell ref="A42:E42"/>
    <mergeCell ref="A43:E43"/>
    <mergeCell ref="A44:E44"/>
    <mergeCell ref="A33:E33"/>
    <mergeCell ref="A35:E35"/>
    <mergeCell ref="A36:E36"/>
    <mergeCell ref="A37:E37"/>
    <mergeCell ref="A38:E38"/>
    <mergeCell ref="A28:E28"/>
    <mergeCell ref="A29:E29"/>
    <mergeCell ref="A30:E30"/>
    <mergeCell ref="A31:E31"/>
    <mergeCell ref="A32:E32"/>
    <mergeCell ref="A23:E23"/>
    <mergeCell ref="A24:E24"/>
    <mergeCell ref="A25:E25"/>
    <mergeCell ref="A26:E26"/>
    <mergeCell ref="A27:E27"/>
    <mergeCell ref="A18:E18"/>
    <mergeCell ref="A19:E19"/>
    <mergeCell ref="A20:E20"/>
    <mergeCell ref="A21:E21"/>
    <mergeCell ref="A22:E22"/>
    <mergeCell ref="A13:E13"/>
    <mergeCell ref="A14:E14"/>
    <mergeCell ref="A15:E15"/>
    <mergeCell ref="A16:E16"/>
    <mergeCell ref="A17:E17"/>
    <mergeCell ref="A8:E8"/>
    <mergeCell ref="A9:E9"/>
    <mergeCell ref="A10:E10"/>
    <mergeCell ref="A11:E11"/>
    <mergeCell ref="A12:E12"/>
    <mergeCell ref="B1:C1"/>
    <mergeCell ref="B2:C2"/>
    <mergeCell ref="A5:E5"/>
    <mergeCell ref="A6:E6"/>
    <mergeCell ref="A7:E7"/>
  </mergeCells>
  <hyperlinks>
    <hyperlink ref="D1" location="ins" display="Instructivo" xr:uid="{00000000-0004-0000-2100-000000000000}"/>
    <hyperlink ref="E1" location="MCOP1" display="Memoria de cálculo opc 1" xr:uid="{00000000-0004-0000-2100-000001000000}"/>
    <hyperlink ref="F1" location="gtosadm2" display="Gastos de adm" xr:uid="{00000000-0004-0000-2100-000002000000}"/>
    <hyperlink ref="D2" location="PC" display="Presupuesto contrato" xr:uid="{00000000-0004-0000-2100-000003000000}"/>
    <hyperlink ref="E2" location="MCCOP2" display="Memoria de cálculo opc 2" xr:uid="{00000000-0004-0000-2100-000004000000}"/>
    <hyperlink ref="D3" location="PCV" display="Presupuesto convenio" xr:uid="{00000000-0004-0000-2100-000005000000}"/>
    <hyperlink ref="E3" location="MCCOP3" display="Memoria de cálculo opc 3" xr:uid="{00000000-0004-0000-2100-000006000000}"/>
    <hyperlink ref="A21" r:id="rId1" xr:uid="{00000000-0004-0000-2100-000007000000}"/>
  </hyperlinks>
  <printOptions horizontalCentered="1"/>
  <pageMargins left="0" right="0" top="0" bottom="0" header="0.511811023622047" footer="0.511811023622047"/>
  <pageSetup fitToHeight="0" orientation="portrait" horizontalDpi="300" verticalDpi="30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K45"/>
  <sheetViews>
    <sheetView showGridLines="0" zoomScaleNormal="100" workbookViewId="0">
      <selection activeCell="F2" sqref="F2"/>
    </sheetView>
  </sheetViews>
  <sheetFormatPr baseColWidth="10" defaultColWidth="18.77734375" defaultRowHeight="18" customHeight="1" x14ac:dyDescent="0.25"/>
  <cols>
    <col min="1" max="5" width="30.77734375" style="887" customWidth="1"/>
    <col min="6" max="6" width="18.77734375" style="887"/>
    <col min="7" max="7" width="25.77734375" style="887" customWidth="1"/>
    <col min="8" max="16384" width="18.77734375" style="887"/>
  </cols>
  <sheetData>
    <row r="1" spans="1:11" s="15" customFormat="1" ht="39" customHeight="1" x14ac:dyDescent="0.25">
      <c r="B1" s="1129" t="str">
        <f>Instructivo!F1</f>
        <v>Sistema de Gestión Integral (SGI)
Instructivo - Componente Financiero EP
Código: F-PGC-21. Versión: 05</v>
      </c>
      <c r="C1" s="1129"/>
      <c r="D1" s="888" t="s">
        <v>102</v>
      </c>
      <c r="E1" s="889" t="s">
        <v>1250</v>
      </c>
    </row>
    <row r="2" spans="1:11" s="15" customFormat="1" ht="17.25" customHeight="1" x14ac:dyDescent="0.25">
      <c r="B2" s="1173" t="s">
        <v>1251</v>
      </c>
      <c r="C2" s="1173"/>
      <c r="D2" s="890"/>
      <c r="E2" s="889" t="s">
        <v>1252</v>
      </c>
      <c r="I2" s="441"/>
      <c r="J2" s="420"/>
      <c r="K2" s="378"/>
    </row>
    <row r="3" spans="1:11" ht="18" customHeight="1" x14ac:dyDescent="0.25">
      <c r="D3" s="890"/>
      <c r="E3" s="889" t="s">
        <v>1253</v>
      </c>
    </row>
    <row r="5" spans="1:11" ht="64.5" customHeight="1" x14ac:dyDescent="0.25">
      <c r="A5" s="1259" t="s">
        <v>1254</v>
      </c>
      <c r="B5" s="1259"/>
      <c r="C5" s="1259"/>
      <c r="D5" s="1259"/>
      <c r="E5" s="1259"/>
    </row>
    <row r="7" spans="1:11" ht="18" customHeight="1" x14ac:dyDescent="0.25">
      <c r="A7" s="1260" t="s">
        <v>1255</v>
      </c>
      <c r="B7" s="1260"/>
      <c r="C7" s="1260"/>
      <c r="D7" s="1260"/>
      <c r="E7" s="1260"/>
    </row>
    <row r="8" spans="1:11" ht="18" customHeight="1" x14ac:dyDescent="0.25">
      <c r="A8" s="1261" t="s">
        <v>1256</v>
      </c>
      <c r="B8" s="1261"/>
      <c r="C8" s="1261"/>
      <c r="D8" s="1261"/>
      <c r="E8" s="1261"/>
    </row>
    <row r="9" spans="1:11" ht="27.75" customHeight="1" x14ac:dyDescent="0.25">
      <c r="A9" s="1261" t="s">
        <v>1257</v>
      </c>
      <c r="B9" s="1261"/>
      <c r="C9" s="1261"/>
      <c r="D9" s="1261"/>
      <c r="E9" s="1261"/>
    </row>
    <row r="10" spans="1:11" ht="39" customHeight="1" x14ac:dyDescent="0.25">
      <c r="A10" s="1261" t="s">
        <v>1258</v>
      </c>
      <c r="B10" s="1261"/>
      <c r="C10" s="1261"/>
      <c r="D10" s="1261"/>
      <c r="E10" s="1261"/>
    </row>
    <row r="11" spans="1:11" ht="26.25" customHeight="1" x14ac:dyDescent="0.25">
      <c r="A11" s="1261" t="s">
        <v>1259</v>
      </c>
      <c r="B11" s="1261"/>
      <c r="C11" s="1261"/>
      <c r="D11" s="1261"/>
      <c r="E11" s="1261"/>
    </row>
    <row r="12" spans="1:11" ht="30.75" customHeight="1" x14ac:dyDescent="0.25">
      <c r="A12" s="1261" t="s">
        <v>1260</v>
      </c>
      <c r="B12" s="1261"/>
      <c r="C12" s="1261"/>
      <c r="D12" s="1261"/>
      <c r="E12" s="1261"/>
    </row>
    <row r="13" spans="1:11" ht="27.75" customHeight="1" x14ac:dyDescent="0.25">
      <c r="A13" s="1261" t="s">
        <v>1261</v>
      </c>
      <c r="B13" s="1261"/>
      <c r="C13" s="1261"/>
      <c r="D13" s="1261"/>
      <c r="E13" s="1261"/>
    </row>
    <row r="14" spans="1:11" ht="54.75" customHeight="1" x14ac:dyDescent="0.25">
      <c r="A14" s="1261" t="s">
        <v>1262</v>
      </c>
      <c r="B14" s="1261"/>
      <c r="C14" s="1261"/>
      <c r="D14" s="1261"/>
      <c r="E14" s="1261"/>
    </row>
    <row r="15" spans="1:11" ht="154.5" customHeight="1" x14ac:dyDescent="0.25">
      <c r="A15" s="1262" t="s">
        <v>1263</v>
      </c>
      <c r="B15" s="1262"/>
      <c r="C15" s="1262"/>
      <c r="D15" s="1262"/>
      <c r="E15" s="1262"/>
    </row>
    <row r="16" spans="1:11" ht="18" customHeight="1" x14ac:dyDescent="0.25">
      <c r="A16" s="891"/>
      <c r="B16" s="891"/>
      <c r="C16" s="891"/>
      <c r="D16" s="891"/>
      <c r="E16" s="891"/>
    </row>
    <row r="17" spans="1:5" ht="18" customHeight="1" x14ac:dyDescent="0.25">
      <c r="A17" s="1260" t="s">
        <v>1264</v>
      </c>
      <c r="B17" s="1260"/>
      <c r="C17" s="1260"/>
      <c r="D17" s="1260"/>
      <c r="E17" s="1260"/>
    </row>
    <row r="18" spans="1:5" ht="18" customHeight="1" x14ac:dyDescent="0.25">
      <c r="A18" s="1262" t="s">
        <v>1265</v>
      </c>
      <c r="B18" s="1262"/>
      <c r="C18" s="1262"/>
      <c r="D18" s="1262"/>
      <c r="E18" s="1262"/>
    </row>
    <row r="19" spans="1:5" ht="60.75" customHeight="1" x14ac:dyDescent="0.25">
      <c r="A19" s="1262" t="s">
        <v>1266</v>
      </c>
      <c r="B19" s="1262"/>
      <c r="C19" s="1262"/>
      <c r="D19" s="1262"/>
      <c r="E19" s="1262"/>
    </row>
    <row r="20" spans="1:5" ht="29.25" customHeight="1" x14ac:dyDescent="0.25">
      <c r="A20" s="1261" t="s">
        <v>1267</v>
      </c>
      <c r="B20" s="1261"/>
      <c r="C20" s="1261"/>
      <c r="D20" s="1261"/>
      <c r="E20" s="1261"/>
    </row>
    <row r="21" spans="1:5" ht="27.75" customHeight="1" x14ac:dyDescent="0.25">
      <c r="A21" s="1261" t="s">
        <v>1268</v>
      </c>
      <c r="B21" s="1261"/>
      <c r="C21" s="1261"/>
      <c r="D21" s="1261"/>
      <c r="E21" s="1261"/>
    </row>
    <row r="22" spans="1:5" ht="28.5" customHeight="1" x14ac:dyDescent="0.25">
      <c r="A22" s="1261" t="s">
        <v>1269</v>
      </c>
      <c r="B22" s="1261"/>
      <c r="C22" s="1261"/>
      <c r="D22" s="1261"/>
      <c r="E22" s="1261"/>
    </row>
    <row r="23" spans="1:5" ht="42" customHeight="1" x14ac:dyDescent="0.25">
      <c r="A23" s="1261" t="s">
        <v>1270</v>
      </c>
      <c r="B23" s="1261"/>
      <c r="C23" s="1261"/>
      <c r="D23" s="1261"/>
      <c r="E23" s="1261"/>
    </row>
    <row r="24" spans="1:5" ht="27" customHeight="1" x14ac:dyDescent="0.25">
      <c r="A24" s="1261" t="s">
        <v>1269</v>
      </c>
      <c r="B24" s="1261"/>
      <c r="C24" s="1261"/>
      <c r="D24" s="1261"/>
      <c r="E24" s="1261"/>
    </row>
    <row r="25" spans="1:5" ht="18" customHeight="1" x14ac:dyDescent="0.25">
      <c r="A25" s="1261" t="s">
        <v>1271</v>
      </c>
      <c r="B25" s="1261"/>
      <c r="C25" s="1261"/>
      <c r="D25" s="1261"/>
      <c r="E25" s="1261"/>
    </row>
    <row r="26" spans="1:5" ht="27.75" customHeight="1" x14ac:dyDescent="0.25">
      <c r="A26" s="1261" t="s">
        <v>1272</v>
      </c>
      <c r="B26" s="1261"/>
      <c r="C26" s="1261"/>
      <c r="D26" s="1261"/>
      <c r="E26" s="1261"/>
    </row>
    <row r="27" spans="1:5" ht="18" customHeight="1" x14ac:dyDescent="0.25">
      <c r="A27" s="1261" t="s">
        <v>1273</v>
      </c>
      <c r="B27" s="1261"/>
      <c r="C27" s="1261"/>
      <c r="D27" s="1261"/>
      <c r="E27" s="1261"/>
    </row>
    <row r="28" spans="1:5" ht="18" customHeight="1" x14ac:dyDescent="0.25">
      <c r="A28" s="1261" t="s">
        <v>1274</v>
      </c>
      <c r="B28" s="1261"/>
      <c r="C28" s="1261"/>
      <c r="D28" s="1261"/>
      <c r="E28" s="1261"/>
    </row>
    <row r="29" spans="1:5" ht="18" customHeight="1" x14ac:dyDescent="0.25">
      <c r="A29" s="1261" t="s">
        <v>1275</v>
      </c>
      <c r="B29" s="1261"/>
      <c r="C29" s="1261"/>
      <c r="D29" s="1261"/>
      <c r="E29" s="1261"/>
    </row>
    <row r="30" spans="1:5" ht="54.75" customHeight="1" x14ac:dyDescent="0.25">
      <c r="A30" s="1261" t="s">
        <v>1276</v>
      </c>
      <c r="B30" s="1261"/>
      <c r="C30" s="1261"/>
      <c r="D30" s="1261"/>
      <c r="E30" s="1261"/>
    </row>
    <row r="31" spans="1:5" ht="52.5" customHeight="1" x14ac:dyDescent="0.25">
      <c r="A31" s="1261" t="s">
        <v>1277</v>
      </c>
      <c r="B31" s="1261"/>
      <c r="C31" s="1261"/>
      <c r="D31" s="1261"/>
      <c r="E31" s="1261"/>
    </row>
    <row r="32" spans="1:5" ht="29.25" customHeight="1" x14ac:dyDescent="0.25">
      <c r="A32" s="1261" t="s">
        <v>1278</v>
      </c>
      <c r="B32" s="1261"/>
      <c r="C32" s="1261"/>
      <c r="D32" s="1261"/>
      <c r="E32" s="1261"/>
    </row>
    <row r="33" spans="1:5" ht="51.75" customHeight="1" x14ac:dyDescent="0.25">
      <c r="A33" s="1261" t="s">
        <v>1279</v>
      </c>
      <c r="B33" s="1261"/>
      <c r="C33" s="1261"/>
      <c r="D33" s="1261"/>
      <c r="E33" s="1261"/>
    </row>
    <row r="34" spans="1:5" ht="67.5" customHeight="1" x14ac:dyDescent="0.25">
      <c r="A34" s="1261" t="s">
        <v>1280</v>
      </c>
      <c r="B34" s="1261"/>
      <c r="C34" s="1261"/>
      <c r="D34" s="1261"/>
      <c r="E34" s="1261"/>
    </row>
    <row r="35" spans="1:5" ht="33" customHeight="1" x14ac:dyDescent="0.25">
      <c r="A35" s="1262" t="s">
        <v>1281</v>
      </c>
      <c r="B35" s="1262"/>
      <c r="C35" s="1262"/>
      <c r="D35" s="1262"/>
      <c r="E35" s="1262"/>
    </row>
    <row r="36" spans="1:5" ht="30" customHeight="1" x14ac:dyDescent="0.25">
      <c r="A36" s="1262" t="s">
        <v>1282</v>
      </c>
      <c r="B36" s="1262"/>
      <c r="C36" s="1262"/>
      <c r="D36" s="1262"/>
      <c r="E36" s="1262"/>
    </row>
    <row r="37" spans="1:5" ht="18" customHeight="1" x14ac:dyDescent="0.25">
      <c r="A37" s="891"/>
      <c r="B37" s="891"/>
      <c r="C37" s="891"/>
      <c r="D37" s="891"/>
      <c r="E37" s="891"/>
    </row>
    <row r="38" spans="1:5" ht="18" customHeight="1" x14ac:dyDescent="0.25">
      <c r="A38" s="1260" t="s">
        <v>1283</v>
      </c>
      <c r="B38" s="1260"/>
      <c r="C38" s="1260"/>
      <c r="D38" s="1260"/>
      <c r="E38" s="1260"/>
    </row>
    <row r="39" spans="1:5" ht="40.5" customHeight="1" x14ac:dyDescent="0.25">
      <c r="A39" s="1261" t="s">
        <v>1284</v>
      </c>
      <c r="B39" s="1261"/>
      <c r="C39" s="1261"/>
      <c r="D39" s="1261"/>
      <c r="E39" s="1261"/>
    </row>
    <row r="40" spans="1:5" ht="17.25" customHeight="1" x14ac:dyDescent="0.25">
      <c r="A40" s="1261" t="s">
        <v>1285</v>
      </c>
      <c r="B40" s="1261"/>
      <c r="C40" s="1261"/>
      <c r="D40" s="1261"/>
      <c r="E40" s="1261"/>
    </row>
    <row r="41" spans="1:5" ht="26.25" customHeight="1" x14ac:dyDescent="0.25"/>
    <row r="43" spans="1:5" ht="16.5" customHeight="1" x14ac:dyDescent="0.25"/>
    <row r="44" spans="1:5" ht="22.5" customHeight="1" x14ac:dyDescent="0.25"/>
    <row r="45" spans="1:5" ht="13.5" customHeight="1" x14ac:dyDescent="0.25"/>
  </sheetData>
  <sheetProtection algorithmName="SHA-512" hashValue="ZQDSQ5UJntxcI/OS++AhZsoabS2NNeXkyTJBJD8kPPo0mMyv0R2/sHDVwzJPRzIMDPgMe1MlynkCe/6d6KMxHQ==" saltValue="4DXsXZTpeGvYn+1SJMrP5w==" spinCount="100000" sheet="1" formatCells="0" formatColumns="0" formatRows="0" insertRows="0" autoFilter="0" pivotTables="0"/>
  <mergeCells count="35">
    <mergeCell ref="A35:E35"/>
    <mergeCell ref="A36:E36"/>
    <mergeCell ref="A38:E38"/>
    <mergeCell ref="A39:E39"/>
    <mergeCell ref="A40:E40"/>
    <mergeCell ref="A30:E30"/>
    <mergeCell ref="A31:E31"/>
    <mergeCell ref="A32:E32"/>
    <mergeCell ref="A33:E33"/>
    <mergeCell ref="A34:E34"/>
    <mergeCell ref="A25:E25"/>
    <mergeCell ref="A26:E26"/>
    <mergeCell ref="A27:E27"/>
    <mergeCell ref="A28:E28"/>
    <mergeCell ref="A29:E29"/>
    <mergeCell ref="A20:E20"/>
    <mergeCell ref="A21:E21"/>
    <mergeCell ref="A22:E22"/>
    <mergeCell ref="A23:E23"/>
    <mergeCell ref="A24:E24"/>
    <mergeCell ref="A14:E14"/>
    <mergeCell ref="A15:E15"/>
    <mergeCell ref="A17:E17"/>
    <mergeCell ref="A18:E18"/>
    <mergeCell ref="A19:E19"/>
    <mergeCell ref="A9:E9"/>
    <mergeCell ref="A10:E10"/>
    <mergeCell ref="A11:E11"/>
    <mergeCell ref="A12:E12"/>
    <mergeCell ref="A13:E13"/>
    <mergeCell ref="B1:C1"/>
    <mergeCell ref="B2:C2"/>
    <mergeCell ref="A5:E5"/>
    <mergeCell ref="A7:E7"/>
    <mergeCell ref="A8:E8"/>
  </mergeCells>
  <hyperlinks>
    <hyperlink ref="D1" location="ins" display="Instructivo" xr:uid="{00000000-0004-0000-2200-000000000000}"/>
    <hyperlink ref="E1" location="ppta" display="Propuesta económica Opc 1" xr:uid="{00000000-0004-0000-2200-000001000000}"/>
    <hyperlink ref="E2" location="PPTA2" display="Propuesta económica Opc 2" xr:uid="{00000000-0004-0000-2200-000002000000}"/>
    <hyperlink ref="E3" location="ppta3" display="Propuesta económica Opc 3" xr:uid="{00000000-0004-0000-2200-000003000000}"/>
  </hyperlinks>
  <printOptions horizontalCentered="1"/>
  <pageMargins left="0" right="0" top="0" bottom="0" header="0.511811023622047" footer="0.511811023622047"/>
  <pageSetup fitToHeight="0" orientation="landscape" horizontalDpi="300" verticalDpi="300"/>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AX42"/>
  <sheetViews>
    <sheetView showGridLines="0" zoomScaleNormal="100" workbookViewId="0">
      <selection activeCell="K15" sqref="K15"/>
    </sheetView>
  </sheetViews>
  <sheetFormatPr baseColWidth="10" defaultColWidth="11.33203125" defaultRowHeight="18" customHeight="1" x14ac:dyDescent="0.25"/>
  <cols>
    <col min="1" max="1" width="24.33203125" style="481" customWidth="1"/>
    <col min="2" max="2" width="47.109375" style="481" customWidth="1"/>
    <col min="3" max="3" width="19.77734375" style="481" customWidth="1"/>
    <col min="4" max="4" width="18.6640625" style="481" customWidth="1"/>
    <col min="5" max="5" width="6.33203125" style="482" customWidth="1"/>
    <col min="6" max="6" width="16.77734375" style="483" customWidth="1"/>
    <col min="7" max="50" width="11.33203125" style="483"/>
    <col min="51" max="16384" width="11.33203125" style="481"/>
  </cols>
  <sheetData>
    <row r="1" spans="1:11" s="15" customFormat="1" ht="39" customHeight="1" x14ac:dyDescent="0.25">
      <c r="B1" s="1129" t="str">
        <f>Instructivo!F1</f>
        <v>Sistema de Gestión Integral (SGI)
Instructivo - Componente Financiero EP
Código: F-PGC-21. Versión: 05</v>
      </c>
      <c r="C1" s="1129"/>
      <c r="D1" s="132" t="s">
        <v>102</v>
      </c>
      <c r="E1" s="851"/>
    </row>
    <row r="2" spans="1:11" s="15" customFormat="1" ht="17.25" customHeight="1" x14ac:dyDescent="0.25">
      <c r="B2" s="1173" t="s">
        <v>1286</v>
      </c>
      <c r="C2" s="1173"/>
      <c r="D2" s="132" t="s">
        <v>74</v>
      </c>
      <c r="E2" s="852"/>
      <c r="I2" s="441"/>
      <c r="J2" s="420"/>
      <c r="K2" s="378"/>
    </row>
    <row r="3" spans="1:11" ht="9" customHeight="1" x14ac:dyDescent="0.25"/>
    <row r="4" spans="1:11" s="483" customFormat="1" ht="9" customHeight="1" x14ac:dyDescent="0.25">
      <c r="A4" s="405"/>
      <c r="B4" s="136"/>
      <c r="C4" s="136"/>
      <c r="D4" s="136"/>
      <c r="E4" s="136"/>
    </row>
    <row r="5" spans="1:11" s="483" customFormat="1" ht="18" customHeight="1" x14ac:dyDescent="0.25">
      <c r="A5" s="1115" t="s">
        <v>1287</v>
      </c>
      <c r="B5" s="1115"/>
      <c r="C5" s="1115"/>
      <c r="D5" s="1115"/>
      <c r="E5" s="1115"/>
    </row>
    <row r="6" spans="1:11" s="483" customFormat="1" ht="18" customHeight="1" x14ac:dyDescent="0.25">
      <c r="E6" s="492"/>
    </row>
    <row r="7" spans="1:11" s="483" customFormat="1" ht="18" customHeight="1" x14ac:dyDescent="0.25">
      <c r="A7" s="1115" t="s">
        <v>1288</v>
      </c>
      <c r="B7" s="1115"/>
      <c r="C7" s="1115"/>
      <c r="D7" s="1115"/>
      <c r="E7" s="1115"/>
    </row>
    <row r="8" spans="1:11" s="483" customFormat="1" ht="25.5" customHeight="1" x14ac:dyDescent="0.25">
      <c r="A8" s="892" t="s">
        <v>1289</v>
      </c>
      <c r="B8" s="1263" t="s">
        <v>1290</v>
      </c>
      <c r="C8" s="1263"/>
      <c r="D8" s="1263"/>
      <c r="E8" s="1263"/>
    </row>
    <row r="9" spans="1:11" s="483" customFormat="1" ht="32.25" customHeight="1" x14ac:dyDescent="0.25">
      <c r="A9" s="893" t="s">
        <v>1291</v>
      </c>
      <c r="B9" s="1264" t="s">
        <v>1292</v>
      </c>
      <c r="C9" s="1264"/>
      <c r="D9" s="1264"/>
      <c r="E9" s="1264"/>
    </row>
    <row r="10" spans="1:11" ht="30.75" customHeight="1" x14ac:dyDescent="0.25">
      <c r="A10" s="893" t="s">
        <v>1293</v>
      </c>
      <c r="B10" s="1264" t="s">
        <v>1294</v>
      </c>
      <c r="C10" s="1264"/>
      <c r="D10" s="1264"/>
      <c r="E10" s="1264"/>
    </row>
    <row r="11" spans="1:11" ht="68.25" customHeight="1" x14ac:dyDescent="0.25">
      <c r="A11" s="893" t="s">
        <v>1295</v>
      </c>
      <c r="B11" s="1264" t="s">
        <v>1296</v>
      </c>
      <c r="C11" s="1264"/>
      <c r="D11" s="1264"/>
      <c r="E11" s="1264"/>
    </row>
    <row r="12" spans="1:11" ht="18" customHeight="1" x14ac:dyDescent="0.25">
      <c r="A12" s="894"/>
      <c r="B12" s="894"/>
      <c r="C12" s="894"/>
      <c r="D12" s="894"/>
      <c r="E12" s="403"/>
    </row>
    <row r="13" spans="1:11" ht="18" customHeight="1" x14ac:dyDescent="0.25">
      <c r="A13" s="1265" t="s">
        <v>1297</v>
      </c>
      <c r="B13" s="1265"/>
      <c r="C13" s="1265"/>
      <c r="D13" s="1265"/>
      <c r="E13" s="1265"/>
    </row>
    <row r="14" spans="1:11" ht="27.75" customHeight="1" x14ac:dyDescent="0.25">
      <c r="A14" s="892" t="s">
        <v>1289</v>
      </c>
      <c r="B14" s="1263" t="s">
        <v>1290</v>
      </c>
      <c r="C14" s="1263"/>
      <c r="D14" s="1263"/>
      <c r="E14" s="1263"/>
    </row>
    <row r="15" spans="1:11" ht="40.5" customHeight="1" x14ac:dyDescent="0.25">
      <c r="A15" s="893" t="s">
        <v>1298</v>
      </c>
      <c r="B15" s="1264" t="s">
        <v>1299</v>
      </c>
      <c r="C15" s="1264"/>
      <c r="D15" s="1264"/>
      <c r="E15" s="1264"/>
    </row>
    <row r="16" spans="1:11" ht="39.75" customHeight="1" x14ac:dyDescent="0.25">
      <c r="A16" s="893" t="s">
        <v>1300</v>
      </c>
      <c r="B16" s="1264" t="s">
        <v>1301</v>
      </c>
      <c r="C16" s="1264"/>
      <c r="D16" s="1264"/>
      <c r="E16" s="1264"/>
    </row>
    <row r="17" spans="1:5" ht="18" customHeight="1" x14ac:dyDescent="0.25">
      <c r="A17" s="894"/>
      <c r="B17" s="894"/>
      <c r="C17" s="894"/>
      <c r="D17" s="894"/>
      <c r="E17" s="403"/>
    </row>
    <row r="18" spans="1:5" ht="18" customHeight="1" x14ac:dyDescent="0.25">
      <c r="A18" s="1266" t="s">
        <v>1302</v>
      </c>
      <c r="B18" s="1266"/>
      <c r="C18" s="1266"/>
      <c r="D18" s="1266"/>
      <c r="E18" s="1266"/>
    </row>
    <row r="19" spans="1:5" ht="15.75" customHeight="1" x14ac:dyDescent="0.25">
      <c r="A19" s="1267" t="s">
        <v>1303</v>
      </c>
      <c r="B19" s="1267"/>
      <c r="C19" s="1267"/>
      <c r="D19" s="1267"/>
      <c r="E19" s="1267"/>
    </row>
    <row r="20" spans="1:5" ht="156" customHeight="1" x14ac:dyDescent="0.25">
      <c r="A20" s="1268" t="s">
        <v>1304</v>
      </c>
      <c r="B20" s="1268"/>
      <c r="C20" s="1268"/>
      <c r="D20" s="1268"/>
      <c r="E20" s="1268"/>
    </row>
    <row r="21" spans="1:5" ht="198" customHeight="1" x14ac:dyDescent="0.25">
      <c r="A21" s="1269" t="s">
        <v>1305</v>
      </c>
      <c r="B21" s="1269"/>
      <c r="C21" s="1269"/>
      <c r="D21" s="1269"/>
      <c r="E21" s="1269"/>
    </row>
    <row r="22" spans="1:5" ht="116.25" customHeight="1" x14ac:dyDescent="0.25">
      <c r="A22" s="1268" t="s">
        <v>1306</v>
      </c>
      <c r="B22" s="1268"/>
      <c r="C22" s="1268"/>
      <c r="D22" s="1268"/>
      <c r="E22" s="1268"/>
    </row>
    <row r="23" spans="1:5" ht="186" customHeight="1" x14ac:dyDescent="0.25">
      <c r="A23" s="1268" t="s">
        <v>1307</v>
      </c>
      <c r="B23" s="1268"/>
      <c r="C23" s="1268"/>
      <c r="D23" s="1268"/>
      <c r="E23" s="1268"/>
    </row>
    <row r="24" spans="1:5" ht="135" customHeight="1" x14ac:dyDescent="0.25">
      <c r="A24" s="1269" t="s">
        <v>1308</v>
      </c>
      <c r="B24" s="1269"/>
      <c r="C24" s="1269"/>
      <c r="D24" s="1269"/>
      <c r="E24" s="1269"/>
    </row>
    <row r="25" spans="1:5" ht="171" customHeight="1" x14ac:dyDescent="0.25">
      <c r="A25" s="1268" t="s">
        <v>1309</v>
      </c>
      <c r="B25" s="1268"/>
      <c r="C25" s="1268"/>
      <c r="D25" s="1268"/>
      <c r="E25" s="1268"/>
    </row>
    <row r="26" spans="1:5" ht="83.25" customHeight="1" x14ac:dyDescent="0.25">
      <c r="A26" s="1270" t="s">
        <v>1310</v>
      </c>
      <c r="B26" s="1270"/>
      <c r="C26" s="1270"/>
      <c r="D26" s="1270"/>
      <c r="E26" s="1270"/>
    </row>
    <row r="28" spans="1:5" ht="18" customHeight="1" x14ac:dyDescent="0.25">
      <c r="A28" s="1115" t="s">
        <v>1311</v>
      </c>
      <c r="B28" s="1115"/>
      <c r="C28" s="1115"/>
      <c r="D28" s="1115"/>
      <c r="E28" s="1115"/>
    </row>
    <row r="29" spans="1:5" ht="27" customHeight="1" x14ac:dyDescent="0.25">
      <c r="A29" s="892" t="s">
        <v>1289</v>
      </c>
      <c r="B29" s="1263" t="s">
        <v>1290</v>
      </c>
      <c r="C29" s="1263"/>
      <c r="D29" s="1263"/>
      <c r="E29" s="1263"/>
    </row>
    <row r="30" spans="1:5" ht="32.25" customHeight="1" x14ac:dyDescent="0.25">
      <c r="A30" s="893" t="s">
        <v>1291</v>
      </c>
      <c r="B30" s="1264" t="s">
        <v>1292</v>
      </c>
      <c r="C30" s="1264"/>
      <c r="D30" s="1264"/>
      <c r="E30" s="1264"/>
    </row>
    <row r="31" spans="1:5" ht="32.25" customHeight="1" x14ac:dyDescent="0.25">
      <c r="A31" s="893" t="s">
        <v>1293</v>
      </c>
      <c r="B31" s="1264" t="s">
        <v>1312</v>
      </c>
      <c r="C31" s="1264"/>
      <c r="D31" s="1264"/>
      <c r="E31" s="1264"/>
    </row>
    <row r="32" spans="1:5" ht="79.5" customHeight="1" x14ac:dyDescent="0.25">
      <c r="A32" s="893" t="s">
        <v>1295</v>
      </c>
      <c r="B32" s="1264" t="s">
        <v>1313</v>
      </c>
      <c r="C32" s="1264"/>
      <c r="D32" s="1264"/>
      <c r="E32" s="1264"/>
    </row>
    <row r="33" spans="1:5" ht="18" customHeight="1" x14ac:dyDescent="0.25">
      <c r="A33" s="894"/>
      <c r="B33" s="894"/>
      <c r="C33" s="894"/>
      <c r="D33" s="894"/>
      <c r="E33" s="403"/>
    </row>
    <row r="34" spans="1:5" ht="18" customHeight="1" x14ac:dyDescent="0.25">
      <c r="A34" s="1265" t="s">
        <v>1314</v>
      </c>
      <c r="B34" s="1265"/>
      <c r="C34" s="1265"/>
      <c r="D34" s="1265"/>
      <c r="E34" s="1265"/>
    </row>
    <row r="35" spans="1:5" ht="27" customHeight="1" x14ac:dyDescent="0.25">
      <c r="A35" s="892" t="s">
        <v>1289</v>
      </c>
      <c r="B35" s="1263" t="s">
        <v>1290</v>
      </c>
      <c r="C35" s="1263"/>
      <c r="D35" s="1263"/>
      <c r="E35" s="1263"/>
    </row>
    <row r="36" spans="1:5" ht="43.5" customHeight="1" x14ac:dyDescent="0.25">
      <c r="A36" s="893" t="s">
        <v>1298</v>
      </c>
      <c r="B36" s="1264" t="s">
        <v>1315</v>
      </c>
      <c r="C36" s="1264"/>
      <c r="D36" s="1264"/>
      <c r="E36" s="1264"/>
    </row>
    <row r="37" spans="1:5" ht="43.5" customHeight="1" x14ac:dyDescent="0.25">
      <c r="A37" s="893" t="s">
        <v>1300</v>
      </c>
      <c r="B37" s="1264" t="s">
        <v>1316</v>
      </c>
      <c r="C37" s="1264"/>
      <c r="D37" s="1264"/>
      <c r="E37" s="1264"/>
    </row>
    <row r="39" spans="1:5" ht="32.25" customHeight="1" x14ac:dyDescent="0.25">
      <c r="A39" s="1271" t="s">
        <v>1317</v>
      </c>
      <c r="B39" s="1271"/>
      <c r="C39" s="1271"/>
      <c r="D39" s="1271"/>
      <c r="E39" s="1271"/>
    </row>
    <row r="41" spans="1:5" ht="272.25" customHeight="1" x14ac:dyDescent="0.25">
      <c r="A41" s="1272" t="s">
        <v>1318</v>
      </c>
      <c r="B41" s="1272"/>
      <c r="C41" s="1272"/>
      <c r="D41" s="1272"/>
      <c r="E41" s="1272"/>
    </row>
    <row r="42" spans="1:5" ht="105.75" customHeight="1" x14ac:dyDescent="0.25">
      <c r="A42" s="1273" t="s">
        <v>1319</v>
      </c>
      <c r="B42" s="1273"/>
      <c r="C42" s="1273"/>
      <c r="D42" s="1273"/>
      <c r="E42" s="1273"/>
    </row>
  </sheetData>
  <sheetProtection algorithmName="SHA-512" hashValue="xBuxgrInXMmsmZgLfspBV6mxPq3RbyHNS0lvNxjVNzqAB/nZY5bAvH6KbNDufITlT8hz6xQfW1XCjthEEaAR3g==" saltValue="5q+cqQdZvy3HreFHYosc6w==" spinCount="100000" sheet="1" formatCells="0" formatColumns="0" formatRows="0" insertRows="0" autoFilter="0" pivotTables="0"/>
  <mergeCells count="33">
    <mergeCell ref="A39:E39"/>
    <mergeCell ref="A41:E41"/>
    <mergeCell ref="A42:E42"/>
    <mergeCell ref="B32:E32"/>
    <mergeCell ref="A34:E34"/>
    <mergeCell ref="B35:E35"/>
    <mergeCell ref="B36:E36"/>
    <mergeCell ref="B37:E37"/>
    <mergeCell ref="A26:E26"/>
    <mergeCell ref="A28:E28"/>
    <mergeCell ref="B29:E29"/>
    <mergeCell ref="B30:E30"/>
    <mergeCell ref="B31:E31"/>
    <mergeCell ref="A21:E21"/>
    <mergeCell ref="A22:E22"/>
    <mergeCell ref="A23:E23"/>
    <mergeCell ref="A24:E24"/>
    <mergeCell ref="A25:E25"/>
    <mergeCell ref="B15:E15"/>
    <mergeCell ref="B16:E16"/>
    <mergeCell ref="A18:E18"/>
    <mergeCell ref="A19:E19"/>
    <mergeCell ref="A20:E20"/>
    <mergeCell ref="B9:E9"/>
    <mergeCell ref="B10:E10"/>
    <mergeCell ref="B11:E11"/>
    <mergeCell ref="A13:E13"/>
    <mergeCell ref="B14:E14"/>
    <mergeCell ref="B1:C1"/>
    <mergeCell ref="B2:C2"/>
    <mergeCell ref="A5:E5"/>
    <mergeCell ref="A7:E7"/>
    <mergeCell ref="B8:E8"/>
  </mergeCells>
  <hyperlinks>
    <hyperlink ref="D1" location="ins" display="Instructivo" xr:uid="{00000000-0004-0000-2300-000000000000}"/>
    <hyperlink ref="D2" location="evafin" display="Verificación de requisitos habilitantes de los proponentes sobre capacidad financiera y organizacional" xr:uid="{00000000-0004-0000-2300-000001000000}"/>
  </hyperlinks>
  <printOptions horizontalCentered="1"/>
  <pageMargins left="0" right="0" top="0" bottom="0" header="0.511811023622047" footer="0.511811023622047"/>
  <pageSetup fitToHeight="0" orientation="landscape" horizontalDpi="300" verticalDpi="300"/>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K49"/>
  <sheetViews>
    <sheetView showGridLines="0" zoomScaleNormal="100" workbookViewId="0">
      <selection activeCell="B10" sqref="B10"/>
    </sheetView>
  </sheetViews>
  <sheetFormatPr baseColWidth="10" defaultColWidth="12" defaultRowHeight="19.5" customHeight="1" x14ac:dyDescent="0.25"/>
  <cols>
    <col min="1" max="1" width="32.33203125" style="140" customWidth="1"/>
    <col min="2" max="2" width="25.109375" style="140" customWidth="1"/>
    <col min="3" max="3" width="15" style="140" customWidth="1"/>
    <col min="4" max="4" width="25" style="140" customWidth="1"/>
    <col min="5" max="6" width="12" style="140"/>
    <col min="7" max="7" width="15" style="140" customWidth="1"/>
    <col min="8" max="202" width="12" style="140"/>
    <col min="203" max="203" width="36.33203125" style="140" customWidth="1"/>
    <col min="204" max="204" width="22.33203125" style="140" customWidth="1"/>
    <col min="205" max="205" width="12" style="140"/>
    <col min="206" max="206" width="14.33203125" style="140" customWidth="1"/>
    <col min="207" max="458" width="12" style="140"/>
    <col min="459" max="459" width="36.33203125" style="140" customWidth="1"/>
    <col min="460" max="460" width="22.33203125" style="140" customWidth="1"/>
    <col min="461" max="461" width="12" style="140"/>
    <col min="462" max="462" width="14.33203125" style="140" customWidth="1"/>
    <col min="463" max="714" width="12" style="140"/>
    <col min="715" max="715" width="36.33203125" style="140" customWidth="1"/>
    <col min="716" max="716" width="22.33203125" style="140" customWidth="1"/>
    <col min="717" max="717" width="12" style="140"/>
    <col min="718" max="718" width="14.33203125" style="140" customWidth="1"/>
    <col min="719" max="970" width="12" style="140"/>
    <col min="971" max="971" width="36.33203125" style="140" customWidth="1"/>
    <col min="972" max="972" width="22.33203125" style="140" customWidth="1"/>
    <col min="973" max="973" width="12" style="140"/>
    <col min="974" max="974" width="14.33203125" style="140" customWidth="1"/>
    <col min="975" max="1226" width="12" style="140"/>
    <col min="1227" max="1227" width="36.33203125" style="140" customWidth="1"/>
    <col min="1228" max="1228" width="22.33203125" style="140" customWidth="1"/>
    <col min="1229" max="1229" width="12" style="140"/>
    <col min="1230" max="1230" width="14.33203125" style="140" customWidth="1"/>
    <col min="1231" max="1482" width="12" style="140"/>
    <col min="1483" max="1483" width="36.33203125" style="140" customWidth="1"/>
    <col min="1484" max="1484" width="22.33203125" style="140" customWidth="1"/>
    <col min="1485" max="1485" width="12" style="140"/>
    <col min="1486" max="1486" width="14.33203125" style="140" customWidth="1"/>
    <col min="1487" max="1738" width="12" style="140"/>
    <col min="1739" max="1739" width="36.33203125" style="140" customWidth="1"/>
    <col min="1740" max="1740" width="22.33203125" style="140" customWidth="1"/>
    <col min="1741" max="1741" width="12" style="140"/>
    <col min="1742" max="1742" width="14.33203125" style="140" customWidth="1"/>
    <col min="1743" max="1994" width="12" style="140"/>
    <col min="1995" max="1995" width="36.33203125" style="140" customWidth="1"/>
    <col min="1996" max="1996" width="22.33203125" style="140" customWidth="1"/>
    <col min="1997" max="1997" width="12" style="140"/>
    <col min="1998" max="1998" width="14.33203125" style="140" customWidth="1"/>
    <col min="1999" max="2250" width="12" style="140"/>
    <col min="2251" max="2251" width="36.33203125" style="140" customWidth="1"/>
    <col min="2252" max="2252" width="22.33203125" style="140" customWidth="1"/>
    <col min="2253" max="2253" width="12" style="140"/>
    <col min="2254" max="2254" width="14.33203125" style="140" customWidth="1"/>
    <col min="2255" max="2506" width="12" style="140"/>
    <col min="2507" max="2507" width="36.33203125" style="140" customWidth="1"/>
    <col min="2508" max="2508" width="22.33203125" style="140" customWidth="1"/>
    <col min="2509" max="2509" width="12" style="140"/>
    <col min="2510" max="2510" width="14.33203125" style="140" customWidth="1"/>
    <col min="2511" max="2762" width="12" style="140"/>
    <col min="2763" max="2763" width="36.33203125" style="140" customWidth="1"/>
    <col min="2764" max="2764" width="22.33203125" style="140" customWidth="1"/>
    <col min="2765" max="2765" width="12" style="140"/>
    <col min="2766" max="2766" width="14.33203125" style="140" customWidth="1"/>
    <col min="2767" max="3018" width="12" style="140"/>
    <col min="3019" max="3019" width="36.33203125" style="140" customWidth="1"/>
    <col min="3020" max="3020" width="22.33203125" style="140" customWidth="1"/>
    <col min="3021" max="3021" width="12" style="140"/>
    <col min="3022" max="3022" width="14.33203125" style="140" customWidth="1"/>
    <col min="3023" max="3274" width="12" style="140"/>
    <col min="3275" max="3275" width="36.33203125" style="140" customWidth="1"/>
    <col min="3276" max="3276" width="22.33203125" style="140" customWidth="1"/>
    <col min="3277" max="3277" width="12" style="140"/>
    <col min="3278" max="3278" width="14.33203125" style="140" customWidth="1"/>
    <col min="3279" max="3530" width="12" style="140"/>
    <col min="3531" max="3531" width="36.33203125" style="140" customWidth="1"/>
    <col min="3532" max="3532" width="22.33203125" style="140" customWidth="1"/>
    <col min="3533" max="3533" width="12" style="140"/>
    <col min="3534" max="3534" width="14.33203125" style="140" customWidth="1"/>
    <col min="3535" max="3786" width="12" style="140"/>
    <col min="3787" max="3787" width="36.33203125" style="140" customWidth="1"/>
    <col min="3788" max="3788" width="22.33203125" style="140" customWidth="1"/>
    <col min="3789" max="3789" width="12" style="140"/>
    <col min="3790" max="3790" width="14.33203125" style="140" customWidth="1"/>
    <col min="3791" max="4042" width="12" style="140"/>
    <col min="4043" max="4043" width="36.33203125" style="140" customWidth="1"/>
    <col min="4044" max="4044" width="22.33203125" style="140" customWidth="1"/>
    <col min="4045" max="4045" width="12" style="140"/>
    <col min="4046" max="4046" width="14.33203125" style="140" customWidth="1"/>
    <col min="4047" max="4298" width="12" style="140"/>
    <col min="4299" max="4299" width="36.33203125" style="140" customWidth="1"/>
    <col min="4300" max="4300" width="22.33203125" style="140" customWidth="1"/>
    <col min="4301" max="4301" width="12" style="140"/>
    <col min="4302" max="4302" width="14.33203125" style="140" customWidth="1"/>
    <col min="4303" max="4554" width="12" style="140"/>
    <col min="4555" max="4555" width="36.33203125" style="140" customWidth="1"/>
    <col min="4556" max="4556" width="22.33203125" style="140" customWidth="1"/>
    <col min="4557" max="4557" width="12" style="140"/>
    <col min="4558" max="4558" width="14.33203125" style="140" customWidth="1"/>
    <col min="4559" max="4810" width="12" style="140"/>
    <col min="4811" max="4811" width="36.33203125" style="140" customWidth="1"/>
    <col min="4812" max="4812" width="22.33203125" style="140" customWidth="1"/>
    <col min="4813" max="4813" width="12" style="140"/>
    <col min="4814" max="4814" width="14.33203125" style="140" customWidth="1"/>
    <col min="4815" max="5066" width="12" style="140"/>
    <col min="5067" max="5067" width="36.33203125" style="140" customWidth="1"/>
    <col min="5068" max="5068" width="22.33203125" style="140" customWidth="1"/>
    <col min="5069" max="5069" width="12" style="140"/>
    <col min="5070" max="5070" width="14.33203125" style="140" customWidth="1"/>
    <col min="5071" max="5322" width="12" style="140"/>
    <col min="5323" max="5323" width="36.33203125" style="140" customWidth="1"/>
    <col min="5324" max="5324" width="22.33203125" style="140" customWidth="1"/>
    <col min="5325" max="5325" width="12" style="140"/>
    <col min="5326" max="5326" width="14.33203125" style="140" customWidth="1"/>
    <col min="5327" max="5578" width="12" style="140"/>
    <col min="5579" max="5579" width="36.33203125" style="140" customWidth="1"/>
    <col min="5580" max="5580" width="22.33203125" style="140" customWidth="1"/>
    <col min="5581" max="5581" width="12" style="140"/>
    <col min="5582" max="5582" width="14.33203125" style="140" customWidth="1"/>
    <col min="5583" max="5834" width="12" style="140"/>
    <col min="5835" max="5835" width="36.33203125" style="140" customWidth="1"/>
    <col min="5836" max="5836" width="22.33203125" style="140" customWidth="1"/>
    <col min="5837" max="5837" width="12" style="140"/>
    <col min="5838" max="5838" width="14.33203125" style="140" customWidth="1"/>
    <col min="5839" max="6090" width="12" style="140"/>
    <col min="6091" max="6091" width="36.33203125" style="140" customWidth="1"/>
    <col min="6092" max="6092" width="22.33203125" style="140" customWidth="1"/>
    <col min="6093" max="6093" width="12" style="140"/>
    <col min="6094" max="6094" width="14.33203125" style="140" customWidth="1"/>
    <col min="6095" max="6346" width="12" style="140"/>
    <col min="6347" max="6347" width="36.33203125" style="140" customWidth="1"/>
    <col min="6348" max="6348" width="22.33203125" style="140" customWidth="1"/>
    <col min="6349" max="6349" width="12" style="140"/>
    <col min="6350" max="6350" width="14.33203125" style="140" customWidth="1"/>
    <col min="6351" max="6602" width="12" style="140"/>
    <col min="6603" max="6603" width="36.33203125" style="140" customWidth="1"/>
    <col min="6604" max="6604" width="22.33203125" style="140" customWidth="1"/>
    <col min="6605" max="6605" width="12" style="140"/>
    <col min="6606" max="6606" width="14.33203125" style="140" customWidth="1"/>
    <col min="6607" max="6858" width="12" style="140"/>
    <col min="6859" max="6859" width="36.33203125" style="140" customWidth="1"/>
    <col min="6860" max="6860" width="22.33203125" style="140" customWidth="1"/>
    <col min="6861" max="6861" width="12" style="140"/>
    <col min="6862" max="6862" width="14.33203125" style="140" customWidth="1"/>
    <col min="6863" max="7114" width="12" style="140"/>
    <col min="7115" max="7115" width="36.33203125" style="140" customWidth="1"/>
    <col min="7116" max="7116" width="22.33203125" style="140" customWidth="1"/>
    <col min="7117" max="7117" width="12" style="140"/>
    <col min="7118" max="7118" width="14.33203125" style="140" customWidth="1"/>
    <col min="7119" max="7370" width="12" style="140"/>
    <col min="7371" max="7371" width="36.33203125" style="140" customWidth="1"/>
    <col min="7372" max="7372" width="22.33203125" style="140" customWidth="1"/>
    <col min="7373" max="7373" width="12" style="140"/>
    <col min="7374" max="7374" width="14.33203125" style="140" customWidth="1"/>
    <col min="7375" max="7626" width="12" style="140"/>
    <col min="7627" max="7627" width="36.33203125" style="140" customWidth="1"/>
    <col min="7628" max="7628" width="22.33203125" style="140" customWidth="1"/>
    <col min="7629" max="7629" width="12" style="140"/>
    <col min="7630" max="7630" width="14.33203125" style="140" customWidth="1"/>
    <col min="7631" max="7882" width="12" style="140"/>
    <col min="7883" max="7883" width="36.33203125" style="140" customWidth="1"/>
    <col min="7884" max="7884" width="22.33203125" style="140" customWidth="1"/>
    <col min="7885" max="7885" width="12" style="140"/>
    <col min="7886" max="7886" width="14.33203125" style="140" customWidth="1"/>
    <col min="7887" max="8138" width="12" style="140"/>
    <col min="8139" max="8139" width="36.33203125" style="140" customWidth="1"/>
    <col min="8140" max="8140" width="22.33203125" style="140" customWidth="1"/>
    <col min="8141" max="8141" width="12" style="140"/>
    <col min="8142" max="8142" width="14.33203125" style="140" customWidth="1"/>
    <col min="8143" max="8394" width="12" style="140"/>
    <col min="8395" max="8395" width="36.33203125" style="140" customWidth="1"/>
    <col min="8396" max="8396" width="22.33203125" style="140" customWidth="1"/>
    <col min="8397" max="8397" width="12" style="140"/>
    <col min="8398" max="8398" width="14.33203125" style="140" customWidth="1"/>
    <col min="8399" max="8650" width="12" style="140"/>
    <col min="8651" max="8651" width="36.33203125" style="140" customWidth="1"/>
    <col min="8652" max="8652" width="22.33203125" style="140" customWidth="1"/>
    <col min="8653" max="8653" width="12" style="140"/>
    <col min="8654" max="8654" width="14.33203125" style="140" customWidth="1"/>
    <col min="8655" max="8906" width="12" style="140"/>
    <col min="8907" max="8907" width="36.33203125" style="140" customWidth="1"/>
    <col min="8908" max="8908" width="22.33203125" style="140" customWidth="1"/>
    <col min="8909" max="8909" width="12" style="140"/>
    <col min="8910" max="8910" width="14.33203125" style="140" customWidth="1"/>
    <col min="8911" max="9162" width="12" style="140"/>
    <col min="9163" max="9163" width="36.33203125" style="140" customWidth="1"/>
    <col min="9164" max="9164" width="22.33203125" style="140" customWidth="1"/>
    <col min="9165" max="9165" width="12" style="140"/>
    <col min="9166" max="9166" width="14.33203125" style="140" customWidth="1"/>
    <col min="9167" max="9418" width="12" style="140"/>
    <col min="9419" max="9419" width="36.33203125" style="140" customWidth="1"/>
    <col min="9420" max="9420" width="22.33203125" style="140" customWidth="1"/>
    <col min="9421" max="9421" width="12" style="140"/>
    <col min="9422" max="9422" width="14.33203125" style="140" customWidth="1"/>
    <col min="9423" max="9674" width="12" style="140"/>
    <col min="9675" max="9675" width="36.33203125" style="140" customWidth="1"/>
    <col min="9676" max="9676" width="22.33203125" style="140" customWidth="1"/>
    <col min="9677" max="9677" width="12" style="140"/>
    <col min="9678" max="9678" width="14.33203125" style="140" customWidth="1"/>
    <col min="9679" max="9930" width="12" style="140"/>
    <col min="9931" max="9931" width="36.33203125" style="140" customWidth="1"/>
    <col min="9932" max="9932" width="22.33203125" style="140" customWidth="1"/>
    <col min="9933" max="9933" width="12" style="140"/>
    <col min="9934" max="9934" width="14.33203125" style="140" customWidth="1"/>
    <col min="9935" max="10186" width="12" style="140"/>
    <col min="10187" max="10187" width="36.33203125" style="140" customWidth="1"/>
    <col min="10188" max="10188" width="22.33203125" style="140" customWidth="1"/>
    <col min="10189" max="10189" width="12" style="140"/>
    <col min="10190" max="10190" width="14.33203125" style="140" customWidth="1"/>
    <col min="10191" max="10442" width="12" style="140"/>
    <col min="10443" max="10443" width="36.33203125" style="140" customWidth="1"/>
    <col min="10444" max="10444" width="22.33203125" style="140" customWidth="1"/>
    <col min="10445" max="10445" width="12" style="140"/>
    <col min="10446" max="10446" width="14.33203125" style="140" customWidth="1"/>
    <col min="10447" max="10698" width="12" style="140"/>
    <col min="10699" max="10699" width="36.33203125" style="140" customWidth="1"/>
    <col min="10700" max="10700" width="22.33203125" style="140" customWidth="1"/>
    <col min="10701" max="10701" width="12" style="140"/>
    <col min="10702" max="10702" width="14.33203125" style="140" customWidth="1"/>
    <col min="10703" max="10954" width="12" style="140"/>
    <col min="10955" max="10955" width="36.33203125" style="140" customWidth="1"/>
    <col min="10956" max="10956" width="22.33203125" style="140" customWidth="1"/>
    <col min="10957" max="10957" width="12" style="140"/>
    <col min="10958" max="10958" width="14.33203125" style="140" customWidth="1"/>
    <col min="10959" max="11210" width="12" style="140"/>
    <col min="11211" max="11211" width="36.33203125" style="140" customWidth="1"/>
    <col min="11212" max="11212" width="22.33203125" style="140" customWidth="1"/>
    <col min="11213" max="11213" width="12" style="140"/>
    <col min="11214" max="11214" width="14.33203125" style="140" customWidth="1"/>
    <col min="11215" max="11466" width="12" style="140"/>
    <col min="11467" max="11467" width="36.33203125" style="140" customWidth="1"/>
    <col min="11468" max="11468" width="22.33203125" style="140" customWidth="1"/>
    <col min="11469" max="11469" width="12" style="140"/>
    <col min="11470" max="11470" width="14.33203125" style="140" customWidth="1"/>
    <col min="11471" max="11722" width="12" style="140"/>
    <col min="11723" max="11723" width="36.33203125" style="140" customWidth="1"/>
    <col min="11724" max="11724" width="22.33203125" style="140" customWidth="1"/>
    <col min="11725" max="11725" width="12" style="140"/>
    <col min="11726" max="11726" width="14.33203125" style="140" customWidth="1"/>
    <col min="11727" max="11978" width="12" style="140"/>
    <col min="11979" max="11979" width="36.33203125" style="140" customWidth="1"/>
    <col min="11980" max="11980" width="22.33203125" style="140" customWidth="1"/>
    <col min="11981" max="11981" width="12" style="140"/>
    <col min="11982" max="11982" width="14.33203125" style="140" customWidth="1"/>
    <col min="11983" max="12234" width="12" style="140"/>
    <col min="12235" max="12235" width="36.33203125" style="140" customWidth="1"/>
    <col min="12236" max="12236" width="22.33203125" style="140" customWidth="1"/>
    <col min="12237" max="12237" width="12" style="140"/>
    <col min="12238" max="12238" width="14.33203125" style="140" customWidth="1"/>
    <col min="12239" max="12490" width="12" style="140"/>
    <col min="12491" max="12491" width="36.33203125" style="140" customWidth="1"/>
    <col min="12492" max="12492" width="22.33203125" style="140" customWidth="1"/>
    <col min="12493" max="12493" width="12" style="140"/>
    <col min="12494" max="12494" width="14.33203125" style="140" customWidth="1"/>
    <col min="12495" max="12746" width="12" style="140"/>
    <col min="12747" max="12747" width="36.33203125" style="140" customWidth="1"/>
    <col min="12748" max="12748" width="22.33203125" style="140" customWidth="1"/>
    <col min="12749" max="12749" width="12" style="140"/>
    <col min="12750" max="12750" width="14.33203125" style="140" customWidth="1"/>
    <col min="12751" max="13002" width="12" style="140"/>
    <col min="13003" max="13003" width="36.33203125" style="140" customWidth="1"/>
    <col min="13004" max="13004" width="22.33203125" style="140" customWidth="1"/>
    <col min="13005" max="13005" width="12" style="140"/>
    <col min="13006" max="13006" width="14.33203125" style="140" customWidth="1"/>
    <col min="13007" max="13258" width="12" style="140"/>
    <col min="13259" max="13259" width="36.33203125" style="140" customWidth="1"/>
    <col min="13260" max="13260" width="22.33203125" style="140" customWidth="1"/>
    <col min="13261" max="13261" width="12" style="140"/>
    <col min="13262" max="13262" width="14.33203125" style="140" customWidth="1"/>
    <col min="13263" max="13514" width="12" style="140"/>
    <col min="13515" max="13515" width="36.33203125" style="140" customWidth="1"/>
    <col min="13516" max="13516" width="22.33203125" style="140" customWidth="1"/>
    <col min="13517" max="13517" width="12" style="140"/>
    <col min="13518" max="13518" width="14.33203125" style="140" customWidth="1"/>
    <col min="13519" max="13770" width="12" style="140"/>
    <col min="13771" max="13771" width="36.33203125" style="140" customWidth="1"/>
    <col min="13772" max="13772" width="22.33203125" style="140" customWidth="1"/>
    <col min="13773" max="13773" width="12" style="140"/>
    <col min="13774" max="13774" width="14.33203125" style="140" customWidth="1"/>
    <col min="13775" max="14026" width="12" style="140"/>
    <col min="14027" max="14027" width="36.33203125" style="140" customWidth="1"/>
    <col min="14028" max="14028" width="22.33203125" style="140" customWidth="1"/>
    <col min="14029" max="14029" width="12" style="140"/>
    <col min="14030" max="14030" width="14.33203125" style="140" customWidth="1"/>
    <col min="14031" max="14282" width="12" style="140"/>
    <col min="14283" max="14283" width="36.33203125" style="140" customWidth="1"/>
    <col min="14284" max="14284" width="22.33203125" style="140" customWidth="1"/>
    <col min="14285" max="14285" width="12" style="140"/>
    <col min="14286" max="14286" width="14.33203125" style="140" customWidth="1"/>
    <col min="14287" max="14538" width="12" style="140"/>
    <col min="14539" max="14539" width="36.33203125" style="140" customWidth="1"/>
    <col min="14540" max="14540" width="22.33203125" style="140" customWidth="1"/>
    <col min="14541" max="14541" width="12" style="140"/>
    <col min="14542" max="14542" width="14.33203125" style="140" customWidth="1"/>
    <col min="14543" max="14794" width="12" style="140"/>
    <col min="14795" max="14795" width="36.33203125" style="140" customWidth="1"/>
    <col min="14796" max="14796" width="22.33203125" style="140" customWidth="1"/>
    <col min="14797" max="14797" width="12" style="140"/>
    <col min="14798" max="14798" width="14.33203125" style="140" customWidth="1"/>
    <col min="14799" max="15050" width="12" style="140"/>
    <col min="15051" max="15051" width="36.33203125" style="140" customWidth="1"/>
    <col min="15052" max="15052" width="22.33203125" style="140" customWidth="1"/>
    <col min="15053" max="15053" width="12" style="140"/>
    <col min="15054" max="15054" width="14.33203125" style="140" customWidth="1"/>
    <col min="15055" max="15306" width="12" style="140"/>
    <col min="15307" max="15307" width="36.33203125" style="140" customWidth="1"/>
    <col min="15308" max="15308" width="22.33203125" style="140" customWidth="1"/>
    <col min="15309" max="15309" width="12" style="140"/>
    <col min="15310" max="15310" width="14.33203125" style="140" customWidth="1"/>
    <col min="15311" max="15562" width="12" style="140"/>
    <col min="15563" max="15563" width="36.33203125" style="140" customWidth="1"/>
    <col min="15564" max="15564" width="22.33203125" style="140" customWidth="1"/>
    <col min="15565" max="15565" width="12" style="140"/>
    <col min="15566" max="15566" width="14.33203125" style="140" customWidth="1"/>
    <col min="15567" max="15818" width="12" style="140"/>
    <col min="15819" max="15819" width="36.33203125" style="140" customWidth="1"/>
    <col min="15820" max="15820" width="22.33203125" style="140" customWidth="1"/>
    <col min="15821" max="15821" width="12" style="140"/>
    <col min="15822" max="15822" width="14.33203125" style="140" customWidth="1"/>
    <col min="15823" max="16074" width="12" style="140"/>
    <col min="16075" max="16075" width="36.33203125" style="140" customWidth="1"/>
    <col min="16076" max="16076" width="22.33203125" style="140" customWidth="1"/>
    <col min="16077" max="16077" width="12" style="140"/>
    <col min="16078" max="16078" width="14.33203125" style="140" customWidth="1"/>
    <col min="16079" max="16384" width="12" style="140"/>
  </cols>
  <sheetData>
    <row r="1" spans="1:11" s="15" customFormat="1" ht="39" customHeight="1" x14ac:dyDescent="0.25">
      <c r="B1" s="1129" t="str">
        <f>Instructivo!F1</f>
        <v>Sistema de Gestión Integral (SGI)
Instructivo - Componente Financiero EP
Código: F-PGC-21. Versión: 05</v>
      </c>
      <c r="C1" s="1129"/>
      <c r="D1" s="132" t="s">
        <v>102</v>
      </c>
      <c r="E1" s="851"/>
    </row>
    <row r="2" spans="1:11" s="15" customFormat="1" ht="24" customHeight="1" x14ac:dyDescent="0.25">
      <c r="B2" s="1173" t="s">
        <v>1320</v>
      </c>
      <c r="C2" s="1173"/>
      <c r="D2" s="852"/>
      <c r="E2" s="852"/>
      <c r="I2" s="441"/>
      <c r="J2" s="420"/>
      <c r="K2" s="378"/>
    </row>
    <row r="3" spans="1:11" ht="9" customHeight="1" x14ac:dyDescent="0.25">
      <c r="A3" s="727"/>
      <c r="B3" s="727"/>
      <c r="C3" s="727"/>
      <c r="D3" s="727"/>
    </row>
    <row r="4" spans="1:11" ht="110.25" customHeight="1" x14ac:dyDescent="0.25">
      <c r="A4" s="1274" t="s">
        <v>1321</v>
      </c>
      <c r="B4" s="1274"/>
      <c r="C4" s="1274"/>
      <c r="D4" s="1274"/>
    </row>
    <row r="5" spans="1:11" ht="9" customHeight="1" x14ac:dyDescent="0.25">
      <c r="A5" s="727"/>
      <c r="B5" s="727"/>
      <c r="C5" s="727"/>
      <c r="D5" s="727"/>
    </row>
    <row r="6" spans="1:11" ht="12.75" customHeight="1" x14ac:dyDescent="0.25">
      <c r="A6" s="803" t="s">
        <v>676</v>
      </c>
      <c r="B6" s="1204">
        <v>2024</v>
      </c>
      <c r="C6" s="1204"/>
      <c r="D6" s="1204"/>
    </row>
    <row r="7" spans="1:11" ht="15.75" customHeight="1" x14ac:dyDescent="0.25">
      <c r="A7" s="803" t="s">
        <v>677</v>
      </c>
      <c r="B7" s="1204" t="s">
        <v>1322</v>
      </c>
      <c r="C7" s="1204"/>
      <c r="D7" s="1204"/>
    </row>
    <row r="8" spans="1:11" ht="9" customHeight="1" x14ac:dyDescent="0.25">
      <c r="A8" s="729"/>
      <c r="B8" s="730"/>
      <c r="C8" s="730"/>
      <c r="D8" s="730"/>
    </row>
    <row r="9" spans="1:11" ht="36.75" customHeight="1" x14ac:dyDescent="0.25">
      <c r="A9" s="895" t="s">
        <v>788</v>
      </c>
      <c r="B9" s="896" t="s">
        <v>384</v>
      </c>
      <c r="C9" s="896" t="s">
        <v>415</v>
      </c>
      <c r="D9" s="897" t="s">
        <v>789</v>
      </c>
    </row>
    <row r="10" spans="1:11" ht="19.5" customHeight="1" x14ac:dyDescent="0.25">
      <c r="A10" s="898" t="s">
        <v>1323</v>
      </c>
      <c r="B10" s="899">
        <v>1403736</v>
      </c>
      <c r="C10" s="900">
        <v>1.71</v>
      </c>
      <c r="D10" s="901">
        <f>ROUND('Ayuda honorarios'!B10*C10,-3)</f>
        <v>2400000</v>
      </c>
    </row>
    <row r="11" spans="1:11" ht="19.5" customHeight="1" x14ac:dyDescent="0.25">
      <c r="A11" s="898" t="s">
        <v>1324</v>
      </c>
      <c r="B11" s="899">
        <v>2417749</v>
      </c>
      <c r="C11" s="900">
        <v>1.65</v>
      </c>
      <c r="D11" s="901">
        <f>ROUND('Ayuda honorarios'!B11*C11,-3)</f>
        <v>3989000</v>
      </c>
    </row>
    <row r="12" spans="1:11" ht="19.5" customHeight="1" x14ac:dyDescent="0.25">
      <c r="A12" s="898" t="s">
        <v>792</v>
      </c>
      <c r="B12" s="899">
        <v>2557595</v>
      </c>
      <c r="C12" s="900">
        <v>1.58</v>
      </c>
      <c r="D12" s="901">
        <f>ROUND('Ayuda honorarios'!B12*C12,-3)</f>
        <v>4041000</v>
      </c>
    </row>
    <row r="13" spans="1:11" ht="19.5" customHeight="1" x14ac:dyDescent="0.25">
      <c r="A13" s="898" t="s">
        <v>1325</v>
      </c>
      <c r="B13" s="899">
        <v>2966456</v>
      </c>
      <c r="C13" s="900">
        <v>1.58</v>
      </c>
      <c r="D13" s="901">
        <f>ROUND('Ayuda honorarios'!B13*C13,-3)</f>
        <v>4687000</v>
      </c>
    </row>
    <row r="14" spans="1:11" ht="19.5" customHeight="1" x14ac:dyDescent="0.25">
      <c r="A14" s="898" t="s">
        <v>1326</v>
      </c>
      <c r="B14" s="899">
        <v>3162025</v>
      </c>
      <c r="C14" s="900">
        <v>1.58</v>
      </c>
      <c r="D14" s="901">
        <f>ROUND('Ayuda honorarios'!B14*C14,-3)</f>
        <v>4996000</v>
      </c>
    </row>
    <row r="15" spans="1:11" ht="19.5" customHeight="1" x14ac:dyDescent="0.25">
      <c r="A15" s="898" t="s">
        <v>1327</v>
      </c>
      <c r="B15" s="899">
        <v>4650000</v>
      </c>
      <c r="C15" s="900">
        <v>1.58</v>
      </c>
      <c r="D15" s="901">
        <f>ROUND('Ayuda honorarios'!B15*C15,-3)</f>
        <v>7347000</v>
      </c>
    </row>
    <row r="16" spans="1:11" ht="19.5" customHeight="1" x14ac:dyDescent="0.25">
      <c r="A16" s="902" t="s">
        <v>1328</v>
      </c>
      <c r="B16" s="903">
        <v>5578481</v>
      </c>
      <c r="C16" s="904">
        <v>1.58</v>
      </c>
      <c r="D16" s="905">
        <f>ROUND('Ayuda honorarios'!B16*C16,-3)</f>
        <v>8814000</v>
      </c>
    </row>
    <row r="17" spans="1:4" ht="19.5" customHeight="1" x14ac:dyDescent="0.25">
      <c r="A17" s="741"/>
      <c r="B17" s="741"/>
      <c r="C17" s="741"/>
      <c r="D17" s="741"/>
    </row>
    <row r="18" spans="1:4" ht="40.5" customHeight="1" x14ac:dyDescent="0.25">
      <c r="A18" s="1275" t="s">
        <v>1329</v>
      </c>
      <c r="B18" s="1275"/>
      <c r="C18" s="1275"/>
      <c r="D18" s="1275"/>
    </row>
    <row r="19" spans="1:4" ht="19.5" customHeight="1" x14ac:dyDescent="0.25">
      <c r="A19" s="741"/>
      <c r="B19" s="741"/>
      <c r="C19" s="741"/>
      <c r="D19" s="741"/>
    </row>
    <row r="20" spans="1:4" ht="19.5" customHeight="1" x14ac:dyDescent="0.25">
      <c r="A20" s="1276" t="s">
        <v>1330</v>
      </c>
      <c r="B20" s="1276"/>
      <c r="C20" s="1276"/>
      <c r="D20" s="1276"/>
    </row>
    <row r="21" spans="1:4" ht="19.5" customHeight="1" x14ac:dyDescent="0.25">
      <c r="A21" s="741"/>
      <c r="B21" s="741"/>
      <c r="C21" s="741"/>
      <c r="D21" s="741"/>
    </row>
    <row r="22" spans="1:4" ht="19.5" customHeight="1" x14ac:dyDescent="0.25">
      <c r="A22" s="803" t="s">
        <v>1331</v>
      </c>
      <c r="B22" s="1204">
        <v>2024</v>
      </c>
      <c r="C22" s="1204"/>
      <c r="D22" s="1204"/>
    </row>
    <row r="23" spans="1:4" ht="19.5" customHeight="1" x14ac:dyDescent="0.25">
      <c r="A23" s="906" t="s">
        <v>968</v>
      </c>
      <c r="B23" s="1277">
        <v>1300000</v>
      </c>
      <c r="C23" s="1277"/>
      <c r="D23" s="1277"/>
    </row>
    <row r="24" spans="1:4" ht="19.5" customHeight="1" x14ac:dyDescent="0.25">
      <c r="A24" s="906" t="s">
        <v>1332</v>
      </c>
      <c r="B24" s="1277">
        <v>162000</v>
      </c>
      <c r="C24" s="1277"/>
      <c r="D24" s="1277"/>
    </row>
    <row r="25" spans="1:4" ht="19.5" customHeight="1" x14ac:dyDescent="0.25">
      <c r="A25" s="907"/>
      <c r="D25" s="907"/>
    </row>
    <row r="26" spans="1:4" ht="27.75" customHeight="1" x14ac:dyDescent="0.25">
      <c r="A26" s="908" t="s">
        <v>1333</v>
      </c>
      <c r="B26" s="909" t="s">
        <v>1334</v>
      </c>
      <c r="C26" s="1278" t="s">
        <v>1335</v>
      </c>
      <c r="D26" s="1278"/>
    </row>
    <row r="27" spans="1:4" ht="19.5" customHeight="1" x14ac:dyDescent="0.25">
      <c r="A27" s="910" t="s">
        <v>808</v>
      </c>
      <c r="B27" s="911"/>
      <c r="C27" s="1279"/>
      <c r="D27" s="1279"/>
    </row>
    <row r="28" spans="1:4" ht="19.5" customHeight="1" x14ac:dyDescent="0.25">
      <c r="A28" s="912" t="s">
        <v>809</v>
      </c>
      <c r="B28" s="913">
        <v>8.5000000000000006E-2</v>
      </c>
      <c r="C28" s="1280"/>
      <c r="D28" s="1280"/>
    </row>
    <row r="29" spans="1:4" ht="19.5" customHeight="1" x14ac:dyDescent="0.25">
      <c r="A29" s="912" t="s">
        <v>810</v>
      </c>
      <c r="B29" s="913">
        <v>0.12</v>
      </c>
      <c r="C29" s="1280"/>
      <c r="D29" s="1280"/>
    </row>
    <row r="30" spans="1:4" ht="19.5" customHeight="1" x14ac:dyDescent="0.25">
      <c r="A30" s="912" t="s">
        <v>811</v>
      </c>
      <c r="B30" s="914">
        <v>6.9599999999999995E-2</v>
      </c>
      <c r="C30" s="1280"/>
      <c r="D30" s="1280"/>
    </row>
    <row r="31" spans="1:4" ht="19.5" customHeight="1" x14ac:dyDescent="0.25">
      <c r="A31" s="910" t="s">
        <v>812</v>
      </c>
      <c r="B31" s="911"/>
      <c r="C31" s="1279"/>
      <c r="D31" s="1279"/>
    </row>
    <row r="32" spans="1:4" ht="19.5" customHeight="1" x14ac:dyDescent="0.25">
      <c r="A32" s="912" t="s">
        <v>813</v>
      </c>
      <c r="B32" s="913">
        <v>0.04</v>
      </c>
      <c r="C32" s="1281" t="s">
        <v>1336</v>
      </c>
      <c r="D32" s="1281"/>
    </row>
    <row r="33" spans="1:4" ht="19.5" customHeight="1" x14ac:dyDescent="0.25">
      <c r="A33" s="912" t="s">
        <v>814</v>
      </c>
      <c r="B33" s="913">
        <v>0.03</v>
      </c>
      <c r="C33" s="1281" t="s">
        <v>1337</v>
      </c>
      <c r="D33" s="1281"/>
    </row>
    <row r="34" spans="1:4" ht="19.5" customHeight="1" x14ac:dyDescent="0.25">
      <c r="A34" s="912" t="s">
        <v>815</v>
      </c>
      <c r="B34" s="913">
        <v>0.02</v>
      </c>
      <c r="C34" s="1281" t="s">
        <v>1338</v>
      </c>
      <c r="D34" s="1281"/>
    </row>
    <row r="35" spans="1:4" ht="19.5" customHeight="1" x14ac:dyDescent="0.25">
      <c r="A35" s="910" t="s">
        <v>816</v>
      </c>
      <c r="B35" s="911"/>
      <c r="C35" s="1279"/>
      <c r="D35" s="1279"/>
    </row>
    <row r="36" spans="1:4" ht="19.5" customHeight="1" x14ac:dyDescent="0.25">
      <c r="A36" s="912" t="s">
        <v>817</v>
      </c>
      <c r="B36" s="914">
        <v>8.3333333333333301E-2</v>
      </c>
      <c r="C36" s="1281" t="s">
        <v>1339</v>
      </c>
      <c r="D36" s="1281"/>
    </row>
    <row r="37" spans="1:4" ht="19.5" customHeight="1" x14ac:dyDescent="0.25">
      <c r="A37" s="912" t="s">
        <v>818</v>
      </c>
      <c r="B37" s="914">
        <f>12%*B36</f>
        <v>9.999999999999995E-3</v>
      </c>
      <c r="C37" s="1281" t="s">
        <v>1339</v>
      </c>
      <c r="D37" s="1281"/>
    </row>
    <row r="38" spans="1:4" ht="19.5" customHeight="1" x14ac:dyDescent="0.25">
      <c r="A38" s="912" t="s">
        <v>819</v>
      </c>
      <c r="B38" s="914">
        <v>8.3333333333333301E-2</v>
      </c>
      <c r="C38" s="1281" t="s">
        <v>1340</v>
      </c>
      <c r="D38" s="1281"/>
    </row>
    <row r="39" spans="1:4" ht="19.5" customHeight="1" x14ac:dyDescent="0.25">
      <c r="A39" s="912" t="s">
        <v>820</v>
      </c>
      <c r="B39" s="914">
        <f>B36/2</f>
        <v>4.166666666666665E-2</v>
      </c>
      <c r="C39" s="1281" t="s">
        <v>1341</v>
      </c>
      <c r="D39" s="1281"/>
    </row>
    <row r="40" spans="1:4" ht="19.5" customHeight="1" x14ac:dyDescent="0.25">
      <c r="A40" s="915" t="s">
        <v>1342</v>
      </c>
      <c r="B40" s="916">
        <f>ROUND(SUM(B28:B39),2)</f>
        <v>0.57999999999999996</v>
      </c>
      <c r="C40" s="1282"/>
      <c r="D40" s="1282"/>
    </row>
    <row r="41" spans="1:4" ht="19.5" customHeight="1" x14ac:dyDescent="0.25">
      <c r="A41" s="917"/>
      <c r="B41" s="918"/>
      <c r="C41" s="907"/>
    </row>
    <row r="42" spans="1:4" ht="19.5" customHeight="1" x14ac:dyDescent="0.3">
      <c r="A42" s="919" t="s">
        <v>788</v>
      </c>
      <c r="B42" s="920" t="s">
        <v>1323</v>
      </c>
      <c r="C42" s="921" t="s">
        <v>791</v>
      </c>
    </row>
    <row r="43" spans="1:4" ht="19.5" customHeight="1" x14ac:dyDescent="0.25">
      <c r="A43" s="922" t="s">
        <v>1343</v>
      </c>
      <c r="B43" s="922">
        <f>B10/B23</f>
        <v>1.0797969230769231</v>
      </c>
      <c r="C43" s="923">
        <f>B11/B23</f>
        <v>1.859806923076923</v>
      </c>
    </row>
    <row r="44" spans="1:4" ht="19.5" customHeight="1" x14ac:dyDescent="0.25">
      <c r="A44" s="924" t="s">
        <v>1344</v>
      </c>
      <c r="B44" s="925">
        <f>'Ayuda honorarios'!$B$24/'Ayuda honorarios'!B10</f>
        <v>0.11540631571748534</v>
      </c>
      <c r="C44" s="926">
        <f>B24/B11</f>
        <v>6.7004473996266772E-2</v>
      </c>
    </row>
    <row r="45" spans="1:4" ht="19.5" customHeight="1" x14ac:dyDescent="0.25">
      <c r="A45" s="924" t="s">
        <v>817</v>
      </c>
      <c r="B45" s="925">
        <f>B44*B36</f>
        <v>9.617192976457108E-3</v>
      </c>
      <c r="C45" s="926">
        <f>C44*B36</f>
        <v>5.5837061663555621E-3</v>
      </c>
    </row>
    <row r="46" spans="1:4" ht="19.5" customHeight="1" x14ac:dyDescent="0.25">
      <c r="A46" s="924" t="s">
        <v>818</v>
      </c>
      <c r="B46" s="925">
        <f>B45*12%</f>
        <v>1.1540631571748529E-3</v>
      </c>
      <c r="C46" s="926">
        <f>C45*12%</f>
        <v>6.7004473996266738E-4</v>
      </c>
    </row>
    <row r="47" spans="1:4" ht="19.5" customHeight="1" x14ac:dyDescent="0.25">
      <c r="A47" s="924" t="s">
        <v>819</v>
      </c>
      <c r="B47" s="925">
        <f>B45</f>
        <v>9.617192976457108E-3</v>
      </c>
      <c r="C47" s="926">
        <f>C45</f>
        <v>5.5837061663555621E-3</v>
      </c>
    </row>
    <row r="48" spans="1:4" ht="19.5" customHeight="1" x14ac:dyDescent="0.25">
      <c r="A48" s="927" t="s">
        <v>433</v>
      </c>
      <c r="B48" s="928">
        <f>ROUND(SUM(B44:B47)+B40,2)</f>
        <v>0.72</v>
      </c>
      <c r="C48" s="929">
        <f>ROUND(SUM(C44:C47)+B40,2)</f>
        <v>0.66</v>
      </c>
    </row>
    <row r="49" spans="1:3" ht="26.25" customHeight="1" x14ac:dyDescent="0.25">
      <c r="A49" s="1283" t="s">
        <v>1345</v>
      </c>
      <c r="B49" s="1283"/>
      <c r="C49" s="1283"/>
    </row>
  </sheetData>
  <sheetProtection algorithmName="SHA-512" hashValue="ZeaOtVkN80toPCA6oE+/4NSZJd5glRcBJq0oUR2p6/Bx5Ps6u5fi8Zhg51dUKl6gRllb0iSFW8lYMzbhsIjRKQ==" saltValue="wC9CXTONe1Vcd6nkxRUeLQ==" spinCount="100000" sheet="1" formatCells="0" formatColumns="0" formatRows="0" insertRows="0" autoFilter="0" pivotTables="0"/>
  <mergeCells count="26">
    <mergeCell ref="A49:C49"/>
    <mergeCell ref="C36:D36"/>
    <mergeCell ref="C37:D37"/>
    <mergeCell ref="C38:D38"/>
    <mergeCell ref="C39:D39"/>
    <mergeCell ref="C40:D40"/>
    <mergeCell ref="C31:D31"/>
    <mergeCell ref="C32:D32"/>
    <mergeCell ref="C33:D33"/>
    <mergeCell ref="C34:D34"/>
    <mergeCell ref="C35:D35"/>
    <mergeCell ref="C26:D26"/>
    <mergeCell ref="C27:D27"/>
    <mergeCell ref="C28:D28"/>
    <mergeCell ref="C29:D29"/>
    <mergeCell ref="C30:D30"/>
    <mergeCell ref="A18:D18"/>
    <mergeCell ref="A20:D20"/>
    <mergeCell ref="B22:D22"/>
    <mergeCell ref="B23:D23"/>
    <mergeCell ref="B24:D24"/>
    <mergeCell ref="B1:C1"/>
    <mergeCell ref="B2:C2"/>
    <mergeCell ref="A4:D4"/>
    <mergeCell ref="B6:D6"/>
    <mergeCell ref="B7:D7"/>
  </mergeCells>
  <pageMargins left="0.74791666666666701" right="0.74791666666666701" top="0.98402777777777795" bottom="0.98402777777777795" header="0.511811023622047" footer="0.51180555555555596"/>
  <pageSetup orientation="portrait" horizontalDpi="300" verticalDpi="300"/>
  <headerFooter>
    <oddFooter>&amp;R&amp;"Arial,Regular"&amp;K000000Página &amp;P de &amp;N</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6EB15DDF674744E8F2D4814E15B8498" ma:contentTypeVersion="12" ma:contentTypeDescription="Crear nuevo documento." ma:contentTypeScope="" ma:versionID="81548e7afd3c3d5a5b2d97c601435cce">
  <xsd:schema xmlns:xsd="http://www.w3.org/2001/XMLSchema" xmlns:xs="http://www.w3.org/2001/XMLSchema" xmlns:p="http://schemas.microsoft.com/office/2006/metadata/properties" xmlns:ns2="407800b2-40a1-435b-b29e-4e9a96873e76" xmlns:ns3="37cdaf76-6d0a-464a-b46c-6638a272a31a" targetNamespace="http://schemas.microsoft.com/office/2006/metadata/properties" ma:root="true" ma:fieldsID="36990a849c481de5c761568ff612f224" ns2:_="" ns3:_="">
    <xsd:import namespace="407800b2-40a1-435b-b29e-4e9a96873e76"/>
    <xsd:import namespace="37cdaf76-6d0a-464a-b46c-6638a272a3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7800b2-40a1-435b-b29e-4e9a96873e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7cdaf76-6d0a-464a-b46c-6638a272a31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0dbcfa5-406a-4848-919e-70f8e38221a5}" ma:internalName="TaxCatchAll" ma:showField="CatchAllData" ma:web="37cdaf76-6d0a-464a-b46c-6638a272a31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07800b2-40a1-435b-b29e-4e9a96873e76">
      <Terms xmlns="http://schemas.microsoft.com/office/infopath/2007/PartnerControls"/>
    </lcf76f155ced4ddcb4097134ff3c332f>
    <TaxCatchAll xmlns="37cdaf76-6d0a-464a-b46c-6638a272a31a" xsi:nil="true"/>
  </documentManagement>
</p:properties>
</file>

<file path=customXml/itemProps1.xml><?xml version="1.0" encoding="utf-8"?>
<ds:datastoreItem xmlns:ds="http://schemas.openxmlformats.org/officeDocument/2006/customXml" ds:itemID="{C5238D31-BD7C-4151-93C1-3F27DACD82DF}">
  <ds:schemaRefs>
    <ds:schemaRef ds:uri="http://schemas.microsoft.com/sharepoint/v3/contenttype/forms"/>
  </ds:schemaRefs>
</ds:datastoreItem>
</file>

<file path=customXml/itemProps2.xml><?xml version="1.0" encoding="utf-8"?>
<ds:datastoreItem xmlns:ds="http://schemas.openxmlformats.org/officeDocument/2006/customXml" ds:itemID="{FEDD863D-70BC-4B21-B695-150BA67A7562}"/>
</file>

<file path=customXml/itemProps3.xml><?xml version="1.0" encoding="utf-8"?>
<ds:datastoreItem xmlns:ds="http://schemas.openxmlformats.org/officeDocument/2006/customXml" ds:itemID="{ED328CF0-4C87-4054-8CB1-B19A20E6BF3F}"/>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33</vt:i4>
      </vt:variant>
    </vt:vector>
  </HeadingPairs>
  <TitlesOfParts>
    <vt:vector size="70" baseType="lpstr">
      <vt:lpstr>Instructivo</vt:lpstr>
      <vt:lpstr>Plan Ejecución</vt:lpstr>
      <vt:lpstr>PE PSP</vt:lpstr>
      <vt:lpstr>Presupuesto Contrato</vt:lpstr>
      <vt:lpstr>Ppto PSP</vt:lpstr>
      <vt:lpstr>Presupuesto Convenio</vt:lpstr>
      <vt:lpstr>Memoria de cálculo O1</vt:lpstr>
      <vt:lpstr>Memoria de cálculo O2</vt:lpstr>
      <vt:lpstr>Memoria de cálculo O3</vt:lpstr>
      <vt:lpstr>Estudio de mercado</vt:lpstr>
      <vt:lpstr>Gastos de adm</vt:lpstr>
      <vt:lpstr>Bienes relevantes</vt:lpstr>
      <vt:lpstr>Propuesta económica O1</vt:lpstr>
      <vt:lpstr>Propuesta económica O2</vt:lpstr>
      <vt:lpstr>Propuesta económica O3</vt:lpstr>
      <vt:lpstr>PAB CA</vt:lpstr>
      <vt:lpstr>PAB CR</vt:lpstr>
      <vt:lpstr>Evaluación financiera</vt:lpstr>
      <vt:lpstr>Habilitados - SI</vt:lpstr>
      <vt:lpstr>A. Lances - SIP</vt:lpstr>
      <vt:lpstr>D. Lances - SIP</vt:lpstr>
      <vt:lpstr>DD. Lances - SIP</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'A&amp;PA'!Área_de_impresión</vt:lpstr>
      <vt:lpstr>'A. Lances - SIP'!Área_de_impresión</vt:lpstr>
      <vt:lpstr>Alimentación!Área_de_impresión</vt:lpstr>
      <vt:lpstr>Apoyo!Área_de_impresión</vt:lpstr>
      <vt:lpstr>'CF&amp;O'!Área_de_impresión</vt:lpstr>
      <vt:lpstr>Cuantías!Área_de_impresión</vt:lpstr>
      <vt:lpstr>'D. Lances - SIP'!Área_de_impresión</vt:lpstr>
      <vt:lpstr>'DD. Lances - SIP'!Área_de_impresión</vt:lpstr>
      <vt:lpstr>Distintivos!Área_de_impresión</vt:lpstr>
      <vt:lpstr>'Evaluación financiera'!Área_de_impresión</vt:lpstr>
      <vt:lpstr>'Gtos DyM'!Área_de_impresión</vt:lpstr>
      <vt:lpstr>'Habilitados - SI'!Área_de_impresión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'PAB CR'!Área_de_impresión</vt:lpstr>
      <vt:lpstr>'PE PSP'!Área_de_impresión</vt:lpstr>
      <vt:lpstr>'Plan Ejecución'!Área_de_impresión</vt:lpstr>
      <vt:lpstr>'Ppto PSP'!Área_de_impresión</vt:lpstr>
      <vt:lpstr>'Presupuesto Contrato'!Área_de_impresión</vt:lpstr>
      <vt:lpstr>'Presupuesto Convenio'!Área_de_impresión</vt:lpstr>
      <vt:lpstr>'Propuesta económica O3'!Área_de_impresión</vt:lpstr>
      <vt:lpstr>Salarios!Área_de_impresión</vt:lpstr>
      <vt:lpstr>'PE PSP'!PEFI</vt:lpstr>
      <vt:lpstr>Honorarios!Títulos_a_imprimir</vt:lpstr>
      <vt:lpstr>'Plan Ejecución'!Títulos_a_imprimir</vt:lpstr>
      <vt:lpstr>'Ppto PSP'!Títulos_a_imprimir</vt:lpstr>
      <vt:lpstr>'Presupuesto Contrato'!Títulos_a_imprimir</vt:lpstr>
      <vt:lpstr>'Presupuesto Convenio'!Títulos_a_imprimir</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CORANTIOQUIA</dc:creator>
  <dc:description/>
  <cp:lastModifiedBy>Juan Fernando Gaviria Suárez</cp:lastModifiedBy>
  <cp:revision>0</cp:revision>
  <dcterms:created xsi:type="dcterms:W3CDTF">2007-01-17T19:41:47Z</dcterms:created>
  <dcterms:modified xsi:type="dcterms:W3CDTF">2026-07-04T17:38:26Z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0x01010056EB15DDF674744E8F2D4814E15B8498</vt:lpwstr>
  </property>
  <property fmtid="{D5CDD505-2E9C-101B-9397-08002B2CF9AE}" pid="4" name="MediaServiceImageTags">
    <vt:lpwstr/>
  </property>
  <property fmtid="{D5CDD505-2E9C-101B-9397-08002B2CF9AE}" pid="5" name="TriggerFlowInfo">
    <vt:lpwstr/>
  </property>
  <property fmtid="{D5CDD505-2E9C-101B-9397-08002B2CF9AE}" pid="6" name="_ExtendedDescription">
    <vt:lpwstr/>
  </property>
  <property fmtid="{D5CDD505-2E9C-101B-9397-08002B2CF9AE}" pid="7" name="_SharedFileIndex">
    <vt:lpwstr/>
  </property>
  <property fmtid="{D5CDD505-2E9C-101B-9397-08002B2CF9AE}" pid="8" name="_SourceUrl">
    <vt:lpwstr/>
  </property>
</Properties>
</file>