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ISLIN PALACIO\Desktop\2. CENAC 2026\5. EVALUACIONES\9. KIT DE INCORPORACION\"/>
    </mc:Choice>
  </mc:AlternateContent>
  <xr:revisionPtr revIDLastSave="0" documentId="8_{8872829A-0BC3-48DE-98BF-E976331FDA61}" xr6:coauthVersionLast="47" xr6:coauthVersionMax="47" xr10:uidLastSave="{00000000-0000-0000-0000-000000000000}"/>
  <workbookProtection workbookAlgorithmName="SHA-512" workbookHashValue="NG3hi3IgKZmHWtiilUJEEVmMBxZOz6hn2Q6/FmykT3tfeCaYcdwcDIkeL8s2U9WaI05RiqfSW9Zrxi8Jmyw7cA==" workbookSaltValue="NknXXpmeM8loA4iL5tlThg==" workbookSpinCount="100000" lockStructure="1"/>
  <bookViews>
    <workbookView xWindow="-120" yWindow="-120" windowWidth="20730" windowHeight="11040" firstSheet="3" activeTab="3" xr2:uid="{00000000-000D-0000-FFFF-FFFF00000000}"/>
  </bookViews>
  <sheets>
    <sheet name="PLAN DE NECESIDADES" sheetId="13" state="hidden" r:id="rId1"/>
    <sheet name="PRESUPUESTO CONSOLIDADO" sheetId="7" state="hidden" r:id="rId2"/>
    <sheet name="PRESUPUESTO" sheetId="2" state="hidden" r:id="rId3"/>
    <sheet name="MÍNIMAS" sheetId="3" r:id="rId4"/>
    <sheet name="LIMITANTES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" i="3" l="1"/>
  <c r="B44" i="4"/>
  <c r="B39" i="4"/>
  <c r="B35" i="4"/>
  <c r="B27" i="4"/>
  <c r="B17" i="4"/>
  <c r="B4" i="4"/>
  <c r="CI81" i="3"/>
  <c r="CK81" i="3" s="1"/>
  <c r="CI82" i="3"/>
  <c r="CK82" i="3" s="1"/>
  <c r="CI83" i="3"/>
  <c r="CK83" i="3" s="1"/>
  <c r="CI84" i="3"/>
  <c r="CK84" i="3"/>
  <c r="CH84" i="3"/>
  <c r="CH83" i="3"/>
  <c r="CJ83" i="3" s="1"/>
  <c r="CH82" i="3"/>
  <c r="CH81" i="3"/>
  <c r="CI70" i="3"/>
  <c r="CK70" i="3" s="1"/>
  <c r="CI71" i="3"/>
  <c r="CI72" i="3"/>
  <c r="CK72" i="3" s="1"/>
  <c r="CI73" i="3"/>
  <c r="CK73" i="3" s="1"/>
  <c r="CH73" i="3"/>
  <c r="CH72" i="3"/>
  <c r="CK71" i="3"/>
  <c r="CH71" i="3"/>
  <c r="CJ71" i="3" s="1"/>
  <c r="CH70" i="3"/>
  <c r="CI61" i="3"/>
  <c r="CI62" i="3"/>
  <c r="CK62" i="3" s="1"/>
  <c r="CI60" i="3"/>
  <c r="CK60" i="3" s="1"/>
  <c r="CH63" i="3" s="1"/>
  <c r="CK61" i="3"/>
  <c r="CH62" i="3"/>
  <c r="CH61" i="3"/>
  <c r="CH60" i="3"/>
  <c r="CI47" i="3"/>
  <c r="CK47" i="3" s="1"/>
  <c r="CI52" i="3"/>
  <c r="CI51" i="3"/>
  <c r="CK51" i="3" s="1"/>
  <c r="CI48" i="3"/>
  <c r="CI49" i="3"/>
  <c r="CK49" i="3" s="1"/>
  <c r="CI46" i="3"/>
  <c r="CK52" i="3"/>
  <c r="CH52" i="3"/>
  <c r="CH51" i="3"/>
  <c r="CH49" i="3"/>
  <c r="CK48" i="3"/>
  <c r="CH48" i="3"/>
  <c r="CJ48" i="3" s="1"/>
  <c r="CH47" i="3"/>
  <c r="CK46" i="3"/>
  <c r="CH46" i="3"/>
  <c r="CJ46" i="3" s="1"/>
  <c r="CI37" i="3"/>
  <c r="CK37" i="3" s="1"/>
  <c r="CI36" i="3"/>
  <c r="CK36" i="3" s="1"/>
  <c r="CH37" i="3"/>
  <c r="CH36" i="3"/>
  <c r="CI24" i="3"/>
  <c r="CK24" i="3" s="1"/>
  <c r="CI25" i="3"/>
  <c r="CI26" i="3"/>
  <c r="CK26" i="3" s="1"/>
  <c r="CK25" i="3"/>
  <c r="CH26" i="3"/>
  <c r="CH25" i="3"/>
  <c r="CH24" i="3"/>
  <c r="CI11" i="3"/>
  <c r="CI6" i="3"/>
  <c r="CI7" i="3"/>
  <c r="CI8" i="3"/>
  <c r="CI9" i="3"/>
  <c r="CI10" i="3"/>
  <c r="CI12" i="3"/>
  <c r="CI13" i="3"/>
  <c r="CI14" i="3"/>
  <c r="CI15" i="3"/>
  <c r="CI5" i="3"/>
  <c r="CE82" i="3"/>
  <c r="CG82" i="3" s="1"/>
  <c r="CE83" i="3"/>
  <c r="CG83" i="3" s="1"/>
  <c r="CE81" i="3"/>
  <c r="CE84" i="3"/>
  <c r="CG84" i="3" s="1"/>
  <c r="CG81" i="3"/>
  <c r="CD84" i="3"/>
  <c r="CD83" i="3"/>
  <c r="CD82" i="3"/>
  <c r="CF82" i="3" s="1"/>
  <c r="CD81" i="3"/>
  <c r="CE70" i="3"/>
  <c r="CE71" i="3"/>
  <c r="CG71" i="3" s="1"/>
  <c r="CE72" i="3"/>
  <c r="CG72" i="3" s="1"/>
  <c r="CE73" i="3"/>
  <c r="CG73" i="3" s="1"/>
  <c r="CG70" i="3"/>
  <c r="CD73" i="3"/>
  <c r="CD72" i="3"/>
  <c r="CD71" i="3"/>
  <c r="CD70" i="3"/>
  <c r="CE61" i="3"/>
  <c r="CG61" i="3" s="1"/>
  <c r="CE62" i="3"/>
  <c r="CG62" i="3" s="1"/>
  <c r="CE60" i="3"/>
  <c r="CD62" i="3"/>
  <c r="CD61" i="3"/>
  <c r="CG60" i="3"/>
  <c r="CD60" i="3"/>
  <c r="CE48" i="3"/>
  <c r="CE52" i="3"/>
  <c r="CG52" i="3" s="1"/>
  <c r="CE51" i="3"/>
  <c r="CG51" i="3" s="1"/>
  <c r="CE47" i="3"/>
  <c r="CG47" i="3" s="1"/>
  <c r="CE49" i="3"/>
  <c r="CE46" i="3"/>
  <c r="CD52" i="3"/>
  <c r="CF52" i="3" s="1"/>
  <c r="CD51" i="3"/>
  <c r="CG49" i="3"/>
  <c r="CD49" i="3"/>
  <c r="CF49" i="3" s="1"/>
  <c r="CG48" i="3"/>
  <c r="CD48" i="3"/>
  <c r="CF48" i="3" s="1"/>
  <c r="CD47" i="3"/>
  <c r="CG46" i="3"/>
  <c r="CD46" i="3"/>
  <c r="CF46" i="3" s="1"/>
  <c r="CE36" i="3"/>
  <c r="CE37" i="3"/>
  <c r="CG37" i="3" s="1"/>
  <c r="CD37" i="3"/>
  <c r="CF37" i="3" s="1"/>
  <c r="CG36" i="3"/>
  <c r="CD39" i="3" s="1"/>
  <c r="CD36" i="3"/>
  <c r="CE24" i="3"/>
  <c r="CG24" i="3" s="1"/>
  <c r="CE25" i="3"/>
  <c r="CG25" i="3" s="1"/>
  <c r="CE26" i="3"/>
  <c r="CG26" i="3" s="1"/>
  <c r="CD26" i="3"/>
  <c r="CD25" i="3"/>
  <c r="CD24" i="3"/>
  <c r="CF24" i="3" s="1"/>
  <c r="CE11" i="3"/>
  <c r="CE6" i="3"/>
  <c r="CE7" i="3"/>
  <c r="CE8" i="3"/>
  <c r="CE9" i="3"/>
  <c r="CE10" i="3"/>
  <c r="CE12" i="3"/>
  <c r="CE13" i="3"/>
  <c r="CE14" i="3"/>
  <c r="CE15" i="3"/>
  <c r="CE5" i="3"/>
  <c r="CD5" i="3"/>
  <c r="CA83" i="3"/>
  <c r="CC83" i="3" s="1"/>
  <c r="CA81" i="3"/>
  <c r="CC81" i="3" s="1"/>
  <c r="CA82" i="3"/>
  <c r="CC82" i="3" s="1"/>
  <c r="CA73" i="3"/>
  <c r="CA62" i="3"/>
  <c r="CC62" i="3" s="1"/>
  <c r="CA61" i="3"/>
  <c r="CC61" i="3" s="1"/>
  <c r="CA60" i="3"/>
  <c r="CC60" i="3" s="1"/>
  <c r="CA84" i="3"/>
  <c r="CC84" i="3" s="1"/>
  <c r="BZ84" i="3"/>
  <c r="CB84" i="3" s="1"/>
  <c r="BZ83" i="3"/>
  <c r="BZ82" i="3"/>
  <c r="CB82" i="3" s="1"/>
  <c r="BZ81" i="3"/>
  <c r="CC73" i="3"/>
  <c r="BZ73" i="3"/>
  <c r="CA72" i="3"/>
  <c r="CC72" i="3" s="1"/>
  <c r="BZ72" i="3"/>
  <c r="CB72" i="3" s="1"/>
  <c r="CA71" i="3"/>
  <c r="CC71" i="3" s="1"/>
  <c r="BZ71" i="3"/>
  <c r="CA70" i="3"/>
  <c r="CC70" i="3" s="1"/>
  <c r="BZ70" i="3"/>
  <c r="CB70" i="3" s="1"/>
  <c r="BZ62" i="3"/>
  <c r="BZ61" i="3"/>
  <c r="BZ60" i="3"/>
  <c r="CB60" i="3" s="1"/>
  <c r="CA47" i="3"/>
  <c r="CC47" i="3" s="1"/>
  <c r="CA46" i="3"/>
  <c r="CA52" i="3"/>
  <c r="CC52" i="3" s="1"/>
  <c r="CA51" i="3"/>
  <c r="CC51" i="3" s="1"/>
  <c r="CA49" i="3"/>
  <c r="CC49" i="3" s="1"/>
  <c r="CA48" i="3"/>
  <c r="BZ52" i="3"/>
  <c r="CB52" i="3" s="1"/>
  <c r="BZ51" i="3"/>
  <c r="BZ49" i="3"/>
  <c r="CC48" i="3"/>
  <c r="BZ48" i="3"/>
  <c r="CB48" i="3" s="1"/>
  <c r="BZ47" i="3"/>
  <c r="CC46" i="3"/>
  <c r="BZ46" i="3"/>
  <c r="CB46" i="3" s="1"/>
  <c r="CA36" i="3"/>
  <c r="CA37" i="3"/>
  <c r="CC37" i="3" s="1"/>
  <c r="BZ37" i="3"/>
  <c r="CB37" i="3" s="1"/>
  <c r="CC36" i="3"/>
  <c r="BZ39" i="3" s="1"/>
  <c r="BZ36" i="3"/>
  <c r="CB36" i="3" s="1"/>
  <c r="CA24" i="3"/>
  <c r="CA25" i="3"/>
  <c r="CC25" i="3"/>
  <c r="BZ29" i="3" s="1"/>
  <c r="CA26" i="3"/>
  <c r="CC24" i="3"/>
  <c r="CC26" i="3"/>
  <c r="BZ26" i="3"/>
  <c r="CB26" i="3" s="1"/>
  <c r="BZ25" i="3"/>
  <c r="BZ24" i="3"/>
  <c r="CA15" i="3"/>
  <c r="CA13" i="3"/>
  <c r="CA11" i="3"/>
  <c r="CA6" i="3"/>
  <c r="CA7" i="3"/>
  <c r="CA8" i="3"/>
  <c r="CA9" i="3"/>
  <c r="CA10" i="3"/>
  <c r="CA12" i="3"/>
  <c r="CA14" i="3"/>
  <c r="CA5" i="3"/>
  <c r="BZ5" i="3"/>
  <c r="BW83" i="3"/>
  <c r="BY83" i="3" s="1"/>
  <c r="BW84" i="3"/>
  <c r="BY84" i="3" s="1"/>
  <c r="BW82" i="3"/>
  <c r="BW81" i="3"/>
  <c r="BV84" i="3"/>
  <c r="BV83" i="3"/>
  <c r="BX83" i="3" s="1"/>
  <c r="BY82" i="3"/>
  <c r="BV82" i="3"/>
  <c r="BX82" i="3" s="1"/>
  <c r="BY81" i="3"/>
  <c r="BV81" i="3"/>
  <c r="BX81" i="3" s="1"/>
  <c r="BW73" i="3"/>
  <c r="BY73" i="3" s="1"/>
  <c r="BW71" i="3"/>
  <c r="BW70" i="3"/>
  <c r="BY70" i="3" s="1"/>
  <c r="BW72" i="3"/>
  <c r="BY72" i="3" s="1"/>
  <c r="BV73" i="3"/>
  <c r="BV72" i="3"/>
  <c r="BY71" i="3"/>
  <c r="BV71" i="3"/>
  <c r="BV70" i="3"/>
  <c r="BW61" i="3"/>
  <c r="BY61" i="3" s="1"/>
  <c r="BW62" i="3"/>
  <c r="BY62" i="3" s="1"/>
  <c r="BW60" i="3"/>
  <c r="BV62" i="3"/>
  <c r="BV61" i="3"/>
  <c r="BY60" i="3"/>
  <c r="BV60" i="3"/>
  <c r="BW48" i="3"/>
  <c r="BW46" i="3"/>
  <c r="BW52" i="3"/>
  <c r="BY52" i="3" s="1"/>
  <c r="BV52" i="3"/>
  <c r="BW51" i="3"/>
  <c r="BY51" i="3" s="1"/>
  <c r="BV51" i="3"/>
  <c r="BX51" i="3" s="1"/>
  <c r="BY49" i="3"/>
  <c r="BW49" i="3"/>
  <c r="BV49" i="3"/>
  <c r="BX49" i="3" s="1"/>
  <c r="BY48" i="3"/>
  <c r="BV48" i="3"/>
  <c r="BX48" i="3" s="1"/>
  <c r="BW47" i="3"/>
  <c r="BY47" i="3" s="1"/>
  <c r="BV47" i="3"/>
  <c r="BX47" i="3" s="1"/>
  <c r="BY46" i="3"/>
  <c r="BV46" i="3"/>
  <c r="BW36" i="3"/>
  <c r="BW37" i="3"/>
  <c r="BY37" i="3" s="1"/>
  <c r="BY36" i="3"/>
  <c r="BV37" i="3"/>
  <c r="BX37" i="3" s="1"/>
  <c r="BV36" i="3"/>
  <c r="BW24" i="3"/>
  <c r="BW26" i="3"/>
  <c r="BY26" i="3"/>
  <c r="BW25" i="3"/>
  <c r="BY24" i="3"/>
  <c r="BV25" i="3"/>
  <c r="BV26" i="3"/>
  <c r="BX26" i="3" s="1"/>
  <c r="BV24" i="3"/>
  <c r="BW9" i="3"/>
  <c r="BW7" i="3"/>
  <c r="BW8" i="3"/>
  <c r="BW6" i="3"/>
  <c r="BW5" i="3"/>
  <c r="BW10" i="3"/>
  <c r="BW11" i="3"/>
  <c r="BW12" i="3"/>
  <c r="BW13" i="3"/>
  <c r="BW14" i="3"/>
  <c r="BW15" i="3"/>
  <c r="BS83" i="3"/>
  <c r="BU83" i="3" s="1"/>
  <c r="BS82" i="3"/>
  <c r="BS81" i="3"/>
  <c r="BU81" i="3" s="1"/>
  <c r="BU82" i="3"/>
  <c r="BS84" i="3"/>
  <c r="BU84" i="3" s="1"/>
  <c r="BR84" i="3"/>
  <c r="BT84" i="3" s="1"/>
  <c r="BR83" i="3"/>
  <c r="BR82" i="3"/>
  <c r="BR81" i="3"/>
  <c r="BS70" i="3"/>
  <c r="BU70" i="3" s="1"/>
  <c r="BS71" i="3"/>
  <c r="BS72" i="3"/>
  <c r="BS73" i="3"/>
  <c r="BU73" i="3" s="1"/>
  <c r="BR71" i="3"/>
  <c r="BU71" i="3"/>
  <c r="BR72" i="3"/>
  <c r="BT72" i="3" s="1"/>
  <c r="BU72" i="3"/>
  <c r="BR73" i="3"/>
  <c r="BR70" i="3"/>
  <c r="BS61" i="3"/>
  <c r="BU61" i="3" s="1"/>
  <c r="BS62" i="3"/>
  <c r="BU62" i="3" s="1"/>
  <c r="BS60" i="3"/>
  <c r="BU60" i="3" s="1"/>
  <c r="BR62" i="3"/>
  <c r="BR61" i="3"/>
  <c r="BR60" i="3"/>
  <c r="BS48" i="3"/>
  <c r="BS52" i="3"/>
  <c r="BU52" i="3" s="1"/>
  <c r="BS51" i="3"/>
  <c r="BS47" i="3"/>
  <c r="BU48" i="3"/>
  <c r="BS49" i="3"/>
  <c r="BU49" i="3" s="1"/>
  <c r="BS46" i="3"/>
  <c r="BR52" i="3"/>
  <c r="BU51" i="3"/>
  <c r="BR51" i="3"/>
  <c r="BT51" i="3" s="1"/>
  <c r="BR49" i="3"/>
  <c r="BR48" i="3"/>
  <c r="BU47" i="3"/>
  <c r="BR47" i="3"/>
  <c r="BT47" i="3" s="1"/>
  <c r="BU46" i="3"/>
  <c r="BR46" i="3"/>
  <c r="BT46" i="3" s="1"/>
  <c r="BS36" i="3"/>
  <c r="BS37" i="3"/>
  <c r="BU37" i="3" s="1"/>
  <c r="BR37" i="3"/>
  <c r="BR36" i="3"/>
  <c r="BS24" i="3"/>
  <c r="BU24" i="3" s="1"/>
  <c r="BS25" i="3"/>
  <c r="BU25" i="3" s="1"/>
  <c r="BS26" i="3"/>
  <c r="BU26" i="3" s="1"/>
  <c r="BR26" i="3"/>
  <c r="BR25" i="3"/>
  <c r="BR24" i="3"/>
  <c r="BS11" i="3"/>
  <c r="BS6" i="3"/>
  <c r="BU6" i="3" s="1"/>
  <c r="BS7" i="3"/>
  <c r="BU7" i="3" s="1"/>
  <c r="BS8" i="3"/>
  <c r="BU8" i="3" s="1"/>
  <c r="BS9" i="3"/>
  <c r="BS10" i="3"/>
  <c r="BS12" i="3"/>
  <c r="BU12" i="3" s="1"/>
  <c r="BS13" i="3"/>
  <c r="BU13" i="3" s="1"/>
  <c r="BS14" i="3"/>
  <c r="BU14" i="3" s="1"/>
  <c r="BS15" i="3"/>
  <c r="BU15" i="3" s="1"/>
  <c r="BS5" i="3"/>
  <c r="BU9" i="3"/>
  <c r="BR5" i="3"/>
  <c r="BU11" i="3"/>
  <c r="BR6" i="3"/>
  <c r="BR7" i="3"/>
  <c r="BT7" i="3" s="1"/>
  <c r="BR8" i="3"/>
  <c r="BT8" i="3" s="1"/>
  <c r="BR9" i="3"/>
  <c r="BR10" i="3"/>
  <c r="BT10" i="3" s="1"/>
  <c r="BU10" i="3"/>
  <c r="BR11" i="3"/>
  <c r="BT11" i="3" s="1"/>
  <c r="BR12" i="3"/>
  <c r="BR13" i="3"/>
  <c r="BR14" i="3"/>
  <c r="BR15" i="3"/>
  <c r="BO84" i="3"/>
  <c r="BQ84" i="3" s="1"/>
  <c r="BO82" i="3"/>
  <c r="BQ82" i="3" s="1"/>
  <c r="BO83" i="3"/>
  <c r="BQ83" i="3" s="1"/>
  <c r="BO81" i="3"/>
  <c r="BQ81" i="3"/>
  <c r="BN84" i="3"/>
  <c r="BP84" i="3" s="1"/>
  <c r="BN83" i="3"/>
  <c r="BN82" i="3"/>
  <c r="BN81" i="3"/>
  <c r="BP81" i="3" s="1"/>
  <c r="BO71" i="3"/>
  <c r="BQ71" i="3" s="1"/>
  <c r="BO70" i="3"/>
  <c r="BQ70" i="3" s="1"/>
  <c r="BO72" i="3"/>
  <c r="BQ72" i="3" s="1"/>
  <c r="BO73" i="3"/>
  <c r="BQ73" i="3" s="1"/>
  <c r="BN73" i="3"/>
  <c r="BN72" i="3"/>
  <c r="BN71" i="3"/>
  <c r="BN70" i="3"/>
  <c r="BO61" i="3"/>
  <c r="BQ61" i="3" s="1"/>
  <c r="BO62" i="3"/>
  <c r="BO60" i="3"/>
  <c r="BQ62" i="3"/>
  <c r="BN62" i="3"/>
  <c r="BP62" i="3" s="1"/>
  <c r="BN61" i="3"/>
  <c r="BQ60" i="3"/>
  <c r="BN60" i="3"/>
  <c r="BO52" i="3"/>
  <c r="BQ52" i="3" s="1"/>
  <c r="BO51" i="3"/>
  <c r="BQ51" i="3" s="1"/>
  <c r="BO47" i="3"/>
  <c r="BQ47" i="3" s="1"/>
  <c r="BO48" i="3"/>
  <c r="BO49" i="3"/>
  <c r="BQ49" i="3" s="1"/>
  <c r="BO46" i="3"/>
  <c r="BN47" i="3"/>
  <c r="BN48" i="3"/>
  <c r="BQ48" i="3"/>
  <c r="BN49" i="3"/>
  <c r="BN51" i="3"/>
  <c r="BP51" i="3" s="1"/>
  <c r="BN52" i="3"/>
  <c r="BQ46" i="3"/>
  <c r="BN46" i="3"/>
  <c r="BO36" i="3"/>
  <c r="BQ36" i="3" s="1"/>
  <c r="BO37" i="3"/>
  <c r="BQ37" i="3" s="1"/>
  <c r="BN37" i="3"/>
  <c r="BN36" i="3"/>
  <c r="BO24" i="3"/>
  <c r="BQ24" i="3" s="1"/>
  <c r="BO25" i="3"/>
  <c r="BO26" i="3"/>
  <c r="BQ26" i="3" s="1"/>
  <c r="BP25" i="3"/>
  <c r="BN24" i="3"/>
  <c r="BN25" i="3"/>
  <c r="BN26" i="3"/>
  <c r="BP26" i="3"/>
  <c r="BO13" i="3"/>
  <c r="BQ13" i="3" s="1"/>
  <c r="BO15" i="3"/>
  <c r="BQ15" i="3" s="1"/>
  <c r="BO10" i="3"/>
  <c r="BQ10" i="3" s="1"/>
  <c r="BO6" i="3"/>
  <c r="BQ6" i="3" s="1"/>
  <c r="BO7" i="3"/>
  <c r="BQ7" i="3" s="1"/>
  <c r="BO8" i="3"/>
  <c r="BO9" i="3"/>
  <c r="BO11" i="3"/>
  <c r="BQ11" i="3" s="1"/>
  <c r="BO12" i="3"/>
  <c r="BO14" i="3"/>
  <c r="BO5" i="3"/>
  <c r="BQ9" i="3"/>
  <c r="BQ12" i="3"/>
  <c r="BN6" i="3"/>
  <c r="BN7" i="3"/>
  <c r="BN8" i="3"/>
  <c r="BQ8" i="3"/>
  <c r="BN9" i="3"/>
  <c r="BN10" i="3"/>
  <c r="BN11" i="3"/>
  <c r="BN12" i="3"/>
  <c r="BN13" i="3"/>
  <c r="BN14" i="3"/>
  <c r="BQ14" i="3"/>
  <c r="BN15" i="3"/>
  <c r="BK83" i="3"/>
  <c r="BM83" i="3" s="1"/>
  <c r="BK81" i="3"/>
  <c r="BM81" i="3" s="1"/>
  <c r="BJ85" i="3" s="1"/>
  <c r="BK82" i="3"/>
  <c r="BK84" i="3"/>
  <c r="BM84" i="3"/>
  <c r="BJ84" i="3"/>
  <c r="BJ83" i="3"/>
  <c r="BM82" i="3"/>
  <c r="BJ82" i="3"/>
  <c r="BL82" i="3" s="1"/>
  <c r="BJ81" i="3"/>
  <c r="BK71" i="3"/>
  <c r="BM71" i="3" s="1"/>
  <c r="BK72" i="3"/>
  <c r="BK73" i="3"/>
  <c r="BM73" i="3" s="1"/>
  <c r="BK70" i="3"/>
  <c r="BJ70" i="3"/>
  <c r="BJ73" i="3"/>
  <c r="BM72" i="3"/>
  <c r="BJ72" i="3"/>
  <c r="BJ71" i="3"/>
  <c r="BM70" i="3"/>
  <c r="BL70" i="3"/>
  <c r="BK62" i="3"/>
  <c r="BM62" i="3" s="1"/>
  <c r="BK61" i="3"/>
  <c r="BM61" i="3" s="1"/>
  <c r="BK60" i="3"/>
  <c r="BM60" i="3" s="1"/>
  <c r="BJ63" i="3" s="1"/>
  <c r="BJ62" i="3"/>
  <c r="BJ61" i="3"/>
  <c r="BJ60" i="3"/>
  <c r="BL60" i="3" s="1"/>
  <c r="BK52" i="3"/>
  <c r="BM52" i="3" s="1"/>
  <c r="BK51" i="3"/>
  <c r="BK48" i="3"/>
  <c r="BK46" i="3"/>
  <c r="BL46" i="3" s="1"/>
  <c r="BM46" i="3"/>
  <c r="BJ46" i="3"/>
  <c r="BJ52" i="3"/>
  <c r="BM51" i="3"/>
  <c r="BJ51" i="3"/>
  <c r="BK49" i="3"/>
  <c r="BM49" i="3" s="1"/>
  <c r="BJ49" i="3"/>
  <c r="BL49" i="3" s="1"/>
  <c r="BM48" i="3"/>
  <c r="BJ48" i="3"/>
  <c r="BL48" i="3" s="1"/>
  <c r="BK47" i="3"/>
  <c r="BM47" i="3" s="1"/>
  <c r="BJ47" i="3"/>
  <c r="BL47" i="3" s="1"/>
  <c r="BK37" i="3"/>
  <c r="BM37" i="3" s="1"/>
  <c r="BK36" i="3"/>
  <c r="BM36" i="3" s="1"/>
  <c r="BJ39" i="3" s="1"/>
  <c r="BJ37" i="3"/>
  <c r="BJ36" i="3"/>
  <c r="BK24" i="3"/>
  <c r="BK26" i="3"/>
  <c r="BM26" i="3" s="1"/>
  <c r="BK25" i="3"/>
  <c r="BM25" i="3" s="1"/>
  <c r="BL26" i="3"/>
  <c r="BM24" i="3"/>
  <c r="BJ25" i="3"/>
  <c r="BL25" i="3" s="1"/>
  <c r="BJ26" i="3"/>
  <c r="BJ24" i="3"/>
  <c r="BK13" i="3"/>
  <c r="BK6" i="3"/>
  <c r="BK7" i="3"/>
  <c r="BK8" i="3"/>
  <c r="BK9" i="3"/>
  <c r="BK10" i="3"/>
  <c r="BK11" i="3"/>
  <c r="BK12" i="3"/>
  <c r="BK14" i="3"/>
  <c r="BK15" i="3"/>
  <c r="BK5" i="3"/>
  <c r="BM5" i="3"/>
  <c r="BJ5" i="3"/>
  <c r="BG82" i="3"/>
  <c r="BI82" i="3" s="1"/>
  <c r="BG83" i="3"/>
  <c r="BG84" i="3"/>
  <c r="BI84" i="3" s="1"/>
  <c r="BG81" i="3"/>
  <c r="BI81" i="3" s="1"/>
  <c r="BH82" i="3"/>
  <c r="BF82" i="3"/>
  <c r="BF83" i="3"/>
  <c r="BF84" i="3"/>
  <c r="BH84" i="3" s="1"/>
  <c r="BF81" i="3"/>
  <c r="BG73" i="3"/>
  <c r="BI73" i="3" s="1"/>
  <c r="BG70" i="3"/>
  <c r="BI70" i="3" s="1"/>
  <c r="BG71" i="3"/>
  <c r="BI71" i="3" s="1"/>
  <c r="BG72" i="3"/>
  <c r="BI72" i="3"/>
  <c r="BF73" i="3"/>
  <c r="BF72" i="3"/>
  <c r="BF71" i="3"/>
  <c r="BF70" i="3"/>
  <c r="BG61" i="3"/>
  <c r="BG62" i="3"/>
  <c r="BG60" i="3"/>
  <c r="BI60" i="3" s="1"/>
  <c r="BF61" i="3"/>
  <c r="BH61" i="3" s="1"/>
  <c r="BI61" i="3"/>
  <c r="BF62" i="3"/>
  <c r="BH62" i="3"/>
  <c r="BI62" i="3"/>
  <c r="BF60" i="3"/>
  <c r="BF52" i="3"/>
  <c r="BG46" i="3"/>
  <c r="BI46" i="3" s="1"/>
  <c r="BG47" i="3"/>
  <c r="BG48" i="3"/>
  <c r="BG49" i="3"/>
  <c r="BG50" i="3"/>
  <c r="BI50" i="3" s="1"/>
  <c r="BG51" i="3"/>
  <c r="BI51" i="3" s="1"/>
  <c r="BG52" i="3"/>
  <c r="BI47" i="3"/>
  <c r="BI48" i="3"/>
  <c r="BI52" i="3"/>
  <c r="BF51" i="3"/>
  <c r="BF50" i="3"/>
  <c r="BI49" i="3"/>
  <c r="BF49" i="3"/>
  <c r="BF48" i="3"/>
  <c r="BF47" i="3"/>
  <c r="BF46" i="3"/>
  <c r="BG38" i="3"/>
  <c r="BG37" i="3"/>
  <c r="BG36" i="3"/>
  <c r="BI36" i="3" s="1"/>
  <c r="BH38" i="3"/>
  <c r="BF37" i="3"/>
  <c r="BH37" i="3" s="1"/>
  <c r="BI37" i="3"/>
  <c r="BF38" i="3"/>
  <c r="BI38" i="3"/>
  <c r="BF36" i="3"/>
  <c r="BG26" i="3"/>
  <c r="BG27" i="3"/>
  <c r="BI27" i="3" s="1"/>
  <c r="BG28" i="3"/>
  <c r="BG25" i="3"/>
  <c r="BI26" i="3"/>
  <c r="BI28" i="3"/>
  <c r="BG24" i="3"/>
  <c r="BI24" i="3" s="1"/>
  <c r="BF25" i="3"/>
  <c r="BH25" i="3" s="1"/>
  <c r="BI25" i="3"/>
  <c r="BF26" i="3"/>
  <c r="BH26" i="3" s="1"/>
  <c r="BF27" i="3"/>
  <c r="BF28" i="3"/>
  <c r="BF24" i="3"/>
  <c r="BG5" i="3"/>
  <c r="BG16" i="3"/>
  <c r="BI16" i="3" s="1"/>
  <c r="BG9" i="3"/>
  <c r="BG10" i="3"/>
  <c r="BG11" i="3"/>
  <c r="BG12" i="3"/>
  <c r="BG13" i="3"/>
  <c r="BG14" i="3"/>
  <c r="BG15" i="3"/>
  <c r="BG6" i="3"/>
  <c r="BG7" i="3"/>
  <c r="BG8" i="3"/>
  <c r="BI5" i="3"/>
  <c r="BF16" i="3"/>
  <c r="BH16" i="3" s="1"/>
  <c r="BF5" i="3"/>
  <c r="BC84" i="3"/>
  <c r="BC82" i="3"/>
  <c r="BE82" i="3" s="1"/>
  <c r="BB85" i="3" s="1"/>
  <c r="BC83" i="3"/>
  <c r="BE83" i="3" s="1"/>
  <c r="BC81" i="3"/>
  <c r="BE81" i="3"/>
  <c r="BB82" i="3"/>
  <c r="BD82" i="3" s="1"/>
  <c r="BB83" i="3"/>
  <c r="BB84" i="3"/>
  <c r="BE84" i="3"/>
  <c r="BB81" i="3"/>
  <c r="BC71" i="3"/>
  <c r="BE71" i="3" s="1"/>
  <c r="BC70" i="3"/>
  <c r="BE70" i="3" s="1"/>
  <c r="BC72" i="3"/>
  <c r="BE72" i="3" s="1"/>
  <c r="BC73" i="3"/>
  <c r="BE73" i="3" s="1"/>
  <c r="BB71" i="3"/>
  <c r="BB72" i="3"/>
  <c r="BB73" i="3"/>
  <c r="BB70" i="3"/>
  <c r="BC61" i="3"/>
  <c r="BE61" i="3" s="1"/>
  <c r="BC62" i="3"/>
  <c r="BE62" i="3" s="1"/>
  <c r="BC60" i="3"/>
  <c r="BE60" i="3" s="1"/>
  <c r="BB63" i="3" s="1"/>
  <c r="BB61" i="3"/>
  <c r="BD61" i="3" s="1"/>
  <c r="BB62" i="3"/>
  <c r="BB60" i="3"/>
  <c r="BC52" i="3"/>
  <c r="BE52" i="3" s="1"/>
  <c r="BC51" i="3"/>
  <c r="BE51" i="3" s="1"/>
  <c r="BC48" i="3"/>
  <c r="BC49" i="3"/>
  <c r="BE49" i="3" s="1"/>
  <c r="BC47" i="3"/>
  <c r="BC46" i="3"/>
  <c r="BE46" i="3" s="1"/>
  <c r="BB52" i="3"/>
  <c r="BB51" i="3"/>
  <c r="BB47" i="3"/>
  <c r="BB48" i="3"/>
  <c r="BE48" i="3"/>
  <c r="BB49" i="3"/>
  <c r="BD49" i="3" s="1"/>
  <c r="BB46" i="3"/>
  <c r="BC37" i="3"/>
  <c r="BC36" i="3"/>
  <c r="BE36" i="3" s="1"/>
  <c r="BB39" i="3" s="1"/>
  <c r="BB37" i="3"/>
  <c r="BE37" i="3"/>
  <c r="BB36" i="3"/>
  <c r="BC24" i="3"/>
  <c r="BC25" i="3"/>
  <c r="BE25" i="3" s="1"/>
  <c r="BC26" i="3"/>
  <c r="BE26" i="3"/>
  <c r="BE24" i="3"/>
  <c r="BB25" i="3"/>
  <c r="BB26" i="3"/>
  <c r="BD26" i="3" s="1"/>
  <c r="BB24" i="3"/>
  <c r="BC13" i="3"/>
  <c r="BC11" i="3"/>
  <c r="BE11" i="3" s="1"/>
  <c r="BC6" i="3"/>
  <c r="BE6" i="3" s="1"/>
  <c r="BC7" i="3"/>
  <c r="BE7" i="3" s="1"/>
  <c r="BC8" i="3"/>
  <c r="BC9" i="3"/>
  <c r="BE9" i="3" s="1"/>
  <c r="BC10" i="3"/>
  <c r="BE10" i="3" s="1"/>
  <c r="BC12" i="3"/>
  <c r="BE12" i="3" s="1"/>
  <c r="BE13" i="3"/>
  <c r="BC14" i="3"/>
  <c r="BE14" i="3" s="1"/>
  <c r="BC15" i="3"/>
  <c r="BC5" i="3"/>
  <c r="BE15" i="3"/>
  <c r="BE8" i="3"/>
  <c r="BB6" i="3"/>
  <c r="BB7" i="3"/>
  <c r="BB8" i="3"/>
  <c r="BD8" i="3" s="1"/>
  <c r="BB9" i="3"/>
  <c r="BB10" i="3"/>
  <c r="BB11" i="3"/>
  <c r="BB12" i="3"/>
  <c r="BB13" i="3"/>
  <c r="BB14" i="3"/>
  <c r="BB15" i="3"/>
  <c r="AY84" i="3"/>
  <c r="AY83" i="3"/>
  <c r="BA83" i="3" s="1"/>
  <c r="AY82" i="3"/>
  <c r="BA82" i="3" s="1"/>
  <c r="AY81" i="3"/>
  <c r="BA81" i="3" s="1"/>
  <c r="BA84" i="3"/>
  <c r="AX82" i="3"/>
  <c r="AX83" i="3"/>
  <c r="AX84" i="3"/>
  <c r="AZ84" i="3" s="1"/>
  <c r="AX81" i="3"/>
  <c r="AY71" i="3"/>
  <c r="BA71" i="3" s="1"/>
  <c r="AY72" i="3"/>
  <c r="BA72" i="3" s="1"/>
  <c r="AY73" i="3"/>
  <c r="BA73" i="3" s="1"/>
  <c r="AY70" i="3"/>
  <c r="BA70" i="3" s="1"/>
  <c r="AX71" i="3"/>
  <c r="AX72" i="3"/>
  <c r="AX73" i="3"/>
  <c r="AX70" i="3"/>
  <c r="AY62" i="3"/>
  <c r="BA62" i="3" s="1"/>
  <c r="AY61" i="3"/>
  <c r="BA61" i="3" s="1"/>
  <c r="AY60" i="3"/>
  <c r="BA60" i="3" s="1"/>
  <c r="AX60" i="3"/>
  <c r="AX61" i="3"/>
  <c r="AX62" i="3"/>
  <c r="AX52" i="3"/>
  <c r="AX51" i="3"/>
  <c r="AX47" i="3"/>
  <c r="AX48" i="3"/>
  <c r="AX49" i="3"/>
  <c r="AX46" i="3"/>
  <c r="AY52" i="3"/>
  <c r="AY51" i="3"/>
  <c r="BA51" i="3" s="1"/>
  <c r="AY47" i="3"/>
  <c r="BA47" i="3" s="1"/>
  <c r="AY48" i="3"/>
  <c r="BA48" i="3" s="1"/>
  <c r="AY49" i="3"/>
  <c r="AY46" i="3"/>
  <c r="BA46" i="3" s="1"/>
  <c r="AZ51" i="3"/>
  <c r="BA49" i="3"/>
  <c r="AY36" i="3"/>
  <c r="AY37" i="3"/>
  <c r="BA37" i="3" s="1"/>
  <c r="AX36" i="3"/>
  <c r="AX37" i="3"/>
  <c r="AY25" i="3"/>
  <c r="BA25" i="3" s="1"/>
  <c r="AY26" i="3"/>
  <c r="BA26" i="3" s="1"/>
  <c r="AY24" i="3"/>
  <c r="BA24" i="3" s="1"/>
  <c r="AX25" i="3"/>
  <c r="AX26" i="3"/>
  <c r="AX24" i="3"/>
  <c r="AY11" i="3"/>
  <c r="AY13" i="3"/>
  <c r="AY6" i="3"/>
  <c r="BA6" i="3" s="1"/>
  <c r="AY7" i="3"/>
  <c r="BA7" i="3" s="1"/>
  <c r="AY8" i="3"/>
  <c r="BA8" i="3" s="1"/>
  <c r="AY9" i="3"/>
  <c r="AY10" i="3"/>
  <c r="BA10" i="3" s="1"/>
  <c r="AY12" i="3"/>
  <c r="AY14" i="3"/>
  <c r="AY15" i="3"/>
  <c r="BA15" i="3" s="1"/>
  <c r="AY5" i="3"/>
  <c r="BA5" i="3" s="1"/>
  <c r="AX6" i="3"/>
  <c r="AX7" i="3"/>
  <c r="AZ7" i="3" s="1"/>
  <c r="AX8" i="3"/>
  <c r="AZ8" i="3" s="1"/>
  <c r="AX9" i="3"/>
  <c r="AZ9" i="3" s="1"/>
  <c r="AX10" i="3"/>
  <c r="AZ10" i="3" s="1"/>
  <c r="AX11" i="3"/>
  <c r="BA11" i="3"/>
  <c r="AX12" i="3"/>
  <c r="AX13" i="3"/>
  <c r="AZ13" i="3" s="1"/>
  <c r="AX14" i="3"/>
  <c r="AZ14" i="3"/>
  <c r="BA14" i="3"/>
  <c r="AX15" i="3"/>
  <c r="AZ15" i="3" s="1"/>
  <c r="AX5" i="3"/>
  <c r="AU81" i="3"/>
  <c r="AU82" i="3"/>
  <c r="AU83" i="3"/>
  <c r="AU84" i="3"/>
  <c r="AU71" i="3"/>
  <c r="AU70" i="3"/>
  <c r="AU73" i="3"/>
  <c r="AU72" i="3"/>
  <c r="AU62" i="3"/>
  <c r="AU61" i="3"/>
  <c r="AU60" i="3"/>
  <c r="AU52" i="3"/>
  <c r="AU51" i="3"/>
  <c r="AU47" i="3"/>
  <c r="AU48" i="3"/>
  <c r="AU49" i="3"/>
  <c r="AU46" i="3"/>
  <c r="AU36" i="3"/>
  <c r="AU37" i="3"/>
  <c r="AU26" i="3"/>
  <c r="AU24" i="3"/>
  <c r="AU25" i="3"/>
  <c r="AU13" i="3"/>
  <c r="AU11" i="3"/>
  <c r="AU5" i="3"/>
  <c r="AU6" i="3"/>
  <c r="AU15" i="3"/>
  <c r="AU7" i="3"/>
  <c r="AU8" i="3"/>
  <c r="AU9" i="3"/>
  <c r="AU10" i="3"/>
  <c r="AU12" i="3"/>
  <c r="AU14" i="3"/>
  <c r="AQ82" i="3"/>
  <c r="AQ83" i="3"/>
  <c r="AQ84" i="3"/>
  <c r="AQ81" i="3"/>
  <c r="AQ70" i="3"/>
  <c r="AQ71" i="3"/>
  <c r="AQ72" i="3"/>
  <c r="AQ73" i="3"/>
  <c r="AQ60" i="3"/>
  <c r="AQ61" i="3"/>
  <c r="AQ62" i="3"/>
  <c r="AQ52" i="3"/>
  <c r="AQ51" i="3"/>
  <c r="AQ49" i="3"/>
  <c r="AQ48" i="3"/>
  <c r="AQ47" i="3"/>
  <c r="AQ46" i="3"/>
  <c r="AQ37" i="3"/>
  <c r="AQ36" i="3"/>
  <c r="AQ24" i="3"/>
  <c r="AQ26" i="3"/>
  <c r="AQ25" i="3"/>
  <c r="AQ13" i="3"/>
  <c r="AQ15" i="3"/>
  <c r="AQ14" i="3"/>
  <c r="AQ6" i="3"/>
  <c r="AQ7" i="3"/>
  <c r="AQ8" i="3"/>
  <c r="AQ9" i="3"/>
  <c r="AQ10" i="3"/>
  <c r="AQ11" i="3"/>
  <c r="AQ12" i="3"/>
  <c r="AQ5" i="3"/>
  <c r="AM82" i="3"/>
  <c r="AM83" i="3"/>
  <c r="AM81" i="3"/>
  <c r="AM84" i="3"/>
  <c r="AM71" i="3"/>
  <c r="AM70" i="3"/>
  <c r="AM72" i="3"/>
  <c r="AM73" i="3"/>
  <c r="AM61" i="3"/>
  <c r="AM62" i="3"/>
  <c r="AM60" i="3"/>
  <c r="AM52" i="3"/>
  <c r="AM47" i="3"/>
  <c r="AM51" i="3"/>
  <c r="AM48" i="3"/>
  <c r="AM49" i="3"/>
  <c r="AM46" i="3"/>
  <c r="AM37" i="3"/>
  <c r="AM36" i="3"/>
  <c r="AM26" i="3"/>
  <c r="AM24" i="3"/>
  <c r="AM25" i="3"/>
  <c r="AM13" i="3"/>
  <c r="AM11" i="3"/>
  <c r="AM6" i="3"/>
  <c r="AM7" i="3"/>
  <c r="AM8" i="3"/>
  <c r="AM9" i="3"/>
  <c r="AM10" i="3"/>
  <c r="AM12" i="3"/>
  <c r="AM14" i="3"/>
  <c r="AM15" i="3"/>
  <c r="AM5" i="3"/>
  <c r="AL5" i="3"/>
  <c r="AL6" i="3"/>
  <c r="AL7" i="3"/>
  <c r="AL8" i="3"/>
  <c r="AL9" i="3"/>
  <c r="AL10" i="3"/>
  <c r="AL11" i="3"/>
  <c r="AL12" i="3"/>
  <c r="AL13" i="3"/>
  <c r="AL14" i="3"/>
  <c r="AL15" i="3"/>
  <c r="AH5" i="3"/>
  <c r="AI82" i="3"/>
  <c r="AI83" i="3"/>
  <c r="AI84" i="3"/>
  <c r="AI81" i="3"/>
  <c r="AI71" i="3"/>
  <c r="AI73" i="3"/>
  <c r="AI72" i="3"/>
  <c r="AI70" i="3"/>
  <c r="AI60" i="3"/>
  <c r="AI62" i="3"/>
  <c r="AI61" i="3"/>
  <c r="AI52" i="3"/>
  <c r="AI51" i="3"/>
  <c r="AI49" i="3"/>
  <c r="AI48" i="3"/>
  <c r="AI47" i="3"/>
  <c r="AI46" i="3"/>
  <c r="AI36" i="3"/>
  <c r="AI37" i="3"/>
  <c r="AI26" i="3"/>
  <c r="AI24" i="3"/>
  <c r="AI25" i="3"/>
  <c r="AI6" i="3"/>
  <c r="AI7" i="3"/>
  <c r="AI8" i="3"/>
  <c r="AI9" i="3"/>
  <c r="AI10" i="3"/>
  <c r="AI11" i="3"/>
  <c r="AI12" i="3"/>
  <c r="AI13" i="3"/>
  <c r="AI14" i="3"/>
  <c r="AI15" i="3"/>
  <c r="AZ6" i="3" l="1"/>
  <c r="BL73" i="3"/>
  <c r="BR29" i="3"/>
  <c r="BR85" i="3"/>
  <c r="CD53" i="3"/>
  <c r="AN5" i="3"/>
  <c r="AZ49" i="3"/>
  <c r="BD6" i="3"/>
  <c r="BD48" i="3"/>
  <c r="BD84" i="3"/>
  <c r="BH60" i="3"/>
  <c r="BH72" i="3"/>
  <c r="BJ29" i="3"/>
  <c r="BL83" i="3"/>
  <c r="BN53" i="3"/>
  <c r="BN63" i="3"/>
  <c r="BT15" i="3"/>
  <c r="BT12" i="3"/>
  <c r="BT48" i="3"/>
  <c r="BT60" i="3"/>
  <c r="BX62" i="3"/>
  <c r="CB51" i="3"/>
  <c r="CB62" i="3"/>
  <c r="BZ63" i="3"/>
  <c r="CF73" i="3"/>
  <c r="CJ49" i="3"/>
  <c r="AZ12" i="3"/>
  <c r="AX29" i="3"/>
  <c r="BB29" i="3"/>
  <c r="BH49" i="3"/>
  <c r="BL84" i="3"/>
  <c r="BT24" i="3"/>
  <c r="BX25" i="3"/>
  <c r="BX60" i="3"/>
  <c r="CB25" i="3"/>
  <c r="CB71" i="3"/>
  <c r="BZ85" i="3"/>
  <c r="CF51" i="3"/>
  <c r="CF60" i="3"/>
  <c r="CH29" i="3"/>
  <c r="CH39" i="3"/>
  <c r="CJ47" i="3"/>
  <c r="CJ84" i="3"/>
  <c r="AZ52" i="3"/>
  <c r="BA52" i="3"/>
  <c r="AX53" i="3" s="1"/>
  <c r="AX74" i="3"/>
  <c r="BR63" i="3"/>
  <c r="BV53" i="3"/>
  <c r="BV74" i="3"/>
  <c r="BD47" i="3"/>
  <c r="BE47" i="3"/>
  <c r="BB53" i="3" s="1"/>
  <c r="BH27" i="3"/>
  <c r="CD29" i="3"/>
  <c r="BF53" i="3"/>
  <c r="BF29" i="3"/>
  <c r="BF74" i="3"/>
  <c r="BN74" i="3"/>
  <c r="CD74" i="3"/>
  <c r="CH85" i="3"/>
  <c r="BJ53" i="3"/>
  <c r="BN85" i="3"/>
  <c r="BV85" i="3"/>
  <c r="BZ74" i="3"/>
  <c r="BD52" i="3"/>
  <c r="BL52" i="3"/>
  <c r="BJ74" i="3"/>
  <c r="BP6" i="3"/>
  <c r="BT36" i="3"/>
  <c r="BY25" i="3"/>
  <c r="BV29" i="3" s="1"/>
  <c r="BV63" i="3"/>
  <c r="BZ53" i="3"/>
  <c r="CB49" i="3"/>
  <c r="CB81" i="3"/>
  <c r="CD63" i="3"/>
  <c r="CD85" i="3"/>
  <c r="AX63" i="3"/>
  <c r="BN39" i="3"/>
  <c r="BP73" i="3"/>
  <c r="BT52" i="3"/>
  <c r="CH74" i="3"/>
  <c r="AZ11" i="3"/>
  <c r="AZ73" i="3"/>
  <c r="AX85" i="3"/>
  <c r="BD14" i="3"/>
  <c r="BB74" i="3"/>
  <c r="BF39" i="3"/>
  <c r="BF63" i="3"/>
  <c r="BH83" i="3"/>
  <c r="BP60" i="3"/>
  <c r="BR53" i="3"/>
  <c r="BT49" i="3"/>
  <c r="BR74" i="3"/>
  <c r="BV39" i="3"/>
  <c r="BX52" i="3"/>
  <c r="CH53" i="3"/>
  <c r="CJ72" i="3"/>
  <c r="CJ82" i="3"/>
  <c r="CJ81" i="3"/>
  <c r="CJ73" i="3"/>
  <c r="CJ70" i="3"/>
  <c r="CJ61" i="3"/>
  <c r="CJ62" i="3"/>
  <c r="CJ60" i="3"/>
  <c r="CJ51" i="3"/>
  <c r="CJ52" i="3"/>
  <c r="CJ37" i="3"/>
  <c r="CJ36" i="3"/>
  <c r="CJ25" i="3"/>
  <c r="CJ26" i="3"/>
  <c r="CJ24" i="3"/>
  <c r="CF83" i="3"/>
  <c r="CF81" i="3"/>
  <c r="CF84" i="3"/>
  <c r="CF71" i="3"/>
  <c r="CF72" i="3"/>
  <c r="CF70" i="3"/>
  <c r="CF61" i="3"/>
  <c r="CF62" i="3"/>
  <c r="CF47" i="3"/>
  <c r="CF36" i="3"/>
  <c r="CF26" i="3"/>
  <c r="CF25" i="3"/>
  <c r="CB83" i="3"/>
  <c r="CB73" i="3"/>
  <c r="CB61" i="3"/>
  <c r="CB47" i="3"/>
  <c r="CB24" i="3"/>
  <c r="BX84" i="3"/>
  <c r="BX73" i="3"/>
  <c r="BX71" i="3"/>
  <c r="BX72" i="3"/>
  <c r="BX70" i="3"/>
  <c r="BX61" i="3"/>
  <c r="BX46" i="3"/>
  <c r="BX36" i="3"/>
  <c r="BX24" i="3"/>
  <c r="BT83" i="3"/>
  <c r="BT82" i="3"/>
  <c r="BT81" i="3"/>
  <c r="BT73" i="3"/>
  <c r="BT71" i="3"/>
  <c r="BT70" i="3"/>
  <c r="BT61" i="3"/>
  <c r="BT62" i="3"/>
  <c r="BU36" i="3"/>
  <c r="BR39" i="3" s="1"/>
  <c r="BT37" i="3"/>
  <c r="BT25" i="3"/>
  <c r="BT26" i="3"/>
  <c r="BT14" i="3"/>
  <c r="BT6" i="3"/>
  <c r="BT13" i="3"/>
  <c r="BT9" i="3"/>
  <c r="BP83" i="3"/>
  <c r="BP82" i="3"/>
  <c r="BP72" i="3"/>
  <c r="BP71" i="3"/>
  <c r="BP70" i="3"/>
  <c r="BP61" i="3"/>
  <c r="BP47" i="3"/>
  <c r="BP49" i="3"/>
  <c r="BP52" i="3"/>
  <c r="BP48" i="3"/>
  <c r="BP46" i="3"/>
  <c r="BP36" i="3"/>
  <c r="BP37" i="3"/>
  <c r="BQ25" i="3"/>
  <c r="BN29" i="3" s="1"/>
  <c r="BP24" i="3"/>
  <c r="BP11" i="3"/>
  <c r="BP14" i="3"/>
  <c r="BP10" i="3"/>
  <c r="BP15" i="3"/>
  <c r="BP7" i="3"/>
  <c r="BP8" i="3"/>
  <c r="BP12" i="3"/>
  <c r="BP13" i="3"/>
  <c r="BP9" i="3"/>
  <c r="BL81" i="3"/>
  <c r="BL71" i="3"/>
  <c r="BL72" i="3"/>
  <c r="BL62" i="3"/>
  <c r="BL61" i="3"/>
  <c r="BL51" i="3"/>
  <c r="BL36" i="3"/>
  <c r="BL37" i="3"/>
  <c r="BL24" i="3"/>
  <c r="BI83" i="3"/>
  <c r="BF85" i="3" s="1"/>
  <c r="BH81" i="3"/>
  <c r="BH73" i="3"/>
  <c r="BH71" i="3"/>
  <c r="BH70" i="3"/>
  <c r="BH48" i="3"/>
  <c r="BH52" i="3"/>
  <c r="BH46" i="3"/>
  <c r="BH47" i="3"/>
  <c r="BH51" i="3"/>
  <c r="BH50" i="3"/>
  <c r="BH36" i="3"/>
  <c r="BH28" i="3"/>
  <c r="BH24" i="3"/>
  <c r="BD83" i="3"/>
  <c r="BD81" i="3"/>
  <c r="BD71" i="3"/>
  <c r="BD70" i="3"/>
  <c r="BD73" i="3"/>
  <c r="BD72" i="3"/>
  <c r="BD62" i="3"/>
  <c r="BD60" i="3"/>
  <c r="BD51" i="3"/>
  <c r="BD46" i="3"/>
  <c r="BD37" i="3"/>
  <c r="BD36" i="3"/>
  <c r="BD25" i="3"/>
  <c r="BD24" i="3"/>
  <c r="BD11" i="3"/>
  <c r="BD7" i="3"/>
  <c r="BD15" i="3"/>
  <c r="BD10" i="3"/>
  <c r="BD12" i="3"/>
  <c r="BD13" i="3"/>
  <c r="BD9" i="3"/>
  <c r="AZ82" i="3"/>
  <c r="AZ83" i="3"/>
  <c r="AZ81" i="3"/>
  <c r="AZ70" i="3"/>
  <c r="AZ71" i="3"/>
  <c r="AZ72" i="3"/>
  <c r="AZ61" i="3"/>
  <c r="AZ60" i="3"/>
  <c r="AZ62" i="3"/>
  <c r="AZ48" i="3"/>
  <c r="AZ47" i="3"/>
  <c r="AZ37" i="3"/>
  <c r="AZ25" i="3"/>
  <c r="AZ26" i="3"/>
  <c r="BA12" i="3"/>
  <c r="BA13" i="3"/>
  <c r="BA9" i="3"/>
  <c r="AX17" i="3" s="1"/>
  <c r="AN6" i="3"/>
  <c r="AI5" i="3" l="1"/>
  <c r="AE83" i="3" l="1"/>
  <c r="AE82" i="3"/>
  <c r="AE81" i="3"/>
  <c r="AE84" i="3"/>
  <c r="AE71" i="3"/>
  <c r="AE73" i="3"/>
  <c r="AE72" i="3"/>
  <c r="AE70" i="3"/>
  <c r="AE62" i="3"/>
  <c r="AE61" i="3"/>
  <c r="AE60" i="3"/>
  <c r="AE52" i="3"/>
  <c r="AE51" i="3"/>
  <c r="AE49" i="3"/>
  <c r="AE48" i="3"/>
  <c r="AE47" i="3"/>
  <c r="AE46" i="3"/>
  <c r="AE36" i="3"/>
  <c r="AE37" i="3"/>
  <c r="AE26" i="3"/>
  <c r="AE24" i="3"/>
  <c r="AE25" i="3"/>
  <c r="AE15" i="3"/>
  <c r="AE14" i="3"/>
  <c r="AE13" i="3"/>
  <c r="AE11" i="3"/>
  <c r="AE10" i="3"/>
  <c r="AE9" i="3"/>
  <c r="AE8" i="3"/>
  <c r="AE7" i="3"/>
  <c r="AE6" i="3"/>
  <c r="AE5" i="3"/>
  <c r="AE12" i="3"/>
  <c r="AD5" i="3" l="1"/>
  <c r="AA84" i="3"/>
  <c r="G48" i="4" s="1"/>
  <c r="AA83" i="3"/>
  <c r="G47" i="4" s="1"/>
  <c r="AA82" i="3"/>
  <c r="G46" i="4" s="1"/>
  <c r="AA81" i="3"/>
  <c r="G45" i="4" s="1"/>
  <c r="AA73" i="3"/>
  <c r="G43" i="4" s="1"/>
  <c r="AA72" i="3"/>
  <c r="G42" i="4" s="1"/>
  <c r="AA71" i="3"/>
  <c r="G41" i="4" s="1"/>
  <c r="AA70" i="3"/>
  <c r="G40" i="4" s="1"/>
  <c r="AA62" i="3"/>
  <c r="G38" i="4" s="1"/>
  <c r="AA61" i="3"/>
  <c r="G37" i="4" s="1"/>
  <c r="AA60" i="3"/>
  <c r="G36" i="4" s="1"/>
  <c r="AA52" i="3"/>
  <c r="G34" i="4" s="1"/>
  <c r="AA51" i="3"/>
  <c r="G33" i="4" s="1"/>
  <c r="AA50" i="3"/>
  <c r="G32" i="4" s="1"/>
  <c r="AA49" i="3"/>
  <c r="G31" i="4" s="1"/>
  <c r="AA48" i="3"/>
  <c r="G30" i="4" s="1"/>
  <c r="AA47" i="3"/>
  <c r="G29" i="4" s="1"/>
  <c r="AA46" i="3"/>
  <c r="G28" i="4" s="1"/>
  <c r="AA38" i="3"/>
  <c r="G26" i="4" s="1"/>
  <c r="AA37" i="3"/>
  <c r="G25" i="4" s="1"/>
  <c r="AA36" i="3"/>
  <c r="G24" i="4" s="1"/>
  <c r="AA28" i="3"/>
  <c r="G22" i="4" s="1"/>
  <c r="AA27" i="3"/>
  <c r="G21" i="4" s="1"/>
  <c r="AA26" i="3"/>
  <c r="G20" i="4" s="1"/>
  <c r="AA25" i="3"/>
  <c r="G19" i="4" s="1"/>
  <c r="AA24" i="3"/>
  <c r="G18" i="4" s="1"/>
  <c r="AA6" i="3"/>
  <c r="G6" i="4" s="1"/>
  <c r="AA7" i="3"/>
  <c r="G7" i="4" s="1"/>
  <c r="AA8" i="3"/>
  <c r="G8" i="4" s="1"/>
  <c r="AA9" i="3"/>
  <c r="G9" i="4" s="1"/>
  <c r="AA10" i="3"/>
  <c r="G10" i="4" s="1"/>
  <c r="AA11" i="3"/>
  <c r="G11" i="4" s="1"/>
  <c r="AA12" i="3"/>
  <c r="G12" i="4" s="1"/>
  <c r="AA13" i="3"/>
  <c r="G13" i="4" s="1"/>
  <c r="AA14" i="3"/>
  <c r="G14" i="4" s="1"/>
  <c r="AA15" i="3"/>
  <c r="G15" i="4" s="1"/>
  <c r="AA16" i="3"/>
  <c r="G16" i="4" s="1"/>
  <c r="AA5" i="3"/>
  <c r="G5" i="4" s="1"/>
  <c r="AW84" i="3" l="1"/>
  <c r="AT84" i="3"/>
  <c r="AV84" i="3" s="1"/>
  <c r="AS84" i="3"/>
  <c r="AP84" i="3"/>
  <c r="AR84" i="3" s="1"/>
  <c r="AO84" i="3"/>
  <c r="AL84" i="3"/>
  <c r="AN84" i="3" s="1"/>
  <c r="AK84" i="3"/>
  <c r="AH84" i="3"/>
  <c r="AJ84" i="3" s="1"/>
  <c r="AG84" i="3"/>
  <c r="AD84" i="3"/>
  <c r="AF84" i="3" s="1"/>
  <c r="AW83" i="3"/>
  <c r="AT83" i="3"/>
  <c r="AV83" i="3" s="1"/>
  <c r="AS83" i="3"/>
  <c r="AP83" i="3"/>
  <c r="AR83" i="3" s="1"/>
  <c r="AO83" i="3"/>
  <c r="AL83" i="3"/>
  <c r="AN83" i="3" s="1"/>
  <c r="AK83" i="3"/>
  <c r="AH83" i="3"/>
  <c r="AJ83" i="3" s="1"/>
  <c r="AG83" i="3"/>
  <c r="AD83" i="3"/>
  <c r="AF83" i="3" s="1"/>
  <c r="AW82" i="3"/>
  <c r="AT82" i="3"/>
  <c r="AV82" i="3" s="1"/>
  <c r="AS82" i="3"/>
  <c r="AP82" i="3"/>
  <c r="AR82" i="3" s="1"/>
  <c r="AO82" i="3"/>
  <c r="AL82" i="3"/>
  <c r="AN82" i="3" s="1"/>
  <c r="AK82" i="3"/>
  <c r="AH82" i="3"/>
  <c r="AJ82" i="3" s="1"/>
  <c r="AG82" i="3"/>
  <c r="AD82" i="3"/>
  <c r="AF82" i="3" s="1"/>
  <c r="AW81" i="3"/>
  <c r="AT81" i="3"/>
  <c r="AV81" i="3" s="1"/>
  <c r="AS81" i="3"/>
  <c r="AP81" i="3"/>
  <c r="AR81" i="3" s="1"/>
  <c r="AO81" i="3"/>
  <c r="AL85" i="3" s="1"/>
  <c r="AL81" i="3"/>
  <c r="AN81" i="3" s="1"/>
  <c r="AK81" i="3"/>
  <c r="AH81" i="3"/>
  <c r="AJ81" i="3" s="1"/>
  <c r="AG81" i="3"/>
  <c r="AD85" i="3" s="1"/>
  <c r="AD81" i="3"/>
  <c r="AF81" i="3" s="1"/>
  <c r="AW73" i="3"/>
  <c r="AT73" i="3"/>
  <c r="AV73" i="3" s="1"/>
  <c r="AS73" i="3"/>
  <c r="AP73" i="3"/>
  <c r="AR73" i="3" s="1"/>
  <c r="AO73" i="3"/>
  <c r="AL73" i="3"/>
  <c r="AN73" i="3" s="1"/>
  <c r="AK73" i="3"/>
  <c r="AH73" i="3"/>
  <c r="AJ73" i="3" s="1"/>
  <c r="AG73" i="3"/>
  <c r="AD73" i="3"/>
  <c r="AF73" i="3" s="1"/>
  <c r="AW72" i="3"/>
  <c r="AT72" i="3"/>
  <c r="AV72" i="3" s="1"/>
  <c r="AS72" i="3"/>
  <c r="AP72" i="3"/>
  <c r="AR72" i="3" s="1"/>
  <c r="AO72" i="3"/>
  <c r="AL72" i="3"/>
  <c r="AN72" i="3" s="1"/>
  <c r="AK72" i="3"/>
  <c r="AH72" i="3"/>
  <c r="AJ72" i="3" s="1"/>
  <c r="AG72" i="3"/>
  <c r="AD72" i="3"/>
  <c r="AF72" i="3" s="1"/>
  <c r="AW71" i="3"/>
  <c r="AT71" i="3"/>
  <c r="AV71" i="3" s="1"/>
  <c r="AS71" i="3"/>
  <c r="AP71" i="3"/>
  <c r="AR71" i="3" s="1"/>
  <c r="AO71" i="3"/>
  <c r="AL71" i="3"/>
  <c r="AN71" i="3" s="1"/>
  <c r="AK71" i="3"/>
  <c r="AH71" i="3"/>
  <c r="AJ71" i="3" s="1"/>
  <c r="AG71" i="3"/>
  <c r="AD71" i="3"/>
  <c r="AF71" i="3" s="1"/>
  <c r="AW70" i="3"/>
  <c r="AT74" i="3" s="1"/>
  <c r="AT70" i="3"/>
  <c r="AV70" i="3" s="1"/>
  <c r="AS70" i="3"/>
  <c r="AP70" i="3"/>
  <c r="AR70" i="3" s="1"/>
  <c r="AO70" i="3"/>
  <c r="AL74" i="3" s="1"/>
  <c r="AL70" i="3"/>
  <c r="AN70" i="3" s="1"/>
  <c r="AK70" i="3"/>
  <c r="AH70" i="3"/>
  <c r="AJ70" i="3" s="1"/>
  <c r="AG70" i="3"/>
  <c r="AD74" i="3" s="1"/>
  <c r="AD70" i="3"/>
  <c r="AF70" i="3" s="1"/>
  <c r="AW62" i="3"/>
  <c r="AT62" i="3"/>
  <c r="AV62" i="3" s="1"/>
  <c r="AS62" i="3"/>
  <c r="AP62" i="3"/>
  <c r="AR62" i="3" s="1"/>
  <c r="AO62" i="3"/>
  <c r="AL62" i="3"/>
  <c r="AN62" i="3" s="1"/>
  <c r="AK62" i="3"/>
  <c r="AH62" i="3"/>
  <c r="AJ62" i="3" s="1"/>
  <c r="AG62" i="3"/>
  <c r="AD62" i="3"/>
  <c r="AF62" i="3" s="1"/>
  <c r="AW61" i="3"/>
  <c r="AT61" i="3"/>
  <c r="AV61" i="3" s="1"/>
  <c r="AS61" i="3"/>
  <c r="AP61" i="3"/>
  <c r="AR61" i="3" s="1"/>
  <c r="AO61" i="3"/>
  <c r="AL61" i="3"/>
  <c r="AN61" i="3" s="1"/>
  <c r="AK61" i="3"/>
  <c r="AH61" i="3"/>
  <c r="AJ61" i="3" s="1"/>
  <c r="AG61" i="3"/>
  <c r="AD61" i="3"/>
  <c r="AF61" i="3" s="1"/>
  <c r="AW60" i="3"/>
  <c r="AT60" i="3"/>
  <c r="AV60" i="3" s="1"/>
  <c r="AS60" i="3"/>
  <c r="AP63" i="3" s="1"/>
  <c r="AP60" i="3"/>
  <c r="AR60" i="3" s="1"/>
  <c r="AO60" i="3"/>
  <c r="AL60" i="3"/>
  <c r="AN60" i="3" s="1"/>
  <c r="AK60" i="3"/>
  <c r="AH63" i="3" s="1"/>
  <c r="AH60" i="3"/>
  <c r="AJ60" i="3" s="1"/>
  <c r="AG60" i="3"/>
  <c r="AD60" i="3"/>
  <c r="AF60" i="3" s="1"/>
  <c r="AW52" i="3"/>
  <c r="AT52" i="3"/>
  <c r="AV52" i="3" s="1"/>
  <c r="AS52" i="3"/>
  <c r="AP52" i="3"/>
  <c r="AR52" i="3" s="1"/>
  <c r="AO52" i="3"/>
  <c r="AL52" i="3"/>
  <c r="AN52" i="3" s="1"/>
  <c r="AK52" i="3"/>
  <c r="AH52" i="3"/>
  <c r="AJ52" i="3" s="1"/>
  <c r="AG52" i="3"/>
  <c r="AD52" i="3"/>
  <c r="AF52" i="3" s="1"/>
  <c r="AW51" i="3"/>
  <c r="AT51" i="3"/>
  <c r="AV51" i="3" s="1"/>
  <c r="AS51" i="3"/>
  <c r="AP51" i="3"/>
  <c r="AR51" i="3" s="1"/>
  <c r="AO51" i="3"/>
  <c r="AL51" i="3"/>
  <c r="AN51" i="3" s="1"/>
  <c r="AK51" i="3"/>
  <c r="AH51" i="3"/>
  <c r="AJ51" i="3" s="1"/>
  <c r="AG51" i="3"/>
  <c r="AD51" i="3"/>
  <c r="AF51" i="3" s="1"/>
  <c r="Z50" i="3"/>
  <c r="F32" i="4" s="1"/>
  <c r="H32" i="4" s="1"/>
  <c r="AW49" i="3"/>
  <c r="AT49" i="3"/>
  <c r="AV49" i="3" s="1"/>
  <c r="AS49" i="3"/>
  <c r="AP49" i="3"/>
  <c r="AR49" i="3" s="1"/>
  <c r="AO49" i="3"/>
  <c r="AL49" i="3"/>
  <c r="AN49" i="3" s="1"/>
  <c r="AK49" i="3"/>
  <c r="AH49" i="3"/>
  <c r="AJ49" i="3" s="1"/>
  <c r="AG49" i="3"/>
  <c r="AD49" i="3"/>
  <c r="AF49" i="3" s="1"/>
  <c r="AW48" i="3"/>
  <c r="AT48" i="3"/>
  <c r="AV48" i="3" s="1"/>
  <c r="AS48" i="3"/>
  <c r="AP48" i="3"/>
  <c r="AR48" i="3" s="1"/>
  <c r="AO48" i="3"/>
  <c r="AL48" i="3"/>
  <c r="AN48" i="3" s="1"/>
  <c r="AK48" i="3"/>
  <c r="AH48" i="3"/>
  <c r="AJ48" i="3" s="1"/>
  <c r="AG48" i="3"/>
  <c r="AD48" i="3"/>
  <c r="AF48" i="3" s="1"/>
  <c r="AW47" i="3"/>
  <c r="AT47" i="3"/>
  <c r="AV47" i="3" s="1"/>
  <c r="AS47" i="3"/>
  <c r="AP47" i="3"/>
  <c r="AR47" i="3" s="1"/>
  <c r="AO47" i="3"/>
  <c r="AL47" i="3"/>
  <c r="AN47" i="3" s="1"/>
  <c r="AK47" i="3"/>
  <c r="AH47" i="3"/>
  <c r="AJ47" i="3" s="1"/>
  <c r="AG47" i="3"/>
  <c r="AD47" i="3"/>
  <c r="AF47" i="3" s="1"/>
  <c r="AZ46" i="3"/>
  <c r="AW46" i="3"/>
  <c r="AT53" i="3" s="1"/>
  <c r="AT46" i="3"/>
  <c r="AV46" i="3" s="1"/>
  <c r="AS46" i="3"/>
  <c r="AP46" i="3"/>
  <c r="AR46" i="3" s="1"/>
  <c r="AO46" i="3"/>
  <c r="AL53" i="3" s="1"/>
  <c r="AL46" i="3"/>
  <c r="AN46" i="3" s="1"/>
  <c r="AK46" i="3"/>
  <c r="AH46" i="3"/>
  <c r="AJ46" i="3" s="1"/>
  <c r="AG46" i="3"/>
  <c r="AD53" i="3" s="1"/>
  <c r="AD46" i="3"/>
  <c r="AW37" i="3"/>
  <c r="AT37" i="3"/>
  <c r="AV37" i="3" s="1"/>
  <c r="AS37" i="3"/>
  <c r="AP37" i="3"/>
  <c r="AR37" i="3" s="1"/>
  <c r="AO37" i="3"/>
  <c r="AL37" i="3"/>
  <c r="AN37" i="3" s="1"/>
  <c r="AK37" i="3"/>
  <c r="AH37" i="3"/>
  <c r="AJ37" i="3" s="1"/>
  <c r="AG37" i="3"/>
  <c r="AD37" i="3"/>
  <c r="AF37" i="3" s="1"/>
  <c r="BA36" i="3"/>
  <c r="AX39" i="3" s="1"/>
  <c r="AZ36" i="3"/>
  <c r="AW36" i="3"/>
  <c r="AT39" i="3" s="1"/>
  <c r="AT36" i="3"/>
  <c r="AV36" i="3" s="1"/>
  <c r="AS36" i="3"/>
  <c r="AP39" i="3" s="1"/>
  <c r="AP36" i="3"/>
  <c r="AR36" i="3" s="1"/>
  <c r="AO36" i="3"/>
  <c r="AL39" i="3" s="1"/>
  <c r="AL36" i="3"/>
  <c r="AN36" i="3" s="1"/>
  <c r="AK36" i="3"/>
  <c r="AH39" i="3" s="1"/>
  <c r="AH36" i="3"/>
  <c r="AJ36" i="3" s="1"/>
  <c r="AG36" i="3"/>
  <c r="AD39" i="3" s="1"/>
  <c r="AD36" i="3"/>
  <c r="AF36" i="3" s="1"/>
  <c r="AD25" i="3"/>
  <c r="AF25" i="3" s="1"/>
  <c r="AG25" i="3"/>
  <c r="AH25" i="3"/>
  <c r="AJ25" i="3" s="1"/>
  <c r="AK25" i="3"/>
  <c r="AL25" i="3"/>
  <c r="AN25" i="3" s="1"/>
  <c r="AO25" i="3"/>
  <c r="AP25" i="3"/>
  <c r="AR25" i="3" s="1"/>
  <c r="AS25" i="3"/>
  <c r="AT25" i="3"/>
  <c r="AV25" i="3" s="1"/>
  <c r="AW25" i="3"/>
  <c r="AD26" i="3"/>
  <c r="AF26" i="3" s="1"/>
  <c r="AG26" i="3"/>
  <c r="AH26" i="3"/>
  <c r="AJ26" i="3" s="1"/>
  <c r="AK26" i="3"/>
  <c r="AL26" i="3"/>
  <c r="AN26" i="3" s="1"/>
  <c r="AO26" i="3"/>
  <c r="AP26" i="3"/>
  <c r="AR26" i="3" s="1"/>
  <c r="AS26" i="3"/>
  <c r="AT26" i="3"/>
  <c r="AV26" i="3" s="1"/>
  <c r="AW26" i="3"/>
  <c r="AZ24" i="3"/>
  <c r="AW24" i="3"/>
  <c r="AT29" i="3" s="1"/>
  <c r="AT24" i="3"/>
  <c r="AV24" i="3" s="1"/>
  <c r="AS24" i="3"/>
  <c r="AP29" i="3" s="1"/>
  <c r="AP24" i="3"/>
  <c r="AR24" i="3" s="1"/>
  <c r="AO24" i="3"/>
  <c r="AL29" i="3" s="1"/>
  <c r="AN24" i="3"/>
  <c r="AL24" i="3"/>
  <c r="AK24" i="3"/>
  <c r="AH29" i="3" s="1"/>
  <c r="AH24" i="3"/>
  <c r="AJ24" i="3" s="1"/>
  <c r="AG24" i="3"/>
  <c r="AD29" i="3" s="1"/>
  <c r="AD24" i="3"/>
  <c r="AF24" i="3" s="1"/>
  <c r="AP6" i="3"/>
  <c r="AR6" i="3" s="1"/>
  <c r="AS6" i="3"/>
  <c r="AT6" i="3"/>
  <c r="AV6" i="3" s="1"/>
  <c r="AW6" i="3"/>
  <c r="BF6" i="3"/>
  <c r="BH6" i="3" s="1"/>
  <c r="BI6" i="3"/>
  <c r="BJ6" i="3"/>
  <c r="BL6" i="3" s="1"/>
  <c r="BM6" i="3"/>
  <c r="AP7" i="3"/>
  <c r="AR7" i="3" s="1"/>
  <c r="AS7" i="3"/>
  <c r="AT7" i="3"/>
  <c r="AV7" i="3" s="1"/>
  <c r="AW7" i="3"/>
  <c r="BF7" i="3"/>
  <c r="BH7" i="3" s="1"/>
  <c r="BI7" i="3"/>
  <c r="BJ7" i="3"/>
  <c r="BL7" i="3" s="1"/>
  <c r="BM7" i="3"/>
  <c r="AP8" i="3"/>
  <c r="AR8" i="3" s="1"/>
  <c r="AS8" i="3"/>
  <c r="AT8" i="3"/>
  <c r="AV8" i="3" s="1"/>
  <c r="AW8" i="3"/>
  <c r="BF8" i="3"/>
  <c r="BH8" i="3" s="1"/>
  <c r="BI8" i="3"/>
  <c r="BJ8" i="3"/>
  <c r="BL8" i="3" s="1"/>
  <c r="BM8" i="3"/>
  <c r="AP9" i="3"/>
  <c r="AR9" i="3" s="1"/>
  <c r="AS9" i="3"/>
  <c r="AT9" i="3"/>
  <c r="AV9" i="3" s="1"/>
  <c r="AW9" i="3"/>
  <c r="BF9" i="3"/>
  <c r="BH9" i="3" s="1"/>
  <c r="BI9" i="3"/>
  <c r="BJ9" i="3"/>
  <c r="BL9" i="3" s="1"/>
  <c r="BM9" i="3"/>
  <c r="AP10" i="3"/>
  <c r="AR10" i="3" s="1"/>
  <c r="AS10" i="3"/>
  <c r="AT10" i="3"/>
  <c r="AV10" i="3" s="1"/>
  <c r="AW10" i="3"/>
  <c r="BF10" i="3"/>
  <c r="BH10" i="3" s="1"/>
  <c r="BI10" i="3"/>
  <c r="BJ10" i="3"/>
  <c r="BL10" i="3" s="1"/>
  <c r="BM10" i="3"/>
  <c r="AP11" i="3"/>
  <c r="AR11" i="3" s="1"/>
  <c r="AS11" i="3"/>
  <c r="AT11" i="3"/>
  <c r="AV11" i="3" s="1"/>
  <c r="AW11" i="3"/>
  <c r="BF11" i="3"/>
  <c r="BH11" i="3" s="1"/>
  <c r="BI11" i="3"/>
  <c r="BJ11" i="3"/>
  <c r="BL11" i="3" s="1"/>
  <c r="BM11" i="3"/>
  <c r="AP12" i="3"/>
  <c r="AR12" i="3" s="1"/>
  <c r="AS12" i="3"/>
  <c r="AT12" i="3"/>
  <c r="AV12" i="3" s="1"/>
  <c r="AW12" i="3"/>
  <c r="BF12" i="3"/>
  <c r="BH12" i="3" s="1"/>
  <c r="BI12" i="3"/>
  <c r="BJ12" i="3"/>
  <c r="BL12" i="3" s="1"/>
  <c r="BM12" i="3"/>
  <c r="AP13" i="3"/>
  <c r="AR13" i="3" s="1"/>
  <c r="AS13" i="3"/>
  <c r="AT13" i="3"/>
  <c r="AV13" i="3" s="1"/>
  <c r="AW13" i="3"/>
  <c r="BF13" i="3"/>
  <c r="BH13" i="3" s="1"/>
  <c r="BI13" i="3"/>
  <c r="BJ13" i="3"/>
  <c r="BL13" i="3"/>
  <c r="BM13" i="3"/>
  <c r="AP14" i="3"/>
  <c r="AR14" i="3" s="1"/>
  <c r="AS14" i="3"/>
  <c r="AT14" i="3"/>
  <c r="AV14" i="3" s="1"/>
  <c r="AW14" i="3"/>
  <c r="BF14" i="3"/>
  <c r="BH14" i="3" s="1"/>
  <c r="BI14" i="3"/>
  <c r="BJ14" i="3"/>
  <c r="BL14" i="3" s="1"/>
  <c r="BM14" i="3"/>
  <c r="AP15" i="3"/>
  <c r="AR15" i="3" s="1"/>
  <c r="AS15" i="3"/>
  <c r="AT15" i="3"/>
  <c r="AV15" i="3" s="1"/>
  <c r="AW15" i="3"/>
  <c r="BF15" i="3"/>
  <c r="BH15" i="3" s="1"/>
  <c r="BI15" i="3"/>
  <c r="BJ15" i="3"/>
  <c r="BL15" i="3" s="1"/>
  <c r="BM15" i="3"/>
  <c r="BV6" i="3"/>
  <c r="BX6" i="3" s="1"/>
  <c r="BY6" i="3"/>
  <c r="BZ6" i="3"/>
  <c r="CB6" i="3" s="1"/>
  <c r="CC6" i="3"/>
  <c r="CD6" i="3"/>
  <c r="CG6" i="3"/>
  <c r="CH6" i="3"/>
  <c r="CJ6" i="3" s="1"/>
  <c r="CK6" i="3"/>
  <c r="BV7" i="3"/>
  <c r="BX7" i="3" s="1"/>
  <c r="BY7" i="3"/>
  <c r="BZ7" i="3"/>
  <c r="CB7" i="3" s="1"/>
  <c r="CC7" i="3"/>
  <c r="CD7" i="3"/>
  <c r="CF7" i="3" s="1"/>
  <c r="CG7" i="3"/>
  <c r="CH7" i="3"/>
  <c r="CJ7" i="3" s="1"/>
  <c r="CK7" i="3"/>
  <c r="BV8" i="3"/>
  <c r="BX8" i="3" s="1"/>
  <c r="BY8" i="3"/>
  <c r="BZ8" i="3"/>
  <c r="CB8" i="3" s="1"/>
  <c r="CC8" i="3"/>
  <c r="CD8" i="3"/>
  <c r="CG8" i="3"/>
  <c r="CH8" i="3"/>
  <c r="CJ8" i="3" s="1"/>
  <c r="CK8" i="3"/>
  <c r="BV9" i="3"/>
  <c r="BX9" i="3" s="1"/>
  <c r="BY9" i="3"/>
  <c r="BZ9" i="3"/>
  <c r="CB9" i="3" s="1"/>
  <c r="CC9" i="3"/>
  <c r="CD9" i="3"/>
  <c r="CG9" i="3"/>
  <c r="CH9" i="3"/>
  <c r="CJ9" i="3" s="1"/>
  <c r="CK9" i="3"/>
  <c r="BV10" i="3"/>
  <c r="BX10" i="3" s="1"/>
  <c r="BY10" i="3"/>
  <c r="BZ10" i="3"/>
  <c r="CB10" i="3" s="1"/>
  <c r="CC10" i="3"/>
  <c r="CD10" i="3"/>
  <c r="CG10" i="3"/>
  <c r="CH10" i="3"/>
  <c r="CJ10" i="3" s="1"/>
  <c r="CK10" i="3"/>
  <c r="BV11" i="3"/>
  <c r="BX11" i="3" s="1"/>
  <c r="BY11" i="3"/>
  <c r="BZ11" i="3"/>
  <c r="CB11" i="3" s="1"/>
  <c r="CC11" i="3"/>
  <c r="CD11" i="3"/>
  <c r="CG11" i="3"/>
  <c r="CH11" i="3"/>
  <c r="CJ11" i="3" s="1"/>
  <c r="CK11" i="3"/>
  <c r="BV12" i="3"/>
  <c r="BX12" i="3" s="1"/>
  <c r="BY12" i="3"/>
  <c r="BZ12" i="3"/>
  <c r="CB12" i="3" s="1"/>
  <c r="CC12" i="3"/>
  <c r="CD12" i="3"/>
  <c r="CG12" i="3"/>
  <c r="CH12" i="3"/>
  <c r="CJ12" i="3" s="1"/>
  <c r="CK12" i="3"/>
  <c r="BV13" i="3"/>
  <c r="BX13" i="3" s="1"/>
  <c r="BY13" i="3"/>
  <c r="BZ13" i="3"/>
  <c r="CB13" i="3" s="1"/>
  <c r="CC13" i="3"/>
  <c r="CD13" i="3"/>
  <c r="CF13" i="3" s="1"/>
  <c r="CG13" i="3"/>
  <c r="CH13" i="3"/>
  <c r="CJ13" i="3" s="1"/>
  <c r="CK13" i="3"/>
  <c r="BV14" i="3"/>
  <c r="BX14" i="3" s="1"/>
  <c r="BY14" i="3"/>
  <c r="BZ14" i="3"/>
  <c r="CB14" i="3" s="1"/>
  <c r="CC14" i="3"/>
  <c r="CD14" i="3"/>
  <c r="CG14" i="3"/>
  <c r="CH14" i="3"/>
  <c r="CJ14" i="3" s="1"/>
  <c r="CK14" i="3"/>
  <c r="BV15" i="3"/>
  <c r="BX15" i="3" s="1"/>
  <c r="BY15" i="3"/>
  <c r="BZ15" i="3"/>
  <c r="CB15" i="3" s="1"/>
  <c r="CC15" i="3"/>
  <c r="CD15" i="3"/>
  <c r="CF15" i="3" s="1"/>
  <c r="CG15" i="3"/>
  <c r="CH15" i="3"/>
  <c r="CJ15" i="3" s="1"/>
  <c r="CK15" i="3"/>
  <c r="CH5" i="3"/>
  <c r="BV5" i="3"/>
  <c r="BN5" i="3"/>
  <c r="BB5" i="3"/>
  <c r="AH6" i="3"/>
  <c r="AJ6" i="3" s="1"/>
  <c r="AK6" i="3"/>
  <c r="AO6" i="3"/>
  <c r="AH7" i="3"/>
  <c r="AJ7" i="3" s="1"/>
  <c r="AK7" i="3"/>
  <c r="AN7" i="3"/>
  <c r="AO7" i="3"/>
  <c r="AH8" i="3"/>
  <c r="AJ8" i="3" s="1"/>
  <c r="AK8" i="3"/>
  <c r="AN8" i="3"/>
  <c r="AO8" i="3"/>
  <c r="AH9" i="3"/>
  <c r="AJ9" i="3" s="1"/>
  <c r="AK9" i="3"/>
  <c r="AN9" i="3"/>
  <c r="AO9" i="3"/>
  <c r="AH10" i="3"/>
  <c r="AJ10" i="3" s="1"/>
  <c r="AK10" i="3"/>
  <c r="AN10" i="3"/>
  <c r="AO10" i="3"/>
  <c r="AH11" i="3"/>
  <c r="AJ11" i="3" s="1"/>
  <c r="AK11" i="3"/>
  <c r="AN11" i="3"/>
  <c r="AO11" i="3"/>
  <c r="AH12" i="3"/>
  <c r="AJ12" i="3" s="1"/>
  <c r="AK12" i="3"/>
  <c r="AN12" i="3"/>
  <c r="AO12" i="3"/>
  <c r="AH13" i="3"/>
  <c r="AJ13" i="3" s="1"/>
  <c r="AK13" i="3"/>
  <c r="AN13" i="3"/>
  <c r="AO13" i="3"/>
  <c r="AH14" i="3"/>
  <c r="AJ14" i="3" s="1"/>
  <c r="AK14" i="3"/>
  <c r="AN14" i="3"/>
  <c r="AO14" i="3"/>
  <c r="AH15" i="3"/>
  <c r="AJ15" i="3" s="1"/>
  <c r="AK15" i="3"/>
  <c r="AN15" i="3"/>
  <c r="AO15" i="3"/>
  <c r="AD6" i="3"/>
  <c r="AF6" i="3" s="1"/>
  <c r="AG6" i="3"/>
  <c r="AD7" i="3"/>
  <c r="AF7" i="3" s="1"/>
  <c r="AG7" i="3"/>
  <c r="AD8" i="3"/>
  <c r="AF8" i="3" s="1"/>
  <c r="AG8" i="3"/>
  <c r="AD9" i="3"/>
  <c r="AF9" i="3" s="1"/>
  <c r="AG9" i="3"/>
  <c r="AD10" i="3"/>
  <c r="AF10" i="3" s="1"/>
  <c r="AG10" i="3"/>
  <c r="AD11" i="3"/>
  <c r="AF11" i="3" s="1"/>
  <c r="AG11" i="3"/>
  <c r="AD12" i="3"/>
  <c r="AF12" i="3" s="1"/>
  <c r="AG12" i="3"/>
  <c r="AD13" i="3"/>
  <c r="AF13" i="3" s="1"/>
  <c r="AG13" i="3"/>
  <c r="AD14" i="3"/>
  <c r="AF14" i="3" s="1"/>
  <c r="AG14" i="3"/>
  <c r="AD15" i="3"/>
  <c r="AF15" i="3" s="1"/>
  <c r="AG15" i="3"/>
  <c r="AP5" i="3"/>
  <c r="AT85" i="3" l="1"/>
  <c r="AH53" i="3"/>
  <c r="AP53" i="3"/>
  <c r="AD63" i="3"/>
  <c r="AL63" i="3"/>
  <c r="AT63" i="3"/>
  <c r="AH85" i="3"/>
  <c r="AP85" i="3"/>
  <c r="Z9" i="3"/>
  <c r="F9" i="4" s="1"/>
  <c r="BJ17" i="3"/>
  <c r="Z61" i="3"/>
  <c r="F37" i="4" s="1"/>
  <c r="BF17" i="3"/>
  <c r="AH74" i="3"/>
  <c r="AP74" i="3"/>
  <c r="AB38" i="3"/>
  <c r="I26" i="4" s="1"/>
  <c r="Z38" i="3"/>
  <c r="F26" i="4" s="1"/>
  <c r="Z60" i="3"/>
  <c r="F36" i="4" s="1"/>
  <c r="Z15" i="3"/>
  <c r="F15" i="4" s="1"/>
  <c r="Z36" i="3"/>
  <c r="F24" i="4" s="1"/>
  <c r="Z47" i="3"/>
  <c r="F29" i="4" s="1"/>
  <c r="H29" i="4" s="1"/>
  <c r="AB50" i="3"/>
  <c r="I32" i="4" s="1"/>
  <c r="J32" i="4" s="1"/>
  <c r="AB60" i="3"/>
  <c r="I36" i="4" s="1"/>
  <c r="Z62" i="3"/>
  <c r="F38" i="4" s="1"/>
  <c r="Z73" i="3"/>
  <c r="F43" i="4" s="1"/>
  <c r="Z28" i="3"/>
  <c r="F22" i="4" s="1"/>
  <c r="H22" i="4" s="1"/>
  <c r="Z37" i="3"/>
  <c r="F25" i="4" s="1"/>
  <c r="Z48" i="3"/>
  <c r="F30" i="4" s="1"/>
  <c r="H30" i="4" s="1"/>
  <c r="Z13" i="3"/>
  <c r="F13" i="4" s="1"/>
  <c r="Z7" i="3"/>
  <c r="F7" i="4" s="1"/>
  <c r="AB27" i="3"/>
  <c r="I21" i="4" s="1"/>
  <c r="Z27" i="3"/>
  <c r="F21" i="4" s="1"/>
  <c r="H21" i="4" s="1"/>
  <c r="AB16" i="3"/>
  <c r="I16" i="4" s="1"/>
  <c r="Z16" i="3"/>
  <c r="F16" i="4" s="1"/>
  <c r="Z11" i="3"/>
  <c r="F11" i="4" s="1"/>
  <c r="CF9" i="3"/>
  <c r="AB9" i="3" s="1"/>
  <c r="I9" i="4" s="1"/>
  <c r="Z24" i="3"/>
  <c r="F18" i="4" s="1"/>
  <c r="AB28" i="3"/>
  <c r="I22" i="4" s="1"/>
  <c r="J22" i="4" s="1"/>
  <c r="Z26" i="3"/>
  <c r="F20" i="4" s="1"/>
  <c r="H20" i="4" s="1"/>
  <c r="Z25" i="3"/>
  <c r="F19" i="4" s="1"/>
  <c r="H19" i="4" s="1"/>
  <c r="AF46" i="3"/>
  <c r="AB46" i="3" s="1"/>
  <c r="I28" i="4" s="1"/>
  <c r="Z46" i="3"/>
  <c r="F28" i="4" s="1"/>
  <c r="AB81" i="3"/>
  <c r="I45" i="4" s="1"/>
  <c r="AB82" i="3"/>
  <c r="I46" i="4" s="1"/>
  <c r="AB73" i="3"/>
  <c r="I43" i="4" s="1"/>
  <c r="AB62" i="3"/>
  <c r="I38" i="4" s="1"/>
  <c r="AB61" i="3"/>
  <c r="I37" i="4" s="1"/>
  <c r="AB25" i="3"/>
  <c r="I19" i="4" s="1"/>
  <c r="J19" i="4" s="1"/>
  <c r="AB26" i="3"/>
  <c r="I20" i="4" s="1"/>
  <c r="J20" i="4" s="1"/>
  <c r="AB15" i="3"/>
  <c r="I15" i="4" s="1"/>
  <c r="AB13" i="3"/>
  <c r="I13" i="4" s="1"/>
  <c r="AB7" i="3"/>
  <c r="I7" i="4" s="1"/>
  <c r="Z84" i="3"/>
  <c r="F48" i="4" s="1"/>
  <c r="H48" i="4" s="1"/>
  <c r="Z83" i="3"/>
  <c r="F47" i="4" s="1"/>
  <c r="H47" i="4" s="1"/>
  <c r="AB84" i="3"/>
  <c r="I48" i="4" s="1"/>
  <c r="Z81" i="3"/>
  <c r="F45" i="4" s="1"/>
  <c r="Z82" i="3"/>
  <c r="F46" i="4" s="1"/>
  <c r="H46" i="4" s="1"/>
  <c r="AB83" i="3"/>
  <c r="I47" i="4" s="1"/>
  <c r="J47" i="4" s="1"/>
  <c r="AB71" i="3"/>
  <c r="I41" i="4" s="1"/>
  <c r="Z71" i="3"/>
  <c r="F41" i="4" s="1"/>
  <c r="AB72" i="3"/>
  <c r="I42" i="4" s="1"/>
  <c r="Z72" i="3"/>
  <c r="F42" i="4" s="1"/>
  <c r="AB70" i="3"/>
  <c r="I40" i="4" s="1"/>
  <c r="Z70" i="3"/>
  <c r="F40" i="4" s="1"/>
  <c r="Z51" i="3"/>
  <c r="F33" i="4" s="1"/>
  <c r="H33" i="4" s="1"/>
  <c r="Z52" i="3"/>
  <c r="F34" i="4" s="1"/>
  <c r="H34" i="4" s="1"/>
  <c r="AB51" i="3"/>
  <c r="I33" i="4" s="1"/>
  <c r="AB52" i="3"/>
  <c r="I34" i="4" s="1"/>
  <c r="AB47" i="3"/>
  <c r="I29" i="4" s="1"/>
  <c r="J29" i="4" s="1"/>
  <c r="AB48" i="3"/>
  <c r="I30" i="4" s="1"/>
  <c r="J30" i="4" s="1"/>
  <c r="Z49" i="3"/>
  <c r="F31" i="4" s="1"/>
  <c r="H31" i="4" s="1"/>
  <c r="AB49" i="3"/>
  <c r="I31" i="4" s="1"/>
  <c r="J31" i="4" s="1"/>
  <c r="AB36" i="3"/>
  <c r="I24" i="4" s="1"/>
  <c r="AB37" i="3"/>
  <c r="I25" i="4" s="1"/>
  <c r="AB24" i="3"/>
  <c r="I18" i="4" s="1"/>
  <c r="CF12" i="3"/>
  <c r="AB12" i="3" s="1"/>
  <c r="I12" i="4" s="1"/>
  <c r="Z12" i="3"/>
  <c r="F12" i="4" s="1"/>
  <c r="CF10" i="3"/>
  <c r="AB10" i="3" s="1"/>
  <c r="I10" i="4" s="1"/>
  <c r="Z10" i="3"/>
  <c r="F10" i="4" s="1"/>
  <c r="CF14" i="3"/>
  <c r="AB14" i="3" s="1"/>
  <c r="I14" i="4" s="1"/>
  <c r="Z14" i="3"/>
  <c r="F14" i="4" s="1"/>
  <c r="CF8" i="3"/>
  <c r="AB8" i="3" s="1"/>
  <c r="I8" i="4" s="1"/>
  <c r="Z8" i="3"/>
  <c r="F8" i="4" s="1"/>
  <c r="CF6" i="3"/>
  <c r="AB6" i="3" s="1"/>
  <c r="I6" i="4" s="1"/>
  <c r="Z6" i="3"/>
  <c r="F6" i="4" s="1"/>
  <c r="CF11" i="3"/>
  <c r="AB11" i="3" s="1"/>
  <c r="I11" i="4" s="1"/>
  <c r="AT5" i="3"/>
  <c r="Z5" i="3" s="1"/>
  <c r="F5" i="4" s="1"/>
  <c r="J34" i="4" l="1"/>
  <c r="J46" i="4"/>
  <c r="J33" i="4"/>
  <c r="J48" i="4"/>
  <c r="J21" i="4"/>
  <c r="AO5" i="3"/>
  <c r="AL17" i="3" s="1"/>
  <c r="AG5" i="3" l="1"/>
  <c r="AD17" i="3" s="1"/>
  <c r="AD89" i="3" s="1"/>
  <c r="AK5" i="3" l="1"/>
  <c r="AH17" i="3" s="1"/>
  <c r="AD3" i="3" l="1"/>
  <c r="K3" i="3" s="1"/>
  <c r="B5" i="3"/>
  <c r="B5" i="4" s="1"/>
  <c r="C5" i="3"/>
  <c r="C5" i="4" s="1"/>
  <c r="D5" i="3"/>
  <c r="D5" i="4" s="1"/>
  <c r="E5" i="3"/>
  <c r="E5" i="4" s="1"/>
  <c r="F5" i="3"/>
  <c r="G5" i="3"/>
  <c r="H5" i="3"/>
  <c r="I5" i="3"/>
  <c r="B6" i="3"/>
  <c r="B6" i="4" s="1"/>
  <c r="C6" i="3"/>
  <c r="C6" i="4" s="1"/>
  <c r="D6" i="3"/>
  <c r="D6" i="4" s="1"/>
  <c r="E6" i="3"/>
  <c r="E6" i="4" s="1"/>
  <c r="F6" i="3"/>
  <c r="G6" i="3"/>
  <c r="H6" i="3"/>
  <c r="I6" i="3"/>
  <c r="B7" i="3"/>
  <c r="B7" i="4" s="1"/>
  <c r="C7" i="3"/>
  <c r="C7" i="4" s="1"/>
  <c r="D7" i="3"/>
  <c r="D7" i="4" s="1"/>
  <c r="E7" i="3"/>
  <c r="E7" i="4" s="1"/>
  <c r="F7" i="3"/>
  <c r="G7" i="3"/>
  <c r="H7" i="3"/>
  <c r="I7" i="3"/>
  <c r="B8" i="3"/>
  <c r="B8" i="4" s="1"/>
  <c r="C8" i="3"/>
  <c r="C8" i="4" s="1"/>
  <c r="D8" i="3"/>
  <c r="D8" i="4" s="1"/>
  <c r="E8" i="3"/>
  <c r="E8" i="4" s="1"/>
  <c r="F8" i="3"/>
  <c r="G8" i="3"/>
  <c r="H8" i="3"/>
  <c r="I8" i="3"/>
  <c r="B9" i="3"/>
  <c r="B9" i="4" s="1"/>
  <c r="C9" i="3"/>
  <c r="C9" i="4" s="1"/>
  <c r="D9" i="3"/>
  <c r="D9" i="4" s="1"/>
  <c r="E9" i="3"/>
  <c r="E9" i="4" s="1"/>
  <c r="F9" i="3"/>
  <c r="G9" i="3"/>
  <c r="H9" i="3"/>
  <c r="I9" i="3"/>
  <c r="B10" i="3"/>
  <c r="B10" i="4" s="1"/>
  <c r="C10" i="3"/>
  <c r="C10" i="4" s="1"/>
  <c r="D10" i="3"/>
  <c r="D10" i="4" s="1"/>
  <c r="E10" i="3"/>
  <c r="E10" i="4" s="1"/>
  <c r="F10" i="3"/>
  <c r="G10" i="3"/>
  <c r="H10" i="3"/>
  <c r="I10" i="3"/>
  <c r="B11" i="3"/>
  <c r="B11" i="4" s="1"/>
  <c r="C11" i="3"/>
  <c r="C11" i="4" s="1"/>
  <c r="D11" i="3"/>
  <c r="D11" i="4" s="1"/>
  <c r="E11" i="3"/>
  <c r="E11" i="4" s="1"/>
  <c r="G11" i="3"/>
  <c r="H11" i="3"/>
  <c r="I11" i="3"/>
  <c r="B12" i="3"/>
  <c r="B12" i="4" s="1"/>
  <c r="C12" i="3"/>
  <c r="C12" i="4" s="1"/>
  <c r="D12" i="3"/>
  <c r="D12" i="4" s="1"/>
  <c r="E12" i="3"/>
  <c r="E12" i="4" s="1"/>
  <c r="F12" i="3"/>
  <c r="G12" i="3"/>
  <c r="H12" i="3"/>
  <c r="I12" i="3"/>
  <c r="B13" i="3"/>
  <c r="B13" i="4" s="1"/>
  <c r="C13" i="3"/>
  <c r="C13" i="4" s="1"/>
  <c r="D13" i="3"/>
  <c r="D13" i="4" s="1"/>
  <c r="E13" i="3"/>
  <c r="E13" i="4" s="1"/>
  <c r="F13" i="3"/>
  <c r="G13" i="3"/>
  <c r="H13" i="3"/>
  <c r="I13" i="3"/>
  <c r="B14" i="3"/>
  <c r="B14" i="4" s="1"/>
  <c r="C14" i="3"/>
  <c r="C14" i="4" s="1"/>
  <c r="D14" i="3"/>
  <c r="D14" i="4" s="1"/>
  <c r="E14" i="3"/>
  <c r="E14" i="4" s="1"/>
  <c r="F14" i="3"/>
  <c r="G14" i="3"/>
  <c r="H14" i="3"/>
  <c r="I14" i="3"/>
  <c r="B15" i="3"/>
  <c r="B15" i="4" s="1"/>
  <c r="C15" i="3"/>
  <c r="C15" i="4" s="1"/>
  <c r="D15" i="3"/>
  <c r="D15" i="4" s="1"/>
  <c r="E15" i="3"/>
  <c r="E15" i="4" s="1"/>
  <c r="F15" i="3"/>
  <c r="G15" i="3"/>
  <c r="H15" i="3"/>
  <c r="I15" i="3"/>
  <c r="B16" i="3"/>
  <c r="B16" i="4" s="1"/>
  <c r="C16" i="3"/>
  <c r="C16" i="4" s="1"/>
  <c r="D16" i="3"/>
  <c r="D16" i="4" s="1"/>
  <c r="E16" i="3"/>
  <c r="E16" i="4" s="1"/>
  <c r="F16" i="3"/>
  <c r="G16" i="3"/>
  <c r="H16" i="3"/>
  <c r="I16" i="3"/>
  <c r="Y79" i="3"/>
  <c r="X79" i="3"/>
  <c r="W79" i="3"/>
  <c r="V79" i="3"/>
  <c r="U79" i="3"/>
  <c r="T79" i="3"/>
  <c r="S79" i="3"/>
  <c r="R79" i="3"/>
  <c r="Q79" i="3"/>
  <c r="P79" i="3"/>
  <c r="O79" i="3"/>
  <c r="N79" i="3"/>
  <c r="M79" i="3"/>
  <c r="L79" i="3"/>
  <c r="K79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Y58" i="3"/>
  <c r="X58" i="3"/>
  <c r="W58" i="3"/>
  <c r="V58" i="3"/>
  <c r="U58" i="3"/>
  <c r="T58" i="3"/>
  <c r="S58" i="3"/>
  <c r="R58" i="3"/>
  <c r="Q58" i="3"/>
  <c r="P58" i="3"/>
  <c r="O58" i="3"/>
  <c r="N58" i="3"/>
  <c r="M58" i="3"/>
  <c r="L58" i="3"/>
  <c r="K58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Y3" i="3"/>
  <c r="X3" i="3"/>
  <c r="W3" i="3"/>
  <c r="V3" i="3"/>
  <c r="U3" i="3"/>
  <c r="T3" i="3"/>
  <c r="S3" i="3"/>
  <c r="R3" i="3"/>
  <c r="Q3" i="3"/>
  <c r="P3" i="3"/>
  <c r="O3" i="3"/>
  <c r="N3" i="3"/>
  <c r="M3" i="3"/>
  <c r="L3" i="3"/>
  <c r="J18" i="2"/>
  <c r="I18" i="2"/>
  <c r="K18" i="2" s="1"/>
  <c r="E18" i="2"/>
  <c r="D18" i="2"/>
  <c r="C18" i="2"/>
  <c r="K17" i="2"/>
  <c r="F17" i="2"/>
  <c r="K16" i="2"/>
  <c r="F16" i="2"/>
  <c r="K15" i="2"/>
  <c r="F15" i="2"/>
  <c r="K14" i="2"/>
  <c r="F14" i="2"/>
  <c r="K13" i="2"/>
  <c r="F13" i="2"/>
  <c r="K12" i="2"/>
  <c r="F12" i="2"/>
  <c r="K11" i="2"/>
  <c r="F11" i="2"/>
  <c r="K10" i="2"/>
  <c r="F10" i="2"/>
  <c r="K9" i="2"/>
  <c r="F9" i="2"/>
  <c r="K8" i="2"/>
  <c r="F8" i="2"/>
  <c r="K7" i="2"/>
  <c r="F7" i="2"/>
  <c r="K6" i="2"/>
  <c r="F6" i="2"/>
  <c r="K5" i="2"/>
  <c r="F5" i="2"/>
  <c r="K4" i="2"/>
  <c r="F4" i="2"/>
  <c r="K3" i="2"/>
  <c r="F3" i="2"/>
  <c r="F18" i="2" l="1"/>
  <c r="AH86" i="3" l="1"/>
  <c r="AL86" i="3"/>
  <c r="AP86" i="3"/>
  <c r="AT86" i="3"/>
  <c r="AX86" i="3"/>
  <c r="BB86" i="3"/>
  <c r="BF86" i="3"/>
  <c r="BJ86" i="3"/>
  <c r="BN86" i="3"/>
  <c r="BR86" i="3"/>
  <c r="BV86" i="3"/>
  <c r="BZ86" i="3"/>
  <c r="CD86" i="3"/>
  <c r="CH86" i="3"/>
  <c r="AD86" i="3"/>
  <c r="AH75" i="3"/>
  <c r="AL75" i="3"/>
  <c r="AP75" i="3"/>
  <c r="AT75" i="3"/>
  <c r="AX75" i="3"/>
  <c r="BB75" i="3"/>
  <c r="BF75" i="3"/>
  <c r="BJ75" i="3"/>
  <c r="BN75" i="3"/>
  <c r="BR75" i="3"/>
  <c r="BV75" i="3"/>
  <c r="BZ75" i="3"/>
  <c r="CD75" i="3"/>
  <c r="CH75" i="3"/>
  <c r="AD75" i="3"/>
  <c r="AH64" i="3"/>
  <c r="AL64" i="3"/>
  <c r="AP64" i="3"/>
  <c r="AT64" i="3"/>
  <c r="AX64" i="3"/>
  <c r="BB64" i="3"/>
  <c r="BF64" i="3"/>
  <c r="BJ64" i="3"/>
  <c r="BN64" i="3"/>
  <c r="BR64" i="3"/>
  <c r="BV64" i="3"/>
  <c r="BZ64" i="3"/>
  <c r="CD64" i="3"/>
  <c r="CH64" i="3"/>
  <c r="AD64" i="3"/>
  <c r="AH54" i="3"/>
  <c r="AL54" i="3"/>
  <c r="AP54" i="3"/>
  <c r="AT54" i="3"/>
  <c r="AX54" i="3"/>
  <c r="BB54" i="3"/>
  <c r="BF54" i="3"/>
  <c r="BJ54" i="3"/>
  <c r="BN54" i="3"/>
  <c r="BR54" i="3"/>
  <c r="BV54" i="3"/>
  <c r="BZ54" i="3"/>
  <c r="CD54" i="3"/>
  <c r="CH54" i="3"/>
  <c r="AD54" i="3"/>
  <c r="AH40" i="3"/>
  <c r="AL40" i="3"/>
  <c r="AP40" i="3"/>
  <c r="AT40" i="3"/>
  <c r="AX40" i="3"/>
  <c r="BB40" i="3"/>
  <c r="BF40" i="3"/>
  <c r="BJ40" i="3"/>
  <c r="BN40" i="3"/>
  <c r="BR40" i="3"/>
  <c r="BV40" i="3"/>
  <c r="BZ40" i="3"/>
  <c r="CD40" i="3"/>
  <c r="CH40" i="3"/>
  <c r="AD40" i="3"/>
  <c r="AL30" i="3"/>
  <c r="AP30" i="3"/>
  <c r="AT30" i="3"/>
  <c r="AX30" i="3"/>
  <c r="BB30" i="3"/>
  <c r="BF30" i="3"/>
  <c r="BJ30" i="3"/>
  <c r="BN30" i="3"/>
  <c r="BR30" i="3"/>
  <c r="BV30" i="3"/>
  <c r="BZ30" i="3"/>
  <c r="CD30" i="3"/>
  <c r="CH30" i="3"/>
  <c r="AH30" i="3"/>
  <c r="AD30" i="3"/>
  <c r="AH18" i="3"/>
  <c r="AL18" i="3"/>
  <c r="AP18" i="3"/>
  <c r="AT18" i="3"/>
  <c r="AX18" i="3"/>
  <c r="BB18" i="3"/>
  <c r="BF18" i="3"/>
  <c r="BJ18" i="3"/>
  <c r="BN18" i="3"/>
  <c r="BR18" i="3"/>
  <c r="BV18" i="3"/>
  <c r="BZ18" i="3"/>
  <c r="CD18" i="3"/>
  <c r="CH18" i="3"/>
  <c r="AD18" i="3"/>
  <c r="AT90" i="3" l="1"/>
  <c r="AD90" i="3"/>
  <c r="CL86" i="3"/>
  <c r="BV90" i="3"/>
  <c r="BF90" i="3"/>
  <c r="AP90" i="3"/>
  <c r="BZ90" i="3"/>
  <c r="BJ90" i="3"/>
  <c r="CH90" i="3"/>
  <c r="BR90" i="3"/>
  <c r="BB90" i="3"/>
  <c r="AL90" i="3"/>
  <c r="CD90" i="3"/>
  <c r="BN90" i="3"/>
  <c r="AX90" i="3"/>
  <c r="AH90" i="3"/>
  <c r="CL30" i="3"/>
  <c r="CL75" i="3"/>
  <c r="CL64" i="3"/>
  <c r="CL54" i="3"/>
  <c r="CL40" i="3"/>
  <c r="CL18" i="3"/>
  <c r="CL90" i="3" l="1"/>
  <c r="C79" i="3"/>
  <c r="D79" i="3"/>
  <c r="E79" i="3"/>
  <c r="F79" i="3"/>
  <c r="G79" i="3"/>
  <c r="H79" i="3"/>
  <c r="I79" i="3"/>
  <c r="B79" i="3"/>
  <c r="C81" i="3"/>
  <c r="C45" i="4" s="1"/>
  <c r="D81" i="3"/>
  <c r="D45" i="4" s="1"/>
  <c r="E81" i="3"/>
  <c r="E45" i="4" s="1"/>
  <c r="F81" i="3"/>
  <c r="G81" i="3"/>
  <c r="H81" i="3"/>
  <c r="I81" i="3"/>
  <c r="C82" i="3"/>
  <c r="C46" i="4" s="1"/>
  <c r="D82" i="3"/>
  <c r="D46" i="4" s="1"/>
  <c r="E82" i="3"/>
  <c r="E46" i="4" s="1"/>
  <c r="F82" i="3"/>
  <c r="G82" i="3"/>
  <c r="H82" i="3"/>
  <c r="I82" i="3"/>
  <c r="C83" i="3"/>
  <c r="C47" i="4" s="1"/>
  <c r="D83" i="3"/>
  <c r="D47" i="4" s="1"/>
  <c r="E83" i="3"/>
  <c r="E47" i="4" s="1"/>
  <c r="F83" i="3"/>
  <c r="G83" i="3"/>
  <c r="H83" i="3"/>
  <c r="I83" i="3"/>
  <c r="C84" i="3"/>
  <c r="C48" i="4" s="1"/>
  <c r="D84" i="3"/>
  <c r="D48" i="4" s="1"/>
  <c r="E84" i="3"/>
  <c r="E48" i="4" s="1"/>
  <c r="F84" i="3"/>
  <c r="G84" i="3"/>
  <c r="H84" i="3"/>
  <c r="I84" i="3"/>
  <c r="B82" i="3"/>
  <c r="B46" i="4" s="1"/>
  <c r="B83" i="3"/>
  <c r="B47" i="4" s="1"/>
  <c r="B84" i="3"/>
  <c r="B48" i="4" s="1"/>
  <c r="B81" i="3"/>
  <c r="B45" i="4" s="1"/>
  <c r="C68" i="3"/>
  <c r="D68" i="3"/>
  <c r="E68" i="3"/>
  <c r="F68" i="3"/>
  <c r="G68" i="3"/>
  <c r="H68" i="3"/>
  <c r="I68" i="3"/>
  <c r="B68" i="3"/>
  <c r="C70" i="3"/>
  <c r="C40" i="4" s="1"/>
  <c r="D70" i="3"/>
  <c r="D40" i="4" s="1"/>
  <c r="E70" i="3"/>
  <c r="E40" i="4" s="1"/>
  <c r="F70" i="3"/>
  <c r="G70" i="3"/>
  <c r="H70" i="3"/>
  <c r="I70" i="3"/>
  <c r="C71" i="3"/>
  <c r="C41" i="4" s="1"/>
  <c r="D71" i="3"/>
  <c r="D41" i="4" s="1"/>
  <c r="E71" i="3"/>
  <c r="E41" i="4" s="1"/>
  <c r="F71" i="3"/>
  <c r="G71" i="3"/>
  <c r="H71" i="3"/>
  <c r="I71" i="3"/>
  <c r="C72" i="3"/>
  <c r="C42" i="4" s="1"/>
  <c r="D72" i="3"/>
  <c r="D42" i="4" s="1"/>
  <c r="E72" i="3"/>
  <c r="E42" i="4" s="1"/>
  <c r="F72" i="3"/>
  <c r="G72" i="3"/>
  <c r="H72" i="3"/>
  <c r="I72" i="3"/>
  <c r="C73" i="3"/>
  <c r="C43" i="4" s="1"/>
  <c r="D73" i="3"/>
  <c r="D43" i="4" s="1"/>
  <c r="E73" i="3"/>
  <c r="E43" i="4" s="1"/>
  <c r="F73" i="3"/>
  <c r="G73" i="3"/>
  <c r="H73" i="3"/>
  <c r="I73" i="3"/>
  <c r="B71" i="3"/>
  <c r="B41" i="4" s="1"/>
  <c r="B72" i="3"/>
  <c r="B42" i="4" s="1"/>
  <c r="B73" i="3"/>
  <c r="B43" i="4" s="1"/>
  <c r="B70" i="3"/>
  <c r="B40" i="4" s="1"/>
  <c r="C60" i="3"/>
  <c r="C36" i="4" s="1"/>
  <c r="D60" i="3"/>
  <c r="D36" i="4" s="1"/>
  <c r="E60" i="3"/>
  <c r="E36" i="4" s="1"/>
  <c r="F60" i="3"/>
  <c r="G60" i="3"/>
  <c r="H60" i="3"/>
  <c r="I60" i="3"/>
  <c r="C61" i="3"/>
  <c r="C37" i="4" s="1"/>
  <c r="D61" i="3"/>
  <c r="D37" i="4" s="1"/>
  <c r="E61" i="3"/>
  <c r="E37" i="4" s="1"/>
  <c r="F61" i="3"/>
  <c r="G61" i="3"/>
  <c r="H61" i="3"/>
  <c r="I61" i="3"/>
  <c r="C62" i="3"/>
  <c r="C38" i="4" s="1"/>
  <c r="D62" i="3"/>
  <c r="D38" i="4" s="1"/>
  <c r="E62" i="3"/>
  <c r="E38" i="4" s="1"/>
  <c r="F62" i="3"/>
  <c r="G62" i="3"/>
  <c r="H62" i="3"/>
  <c r="I62" i="3"/>
  <c r="B61" i="3"/>
  <c r="B37" i="4" s="1"/>
  <c r="B62" i="3"/>
  <c r="B38" i="4" s="1"/>
  <c r="B60" i="3"/>
  <c r="B36" i="4" s="1"/>
  <c r="C58" i="3"/>
  <c r="D58" i="3"/>
  <c r="E58" i="3"/>
  <c r="F58" i="3"/>
  <c r="G58" i="3"/>
  <c r="H58" i="3"/>
  <c r="I58" i="3"/>
  <c r="B58" i="3"/>
  <c r="C44" i="3" l="1"/>
  <c r="D44" i="3"/>
  <c r="E44" i="3"/>
  <c r="F44" i="3"/>
  <c r="G44" i="3"/>
  <c r="H44" i="3"/>
  <c r="B44" i="3"/>
  <c r="C46" i="3"/>
  <c r="C28" i="4" s="1"/>
  <c r="D46" i="3"/>
  <c r="D28" i="4" s="1"/>
  <c r="E46" i="3"/>
  <c r="E28" i="4" s="1"/>
  <c r="F46" i="3"/>
  <c r="G46" i="3"/>
  <c r="H46" i="3"/>
  <c r="I46" i="3"/>
  <c r="C47" i="3"/>
  <c r="C29" i="4" s="1"/>
  <c r="D47" i="3"/>
  <c r="D29" i="4" s="1"/>
  <c r="E47" i="3"/>
  <c r="E29" i="4" s="1"/>
  <c r="F47" i="3"/>
  <c r="G47" i="3"/>
  <c r="H47" i="3"/>
  <c r="I47" i="3"/>
  <c r="C48" i="3"/>
  <c r="C30" i="4" s="1"/>
  <c r="D48" i="3"/>
  <c r="D30" i="4" s="1"/>
  <c r="E48" i="3"/>
  <c r="E30" i="4" s="1"/>
  <c r="F48" i="3"/>
  <c r="G48" i="3"/>
  <c r="H48" i="3"/>
  <c r="I48" i="3"/>
  <c r="C49" i="3"/>
  <c r="C31" i="4" s="1"/>
  <c r="D49" i="3"/>
  <c r="D31" i="4" s="1"/>
  <c r="E49" i="3"/>
  <c r="E31" i="4" s="1"/>
  <c r="F49" i="3"/>
  <c r="G49" i="3"/>
  <c r="H49" i="3"/>
  <c r="I49" i="3"/>
  <c r="C50" i="3"/>
  <c r="C32" i="4" s="1"/>
  <c r="D50" i="3"/>
  <c r="D32" i="4" s="1"/>
  <c r="E50" i="3"/>
  <c r="E32" i="4" s="1"/>
  <c r="F50" i="3"/>
  <c r="G50" i="3"/>
  <c r="H50" i="3"/>
  <c r="I50" i="3"/>
  <c r="C51" i="3"/>
  <c r="C33" i="4" s="1"/>
  <c r="D51" i="3"/>
  <c r="D33" i="4" s="1"/>
  <c r="E51" i="3"/>
  <c r="E33" i="4" s="1"/>
  <c r="F51" i="3"/>
  <c r="G51" i="3"/>
  <c r="H51" i="3"/>
  <c r="I51" i="3"/>
  <c r="C52" i="3"/>
  <c r="C34" i="4" s="1"/>
  <c r="D52" i="3"/>
  <c r="D34" i="4" s="1"/>
  <c r="E52" i="3"/>
  <c r="E34" i="4" s="1"/>
  <c r="F52" i="3"/>
  <c r="G52" i="3"/>
  <c r="H52" i="3"/>
  <c r="I52" i="3"/>
  <c r="B47" i="3"/>
  <c r="B29" i="4" s="1"/>
  <c r="B48" i="3"/>
  <c r="B30" i="4" s="1"/>
  <c r="B49" i="3"/>
  <c r="B31" i="4" s="1"/>
  <c r="B50" i="3"/>
  <c r="B32" i="4" s="1"/>
  <c r="B51" i="3"/>
  <c r="B33" i="4" s="1"/>
  <c r="B52" i="3"/>
  <c r="B34" i="4" s="1"/>
  <c r="B46" i="3"/>
  <c r="B28" i="4" s="1"/>
  <c r="C34" i="3"/>
  <c r="D34" i="3"/>
  <c r="E34" i="3"/>
  <c r="F34" i="3"/>
  <c r="G34" i="3"/>
  <c r="H34" i="3"/>
  <c r="I34" i="3"/>
  <c r="B34" i="3"/>
  <c r="C36" i="3"/>
  <c r="C24" i="4" s="1"/>
  <c r="D36" i="3"/>
  <c r="D24" i="4" s="1"/>
  <c r="E36" i="3"/>
  <c r="E24" i="4" s="1"/>
  <c r="F36" i="3"/>
  <c r="G36" i="3"/>
  <c r="H36" i="3"/>
  <c r="I36" i="3"/>
  <c r="C37" i="3"/>
  <c r="C25" i="4" s="1"/>
  <c r="D37" i="3"/>
  <c r="D25" i="4" s="1"/>
  <c r="E37" i="3"/>
  <c r="E25" i="4" s="1"/>
  <c r="F37" i="3"/>
  <c r="G37" i="3"/>
  <c r="H37" i="3"/>
  <c r="I37" i="3"/>
  <c r="C38" i="3"/>
  <c r="C26" i="4" s="1"/>
  <c r="D38" i="3"/>
  <c r="D26" i="4" s="1"/>
  <c r="E38" i="3"/>
  <c r="E26" i="4" s="1"/>
  <c r="F38" i="3"/>
  <c r="G38" i="3"/>
  <c r="H38" i="3"/>
  <c r="I38" i="3"/>
  <c r="B37" i="3"/>
  <c r="B25" i="4" s="1"/>
  <c r="B38" i="3"/>
  <c r="B26" i="4" s="1"/>
  <c r="B36" i="3"/>
  <c r="B24" i="4" s="1"/>
  <c r="C24" i="3"/>
  <c r="C18" i="4" s="1"/>
  <c r="D24" i="3"/>
  <c r="D18" i="4" s="1"/>
  <c r="E24" i="3"/>
  <c r="E18" i="4" s="1"/>
  <c r="F24" i="3"/>
  <c r="G24" i="3"/>
  <c r="H24" i="3"/>
  <c r="I24" i="3"/>
  <c r="C25" i="3"/>
  <c r="C19" i="4" s="1"/>
  <c r="D25" i="3"/>
  <c r="D19" i="4" s="1"/>
  <c r="E25" i="3"/>
  <c r="E19" i="4" s="1"/>
  <c r="F25" i="3"/>
  <c r="G25" i="3"/>
  <c r="H25" i="3"/>
  <c r="I25" i="3"/>
  <c r="C26" i="3"/>
  <c r="C20" i="4" s="1"/>
  <c r="D26" i="3"/>
  <c r="D20" i="4" s="1"/>
  <c r="E26" i="3"/>
  <c r="E20" i="4" s="1"/>
  <c r="F26" i="3"/>
  <c r="G26" i="3"/>
  <c r="H26" i="3"/>
  <c r="I26" i="3"/>
  <c r="C27" i="3"/>
  <c r="C21" i="4" s="1"/>
  <c r="D27" i="3"/>
  <c r="D21" i="4" s="1"/>
  <c r="E27" i="3"/>
  <c r="E21" i="4" s="1"/>
  <c r="F27" i="3"/>
  <c r="G27" i="3"/>
  <c r="H27" i="3"/>
  <c r="I27" i="3"/>
  <c r="C28" i="3"/>
  <c r="C22" i="4" s="1"/>
  <c r="D28" i="3"/>
  <c r="D22" i="4" s="1"/>
  <c r="E28" i="3"/>
  <c r="E22" i="4" s="1"/>
  <c r="F28" i="3"/>
  <c r="G28" i="3"/>
  <c r="H28" i="3"/>
  <c r="I28" i="3"/>
  <c r="B25" i="3"/>
  <c r="B19" i="4" s="1"/>
  <c r="B26" i="3"/>
  <c r="B20" i="4" s="1"/>
  <c r="B27" i="3"/>
  <c r="B21" i="4" s="1"/>
  <c r="B28" i="3"/>
  <c r="B22" i="4" s="1"/>
  <c r="C22" i="3"/>
  <c r="D22" i="3"/>
  <c r="E22" i="3"/>
  <c r="F22" i="3"/>
  <c r="G22" i="3"/>
  <c r="H22" i="3"/>
  <c r="I22" i="3"/>
  <c r="B22" i="3"/>
  <c r="B24" i="3"/>
  <c r="B18" i="4" s="1"/>
  <c r="I3" i="3"/>
  <c r="G3" i="3"/>
  <c r="H3" i="3"/>
  <c r="C3" i="3"/>
  <c r="D3" i="3"/>
  <c r="E3" i="3"/>
  <c r="F3" i="3"/>
  <c r="B3" i="3"/>
  <c r="C4" i="7"/>
  <c r="D4" i="7"/>
  <c r="C5" i="7"/>
  <c r="D5" i="7"/>
  <c r="C6" i="7"/>
  <c r="D6" i="7"/>
  <c r="C7" i="7"/>
  <c r="D7" i="7"/>
  <c r="C8" i="7"/>
  <c r="D8" i="7"/>
  <c r="C9" i="7"/>
  <c r="D9" i="7"/>
  <c r="B9" i="7"/>
  <c r="B8" i="7"/>
  <c r="B7" i="7"/>
  <c r="B6" i="7"/>
  <c r="B5" i="7"/>
  <c r="B4" i="7"/>
  <c r="C3" i="7"/>
  <c r="D3" i="7"/>
  <c r="B3" i="7"/>
  <c r="G44" i="2" l="1"/>
  <c r="G45" i="2"/>
  <c r="G46" i="2"/>
  <c r="G47" i="2"/>
  <c r="G43" i="2"/>
  <c r="G42" i="2"/>
  <c r="G41" i="2"/>
  <c r="G40" i="2"/>
  <c r="G39" i="2"/>
  <c r="G38" i="2"/>
  <c r="G37" i="2"/>
  <c r="G36" i="2"/>
  <c r="G35" i="2"/>
  <c r="G34" i="2"/>
  <c r="G33" i="2"/>
  <c r="G120" i="2"/>
  <c r="G102" i="2"/>
  <c r="G84" i="2"/>
  <c r="G66" i="2"/>
  <c r="G28" i="2"/>
  <c r="F28" i="2" s="1"/>
  <c r="G27" i="2"/>
  <c r="F27" i="2" s="1"/>
  <c r="G26" i="2"/>
  <c r="F26" i="2" s="1"/>
  <c r="G25" i="2"/>
  <c r="F25" i="2" s="1"/>
  <c r="G24" i="2"/>
  <c r="F24" i="2" s="1"/>
  <c r="G23" i="2"/>
  <c r="F23" i="2" s="1"/>
  <c r="G22" i="2"/>
  <c r="F106" i="2" l="1"/>
  <c r="E6" i="7"/>
  <c r="F91" i="2"/>
  <c r="E5" i="7"/>
  <c r="F73" i="2"/>
  <c r="E4" i="7"/>
  <c r="F52" i="2"/>
  <c r="E3" i="7"/>
  <c r="G48" i="2"/>
  <c r="F34" i="2" s="1"/>
  <c r="F65" i="2"/>
  <c r="F60" i="2"/>
  <c r="F57" i="2"/>
  <c r="F100" i="2"/>
  <c r="F94" i="2"/>
  <c r="F69" i="2"/>
  <c r="F105" i="2"/>
  <c r="F116" i="2"/>
  <c r="F112" i="2"/>
  <c r="F108" i="2"/>
  <c r="F117" i="2"/>
  <c r="F109" i="2"/>
  <c r="F119" i="2"/>
  <c r="F115" i="2"/>
  <c r="F111" i="2"/>
  <c r="F107" i="2"/>
  <c r="F113" i="2"/>
  <c r="F118" i="2"/>
  <c r="F114" i="2"/>
  <c r="F110" i="2"/>
  <c r="F98" i="2"/>
  <c r="F93" i="2"/>
  <c r="F87" i="2"/>
  <c r="F97" i="2"/>
  <c r="F92" i="2"/>
  <c r="F61" i="2"/>
  <c r="F101" i="2"/>
  <c r="F96" i="2"/>
  <c r="F90" i="2"/>
  <c r="F89" i="2"/>
  <c r="F88" i="2"/>
  <c r="F99" i="2"/>
  <c r="F95" i="2"/>
  <c r="F64" i="2"/>
  <c r="F56" i="2"/>
  <c r="F80" i="2"/>
  <c r="F76" i="2"/>
  <c r="F72" i="2"/>
  <c r="F83" i="2"/>
  <c r="F79" i="2"/>
  <c r="F75" i="2"/>
  <c r="F71" i="2"/>
  <c r="F82" i="2"/>
  <c r="F78" i="2"/>
  <c r="F74" i="2"/>
  <c r="F70" i="2"/>
  <c r="F81" i="2"/>
  <c r="F77" i="2"/>
  <c r="F63" i="2"/>
  <c r="F59" i="2"/>
  <c r="F55" i="2"/>
  <c r="F51" i="2"/>
  <c r="F62" i="2"/>
  <c r="F58" i="2"/>
  <c r="F54" i="2"/>
  <c r="F53" i="2"/>
  <c r="G29" i="2"/>
  <c r="F22" i="2"/>
  <c r="F29" i="2" s="1"/>
  <c r="G174" i="2"/>
  <c r="E9" i="7" s="1"/>
  <c r="F43" i="2" l="1"/>
  <c r="F42" i="2"/>
  <c r="F47" i="2"/>
  <c r="F38" i="2"/>
  <c r="F45" i="2"/>
  <c r="F46" i="2"/>
  <c r="F44" i="2"/>
  <c r="F39" i="2"/>
  <c r="F37" i="2"/>
  <c r="F35" i="2"/>
  <c r="F36" i="2"/>
  <c r="F41" i="2"/>
  <c r="F40" i="2"/>
  <c r="F33" i="2"/>
  <c r="F163" i="2"/>
  <c r="F167" i="2"/>
  <c r="F171" i="2"/>
  <c r="F165" i="2"/>
  <c r="F162" i="2"/>
  <c r="F166" i="2"/>
  <c r="F170" i="2"/>
  <c r="F159" i="2"/>
  <c r="F160" i="2"/>
  <c r="F164" i="2"/>
  <c r="F168" i="2"/>
  <c r="F172" i="2"/>
  <c r="F161" i="2"/>
  <c r="F169" i="2"/>
  <c r="F173" i="2"/>
  <c r="F120" i="2"/>
  <c r="F102" i="2"/>
  <c r="F66" i="2"/>
  <c r="F84" i="2"/>
  <c r="G39" i="4"/>
  <c r="F174" i="2" l="1"/>
  <c r="F48" i="2"/>
  <c r="C35" i="4"/>
  <c r="D35" i="4"/>
  <c r="E35" i="4"/>
  <c r="F35" i="4"/>
  <c r="G35" i="4"/>
  <c r="I35" i="4"/>
  <c r="C39" i="4"/>
  <c r="D39" i="4"/>
  <c r="E39" i="4"/>
  <c r="C44" i="4"/>
  <c r="D44" i="4"/>
  <c r="E44" i="4"/>
  <c r="F44" i="4"/>
  <c r="G44" i="4"/>
  <c r="H44" i="4" l="1"/>
  <c r="H35" i="4"/>
  <c r="J35" i="4"/>
  <c r="I39" i="4" l="1"/>
  <c r="I44" i="4"/>
  <c r="J44" i="4" s="1"/>
  <c r="BW57" i="7" l="1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AV57" i="7"/>
  <c r="AW57" i="7"/>
  <c r="AX57" i="7"/>
  <c r="AY57" i="7"/>
  <c r="AZ57" i="7"/>
  <c r="BA57" i="7"/>
  <c r="BB57" i="7"/>
  <c r="BC57" i="7"/>
  <c r="BD57" i="7"/>
  <c r="BE57" i="7"/>
  <c r="BF57" i="7"/>
  <c r="BG57" i="7"/>
  <c r="BH57" i="7"/>
  <c r="BI57" i="7"/>
  <c r="BJ57" i="7"/>
  <c r="BK57" i="7"/>
  <c r="BL57" i="7"/>
  <c r="BM57" i="7"/>
  <c r="BN57" i="7"/>
  <c r="BO57" i="7"/>
  <c r="BP57" i="7"/>
  <c r="BQ57" i="7"/>
  <c r="BR57" i="7"/>
  <c r="BS57" i="7"/>
  <c r="BT57" i="7"/>
  <c r="BU57" i="7"/>
  <c r="BV57" i="7"/>
  <c r="BX57" i="7"/>
  <c r="BY57" i="7"/>
  <c r="BZ57" i="7"/>
  <c r="CA57" i="7"/>
  <c r="CB57" i="7"/>
  <c r="CC57" i="7"/>
  <c r="CD57" i="7"/>
  <c r="CE57" i="7"/>
  <c r="CF57" i="7"/>
  <c r="CG57" i="7"/>
  <c r="CH57" i="7"/>
  <c r="CI57" i="7"/>
  <c r="CJ57" i="7"/>
  <c r="CK57" i="7"/>
  <c r="CL57" i="7"/>
  <c r="CM57" i="7"/>
  <c r="CN57" i="7"/>
  <c r="CO57" i="7"/>
  <c r="CP57" i="7"/>
  <c r="CQ57" i="7"/>
  <c r="CR57" i="7"/>
  <c r="CS57" i="7"/>
  <c r="CT57" i="7"/>
  <c r="CU57" i="7"/>
  <c r="CV57" i="7"/>
  <c r="CW57" i="7"/>
  <c r="CX57" i="7"/>
  <c r="CY57" i="7"/>
  <c r="CZ57" i="7"/>
  <c r="DA57" i="7"/>
  <c r="DB57" i="7"/>
  <c r="DC57" i="7"/>
  <c r="DD57" i="7"/>
  <c r="DE57" i="7"/>
  <c r="DF57" i="7"/>
  <c r="DG57" i="7"/>
  <c r="DH57" i="7"/>
  <c r="DI57" i="7"/>
  <c r="DJ57" i="7"/>
  <c r="DK57" i="7"/>
  <c r="DL57" i="7"/>
  <c r="DM57" i="7"/>
  <c r="DN57" i="7"/>
  <c r="DO57" i="7"/>
  <c r="DP57" i="7"/>
  <c r="DQ57" i="7"/>
  <c r="DR57" i="7"/>
  <c r="DS57" i="7"/>
  <c r="DT57" i="7"/>
  <c r="DU57" i="7"/>
  <c r="DV57" i="7"/>
  <c r="AA57" i="7"/>
  <c r="AB57" i="7"/>
  <c r="AC57" i="7"/>
  <c r="AD57" i="7"/>
  <c r="AE57" i="7"/>
  <c r="W57" i="7"/>
  <c r="S57" i="7"/>
  <c r="O57" i="7"/>
  <c r="CJ5" i="3" l="1"/>
  <c r="CF5" i="3"/>
  <c r="CB5" i="3"/>
  <c r="BX5" i="3"/>
  <c r="BT5" i="3"/>
  <c r="BP5" i="3"/>
  <c r="BL5" i="3"/>
  <c r="BH5" i="3"/>
  <c r="BD5" i="3"/>
  <c r="AZ5" i="3"/>
  <c r="AV5" i="3"/>
  <c r="AD76" i="3" l="1"/>
  <c r="BR76" i="3"/>
  <c r="BB76" i="3"/>
  <c r="BF76" i="3"/>
  <c r="AX76" i="3"/>
  <c r="CH76" i="3"/>
  <c r="AH76" i="3"/>
  <c r="BV76" i="3"/>
  <c r="AT76" i="3"/>
  <c r="CK5" i="3"/>
  <c r="CH17" i="3" s="1"/>
  <c r="CC5" i="3"/>
  <c r="BZ17" i="3" s="1"/>
  <c r="BU5" i="3"/>
  <c r="BR17" i="3" s="1"/>
  <c r="BQ5" i="3"/>
  <c r="BN17" i="3" s="1"/>
  <c r="BY5" i="3"/>
  <c r="BV17" i="3" s="1"/>
  <c r="AW5" i="3"/>
  <c r="AT17" i="3" s="1"/>
  <c r="BE5" i="3"/>
  <c r="BB17" i="3" s="1"/>
  <c r="AS5" i="3"/>
  <c r="AP17" i="3" s="1"/>
  <c r="CG5" i="3"/>
  <c r="CD17" i="3" s="1"/>
  <c r="AP55" i="3" l="1"/>
  <c r="AL55" i="3"/>
  <c r="CD65" i="3"/>
  <c r="CH65" i="3"/>
  <c r="AL65" i="3"/>
  <c r="BJ65" i="3"/>
  <c r="AD65" i="3"/>
  <c r="AX65" i="3"/>
  <c r="BR65" i="3"/>
  <c r="BB65" i="3"/>
  <c r="AH65" i="3"/>
  <c r="BF65" i="3"/>
  <c r="BN65" i="3"/>
  <c r="AT65" i="3"/>
  <c r="BV65" i="3"/>
  <c r="BV31" i="3"/>
  <c r="AX87" i="3"/>
  <c r="BZ65" i="3"/>
  <c r="CD55" i="3"/>
  <c r="CH55" i="3"/>
  <c r="BV55" i="3"/>
  <c r="BZ55" i="3"/>
  <c r="AT55" i="3"/>
  <c r="BR31" i="3"/>
  <c r="BJ31" i="3"/>
  <c r="BZ31" i="3"/>
  <c r="BJ41" i="3"/>
  <c r="BF41" i="3"/>
  <c r="AX41" i="3"/>
  <c r="BZ41" i="3"/>
  <c r="CD41" i="3"/>
  <c r="BN41" i="3"/>
  <c r="CH41" i="3"/>
  <c r="BB41" i="3"/>
  <c r="AT41" i="3"/>
  <c r="AH41" i="3"/>
  <c r="BV41" i="3"/>
  <c r="AP41" i="3"/>
  <c r="BR41" i="3"/>
  <c r="BF55" i="3"/>
  <c r="CD31" i="3"/>
  <c r="BB55" i="3"/>
  <c r="AX55" i="3"/>
  <c r="BN55" i="3"/>
  <c r="BJ55" i="3"/>
  <c r="BR55" i="3"/>
  <c r="AP65" i="3"/>
  <c r="AP76" i="3"/>
  <c r="BJ76" i="3"/>
  <c r="BN76" i="3"/>
  <c r="AL76" i="3"/>
  <c r="CD76" i="3"/>
  <c r="BZ76" i="3"/>
  <c r="AP89" i="3" l="1"/>
  <c r="AL41" i="3"/>
  <c r="AL31" i="3"/>
  <c r="AP31" i="3"/>
  <c r="AH31" i="3"/>
  <c r="BF31" i="3"/>
  <c r="AX31" i="3"/>
  <c r="BB31" i="3"/>
  <c r="CH31" i="3"/>
  <c r="AT31" i="3"/>
  <c r="AD41" i="3"/>
  <c r="BN31" i="3"/>
  <c r="AD19" i="3"/>
  <c r="AD31" i="3"/>
  <c r="F39" i="4"/>
  <c r="CD87" i="3"/>
  <c r="BB87" i="3"/>
  <c r="BJ87" i="3"/>
  <c r="AP87" i="3"/>
  <c r="AT87" i="3"/>
  <c r="BN87" i="3"/>
  <c r="AL87" i="3"/>
  <c r="BF87" i="3"/>
  <c r="CH87" i="3"/>
  <c r="AH87" i="3"/>
  <c r="BV87" i="3"/>
  <c r="BZ87" i="3"/>
  <c r="AD87" i="3"/>
  <c r="BR87" i="3"/>
  <c r="H102" i="2"/>
  <c r="F5" i="7" s="1"/>
  <c r="CD19" i="3" l="1"/>
  <c r="CD91" i="3" s="1"/>
  <c r="CD89" i="3"/>
  <c r="CH19" i="3"/>
  <c r="CH91" i="3" s="1"/>
  <c r="CH89" i="3"/>
  <c r="BZ19" i="3"/>
  <c r="BZ91" i="3" s="1"/>
  <c r="BZ89" i="3"/>
  <c r="BV19" i="3"/>
  <c r="BV91" i="3" s="1"/>
  <c r="BV89" i="3"/>
  <c r="BR19" i="3"/>
  <c r="BR91" i="3" s="1"/>
  <c r="BR89" i="3"/>
  <c r="BN19" i="3"/>
  <c r="BN91" i="3" s="1"/>
  <c r="BN89" i="3"/>
  <c r="BJ19" i="3"/>
  <c r="BJ91" i="3" s="1"/>
  <c r="BJ89" i="3"/>
  <c r="BF19" i="3"/>
  <c r="BF91" i="3" s="1"/>
  <c r="BF89" i="3"/>
  <c r="BB19" i="3"/>
  <c r="BB91" i="3" s="1"/>
  <c r="BB89" i="3"/>
  <c r="AX89" i="3"/>
  <c r="AT89" i="3"/>
  <c r="AL89" i="3"/>
  <c r="H174" i="2"/>
  <c r="F9" i="7" s="1"/>
  <c r="H38" i="4"/>
  <c r="J38" i="4"/>
  <c r="H45" i="4"/>
  <c r="J45" i="4"/>
  <c r="H37" i="4"/>
  <c r="J37" i="4"/>
  <c r="I174" i="2"/>
  <c r="G9" i="7" s="1"/>
  <c r="H42" i="4"/>
  <c r="J42" i="4"/>
  <c r="H41" i="4"/>
  <c r="J41" i="4"/>
  <c r="H39" i="4"/>
  <c r="J39" i="4"/>
  <c r="H36" i="4"/>
  <c r="J36" i="4"/>
  <c r="H25" i="4"/>
  <c r="J25" i="4"/>
  <c r="H40" i="4"/>
  <c r="J40" i="4"/>
  <c r="H28" i="4"/>
  <c r="J28" i="4"/>
  <c r="H26" i="4"/>
  <c r="J26" i="4"/>
  <c r="H43" i="4"/>
  <c r="J43" i="4"/>
  <c r="H24" i="4"/>
  <c r="J24" i="4"/>
  <c r="H18" i="4"/>
  <c r="J18" i="4"/>
  <c r="J16" i="4" l="1"/>
  <c r="H12" i="4"/>
  <c r="H8" i="4"/>
  <c r="H15" i="4"/>
  <c r="H11" i="4"/>
  <c r="H7" i="4"/>
  <c r="H14" i="4"/>
  <c r="H10" i="4"/>
  <c r="H6" i="4"/>
  <c r="H13" i="4"/>
  <c r="J9" i="4"/>
  <c r="H16" i="4"/>
  <c r="J8" i="4"/>
  <c r="H5" i="4"/>
  <c r="J11" i="4"/>
  <c r="J14" i="4"/>
  <c r="J6" i="4" l="1"/>
  <c r="H9" i="4"/>
  <c r="J10" i="4"/>
  <c r="J12" i="4"/>
  <c r="J7" i="4"/>
  <c r="J15" i="4"/>
  <c r="J13" i="4"/>
  <c r="G156" i="2" l="1"/>
  <c r="E8" i="7" s="1"/>
  <c r="I156" i="2"/>
  <c r="G8" i="7" s="1"/>
  <c r="H156" i="2"/>
  <c r="F8" i="7" s="1"/>
  <c r="H138" i="2"/>
  <c r="F7" i="7" s="1"/>
  <c r="G138" i="2"/>
  <c r="E7" i="7" s="1"/>
  <c r="I138" i="2"/>
  <c r="G7" i="7" s="1"/>
  <c r="I102" i="2"/>
  <c r="G5" i="7" s="1"/>
  <c r="I84" i="2"/>
  <c r="G4" i="7" s="1"/>
  <c r="F145" i="2" l="1"/>
  <c r="F149" i="2"/>
  <c r="F153" i="2"/>
  <c r="F152" i="2"/>
  <c r="F142" i="2"/>
  <c r="F146" i="2"/>
  <c r="F150" i="2"/>
  <c r="F154" i="2"/>
  <c r="F148" i="2"/>
  <c r="F143" i="2"/>
  <c r="F147" i="2"/>
  <c r="F151" i="2"/>
  <c r="F155" i="2"/>
  <c r="F144" i="2"/>
  <c r="F141" i="2"/>
  <c r="F127" i="2"/>
  <c r="F131" i="2"/>
  <c r="F135" i="2"/>
  <c r="F134" i="2"/>
  <c r="F124" i="2"/>
  <c r="F128" i="2"/>
  <c r="F132" i="2"/>
  <c r="F136" i="2"/>
  <c r="F130" i="2"/>
  <c r="F123" i="2"/>
  <c r="F125" i="2"/>
  <c r="F129" i="2"/>
  <c r="F133" i="2"/>
  <c r="F137" i="2"/>
  <c r="F126" i="2"/>
  <c r="E10" i="7"/>
  <c r="AR5" i="3"/>
  <c r="AJ5" i="3"/>
  <c r="F156" i="2" l="1"/>
  <c r="F138" i="2"/>
  <c r="AX19" i="3"/>
  <c r="AX91" i="3" s="1"/>
  <c r="AT19" i="3"/>
  <c r="AT91" i="3" s="1"/>
  <c r="AP19" i="3"/>
  <c r="AP91" i="3" s="1"/>
  <c r="H66" i="2" l="1"/>
  <c r="F3" i="7" s="1"/>
  <c r="H84" i="2"/>
  <c r="F4" i="7" s="1"/>
  <c r="AL19" i="3" l="1"/>
  <c r="AL91" i="3" s="1"/>
  <c r="AF5" i="3" l="1"/>
  <c r="AB5" i="3" s="1"/>
  <c r="I5" i="4" s="1"/>
  <c r="AH19" i="3" l="1"/>
  <c r="J5" i="4"/>
  <c r="I66" i="2" l="1"/>
  <c r="G3" i="7" s="1"/>
  <c r="AD55" i="3" l="1"/>
  <c r="AD91" i="3" s="1"/>
  <c r="AH89" i="3" l="1"/>
  <c r="CL89" i="3" s="1"/>
  <c r="H120" i="2" l="1"/>
  <c r="F6" i="7" s="1"/>
  <c r="F10" i="7" s="1"/>
  <c r="AH55" i="3"/>
  <c r="AH91" i="3" s="1"/>
  <c r="CL91" i="3" s="1"/>
  <c r="I120" i="2" l="1"/>
  <c r="G6" i="7" s="1"/>
  <c r="G10" i="7" s="1"/>
</calcChain>
</file>

<file path=xl/sharedStrings.xml><?xml version="1.0" encoding="utf-8"?>
<sst xmlns="http://schemas.openxmlformats.org/spreadsheetml/2006/main" count="1090" uniqueCount="157">
  <si>
    <t>DESCRIPCIÓN DEL BIEN Y/O SERVICIO</t>
  </si>
  <si>
    <t>UNIDAD MEDIDA</t>
  </si>
  <si>
    <t>ÍTEM</t>
  </si>
  <si>
    <t>CÓDIGO DANE</t>
  </si>
  <si>
    <t>PRECIO DE REFERENCIA</t>
  </si>
  <si>
    <t>RECURSO</t>
  </si>
  <si>
    <t>DESCRIPCIÓN DEL RUBRO</t>
  </si>
  <si>
    <t>UNIDAD BENEFICIADA</t>
  </si>
  <si>
    <t>VALOR APROXIMADO DE LA NECESIDAD</t>
  </si>
  <si>
    <t>PRESUPUESTO A UTILIZAR</t>
  </si>
  <si>
    <t>SALDO</t>
  </si>
  <si>
    <t>ARTICULO PRESUPUESTAL
(SIIF NACIÓN)</t>
  </si>
  <si>
    <t>LIMITACIONES</t>
  </si>
  <si>
    <t>NECESIDAD TOTAL</t>
  </si>
  <si>
    <t>MÍNIMAS</t>
  </si>
  <si>
    <t>NT</t>
  </si>
  <si>
    <t>M</t>
  </si>
  <si>
    <t>L</t>
  </si>
  <si>
    <t>VALOR TOTAL NECESIDAD</t>
  </si>
  <si>
    <t>PRESUPUESTO ASIGNADO</t>
  </si>
  <si>
    <t>VT</t>
  </si>
  <si>
    <t>TOTAL</t>
  </si>
  <si>
    <t>PROYECTADO A ADQUIRIR</t>
  </si>
  <si>
    <t>%</t>
  </si>
  <si>
    <t>LIMITACIÓN</t>
  </si>
  <si>
    <t>EXISTENCIAS (STOCK - INVENTARIOS)</t>
  </si>
  <si>
    <t>NECESIDAD</t>
  </si>
  <si>
    <t>BAEEV2</t>
  </si>
  <si>
    <t>A-02-02-01-003-002</t>
  </si>
  <si>
    <t>BAABS3</t>
  </si>
  <si>
    <t>BAACA10</t>
  </si>
  <si>
    <t>BAACA2</t>
  </si>
  <si>
    <t>BAADA1</t>
  </si>
  <si>
    <t>BAEEV3</t>
  </si>
  <si>
    <t>BASAC</t>
  </si>
  <si>
    <t>BICAR</t>
  </si>
  <si>
    <t>BITER10</t>
  </si>
  <si>
    <t>DIM15</t>
  </si>
  <si>
    <t>GMRON</t>
  </si>
  <si>
    <t>A-02-02-01-003-005</t>
  </si>
  <si>
    <t>OTROS PRODUCTOS QUÍMICOS; FIBRAS ARTIFICIALES (O FIBRAS INDUSTRIALES HECHAS POR EL HOMBRE)</t>
  </si>
  <si>
    <t>A-02-02-01-003-006</t>
  </si>
  <si>
    <t>PRODUCTOS DE CAUCHO Y PLÁSTICO</t>
  </si>
  <si>
    <t>A-02-02-01-003-008</t>
  </si>
  <si>
    <t>OTROS BIENES TRANSPORTABLES N.C.P.</t>
  </si>
  <si>
    <t>A-02-02-01-003-005 OTROS PRODUCTOS QUÍMICOS; FIBRAS ARTIFICIALES (O FIBRAS INDUSTRIALES HECHAS POR EL HOMBRE)</t>
  </si>
  <si>
    <t>A-02-02-01-003-003 PRODUCTOS DE HORNOS DE COQUE; PRODUCTOS DE REFINACIÓN DE PETROLEO Y COMBUSTIBLE NUCLEAR</t>
  </si>
  <si>
    <t>A-02-02-01-003-006 PRODUCTOS DE CAUCHO Y PLÁSTICO</t>
  </si>
  <si>
    <t>A-02-02-01-003-008 OTROS BIENES TRANSPORTABLES N.C.P.</t>
  </si>
  <si>
    <t>CANT.</t>
  </si>
  <si>
    <t xml:space="preserve"> KIT DE DOTACIÓN PARA SOLDADOS</t>
  </si>
  <si>
    <t>ARTICULO PRESUPUESTAL  (SIIF NACIÓN)</t>
  </si>
  <si>
    <t>PORCENTAJE</t>
  </si>
  <si>
    <t>VALOR POR ARTÍCULO PRESUPUESTAL</t>
  </si>
  <si>
    <t>A-02-02-01-002-007</t>
  </si>
  <si>
    <t>ARTÍCULOS TEXTILES (EXCEPTO PRENDAS DE VESTIR)</t>
  </si>
  <si>
    <t>BR10 - FUTAM -BRLOG3</t>
  </si>
  <si>
    <t>A-02-02-01-002-008</t>
  </si>
  <si>
    <t>DOTACIÓN (PRENDAS DE VESTIR Y CALZADO)</t>
  </si>
  <si>
    <t>PASTA O PULPA, PAPEL Y PRODUCTOS DE PAPEL; IMPRESOS Y ARTÍCULOS SIMILARES</t>
  </si>
  <si>
    <t>A-02-02-01-004-002</t>
  </si>
  <si>
    <t>PRODUCTOS METÁLICOS ELABORADOS (EXCEPTO MAQUINARIA Y EQUIPO)</t>
  </si>
  <si>
    <t xml:space="preserve">VALOR TOTAL DE LA PARTIDA </t>
  </si>
  <si>
    <t>VALOR POR UNIDAD</t>
  </si>
  <si>
    <t>A-02-02-01-002-007
A-02-02-01-002-008
A-02-02-01-003-002
A-02-02-01-003-005
A-02-02-01-003-006
A-02-02-01-003-008
A-02-02-01-004-002</t>
  </si>
  <si>
    <t>VALOR TOTAL PARTIDA ESPECIAL POR UNIDAD</t>
  </si>
  <si>
    <t>BAMMA7</t>
  </si>
  <si>
    <t>BASPC10</t>
  </si>
  <si>
    <t>BIMOC70</t>
  </si>
  <si>
    <t>GMMAT</t>
  </si>
  <si>
    <t xml:space="preserve">TOTAL PARTIDA </t>
  </si>
  <si>
    <t>SUBTOTAL A-02-02-01-002-007</t>
  </si>
  <si>
    <t>SUBTOTAL A-02-02-01-002-008</t>
  </si>
  <si>
    <t>SUBTOTAL A-02-02-01-003-006</t>
  </si>
  <si>
    <t>SUBTOTAL A-02-02-01-004-002</t>
  </si>
  <si>
    <t>SUBTOTAL A-02-02-01-003-002</t>
  </si>
  <si>
    <t>SUBTOTAL A-02-02-01-003-005</t>
  </si>
  <si>
    <t>SUBTOTAL A-02-02-01-003-008</t>
  </si>
  <si>
    <t>CLASIFICADOR POR OBJETO DEL GASTO</t>
  </si>
  <si>
    <t>NOMBRE CUENTA</t>
  </si>
  <si>
    <t xml:space="preserve">DESCRIPCIÓN DEL BIEN Y/O SERVICIO </t>
  </si>
  <si>
    <t>UNSPSC (CCE)</t>
  </si>
  <si>
    <t xml:space="preserve">CÓDIGO MATERIAL SAP </t>
  </si>
  <si>
    <t xml:space="preserve">CÓDIGO OTAN - NOC </t>
  </si>
  <si>
    <t>PARCHE DE IDENTIFICACIÓN PERSONAL: 
ESPECIFICACIONES  TÉCNICAS DE ACUERDO NORMA TÉCNICA KIT DE DOTACIÓN NO. NTMD-0356 - A2</t>
  </si>
  <si>
    <t>UNIDAD</t>
  </si>
  <si>
    <t>SIN CREAR</t>
  </si>
  <si>
    <t>PARCHE DE EJÉRCITO: 
ESPECIFICACIONES  TÉCNICAS   DE  ACUERDO A LA NORMA TÉCNICA KIT DE DOTACIÓN. NO. NTMD-0356 - A2.</t>
  </si>
  <si>
    <t>PARCHES DE LA UNIDAD SUPERIOR Y SUBALTERNA:
ESPECIFICACIONES  TÉCNICAS   DE  ACUERDO A LA NORMA TÉCNICA KIT DE DOTACIÓN N°. NTMD-0356 - A2.</t>
  </si>
  <si>
    <t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t>
  </si>
  <si>
    <t>PARCHE PARA IDENTIFICACIÓN GRUPO SANGUÍNEO:
ESPECIFICACIONES  TÉCNICAS   DE  ACUERDO A LA NORMA TÉCNICA KIT DE DOTACIÓN N°. NTMD-0356 - A2.</t>
  </si>
  <si>
    <t>INSIGNIA DEL GRADO SOLDADO:
ESPECIFICACIONES  TÉCNICAS   DE  ACUERDO A LA NORMA TÉCNICA KIT DE DOTACIÓN N°. NTMD-0356 - A2.</t>
  </si>
  <si>
    <t>JUEGO</t>
  </si>
  <si>
    <t>BRAZALETES TÁCTICOS X JUEGO DE 4:
ESPECIFICACIONES  TÉCNICAS   DE  ACUERDO A LA NORMA TÉCNICA KIT DE DOTACIÓN N°. NTMD-0356 - A2.</t>
  </si>
  <si>
    <t>8455-80-0011302</t>
  </si>
  <si>
    <t>OJOS DE GATO:
ESPECIFICACIONES  TÉCNICAS   DE  ACUERDO A LA NORMA TÉCNICA KIT DE DOTACIÓN N°. NTMD-0356 - A2.</t>
  </si>
  <si>
    <t>LIGAS PARA BOTA MANGA PANTALÓN CAMUFLADO:
ESPECIFICACIONES  TÉCNICAS   DE  ACUERDO A LA NORMA TÉCNICA KIT DE DOTACIÓN N°. NTMD-0356 - A2.</t>
  </si>
  <si>
    <t>PAR</t>
  </si>
  <si>
    <t>8440-80-0011394</t>
  </si>
  <si>
    <t>PAÑUELO:
ESPECIFICACIONES  TÉCNICAS   DE  ACUERDO A LA NORMA TÉCNICA KIT DE DOTACIÓN N°. NTMD-0356 - A2.</t>
  </si>
  <si>
    <t>8440-80-0011303</t>
  </si>
  <si>
    <t>BOLSO PARA ÚTILES DE ASEO:
ESPECIFICACIONES  TÉCNICAS   DE  ACUERDO A LA NORMA TÉCNICA KIT DE DOTACIÓN N°. NTMD-0356 - A2.</t>
  </si>
  <si>
    <t>MALLA PARA CABELLO COLOR NEGRO
DE ACUERDO A ESPECIFICACIONES TÉCNICAS JEMPP-CEDE4-DIETE-ET-04937/INT-0</t>
  </si>
  <si>
    <t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t>
  </si>
  <si>
    <t>UNIFORME DE DEPORTES COMPLETO (CAMISETA Y PANTALONETA): 
DE ACUERDO A NORMA TÉCNICA  NO. NTMD-0356 A2 DE ACUERDO A ÍTEM  3.1.2.7 FIGURA ILUSTRATIVA 37</t>
  </si>
  <si>
    <t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t>
  </si>
  <si>
    <t>BICICLETERO NEGRO CORTO:
DE ACUERDO A ESPECIFICACIONES TÉCNICAS ESPECIFICACIONES TÉCNICAS NO JEMPP-CEDE4-DIETE-ET05595/INT-0</t>
  </si>
  <si>
    <t>JUEGO DE ROPA INTERIOR (TOP-CACHETERO) 
DE ACUERDO A ESPECIFICACIONES TÉCNICAS N° JEMPP-CEDE4-DIETE-ET05573/INT-01</t>
  </si>
  <si>
    <t>CUADERNO PARA ESCRITURA:   
DEBE SER COSIDO, GRAPADO O ARGOLLADO CON PASTA PLASTIFICADA DURA O BLANDA DE MÍNIMO 100 HOJAS DE COLOR BLANCO, ESPECIFICACIONES SEGÚN NORMA TÉCNICA N°. NTMD-0356 A2 ÍTEM  3.1.1.18</t>
  </si>
  <si>
    <t>7530-80-0011305</t>
  </si>
  <si>
    <t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t>
  </si>
  <si>
    <t>8540-80-0011398</t>
  </si>
  <si>
    <t>TOALLAS HIGIÉNICAS MUJER CON ALAS: ESPECIFICACIONES  DE ACUERDO A NTC-3604</t>
  </si>
  <si>
    <t>PAQUETE</t>
  </si>
  <si>
    <t>BETÚN:
NEGRO 125 GRAMOS ESPECIFICACIONES SEGÚN NORMA TÉCNICA NO. NTMD-0356 A2  ÍTEM  3.1.1.14</t>
  </si>
  <si>
    <t>TALCOS PARA PIES :  
DE 85 GRAMOS ESPECIFICACIONES SEGÚN NORMA TÉCNICA NO. NTMD-0356 A2 ÍTEM  3.1.1.6</t>
  </si>
  <si>
    <t>8510-80-0011397</t>
  </si>
  <si>
    <t>CREMA DENTAL:
DE 100 ML ESPECIFICACIONES SEGÚN NORMA TÉCNICA NO. NTMD-0356 A2 ÍTEM  3.1.1.3</t>
  </si>
  <si>
    <t>8520-80-0011399</t>
  </si>
  <si>
    <t>DESODORANTE ANTITRASPIRANTE: ESPECIFICACIONES  TÉCNICAS   DE  ACUERDO A LA NORMA TÉCNICA KIT DE DOTACIÓN NO. NTMD-0356 A2 ÍTEM  3.1.1.7</t>
  </si>
  <si>
    <t>8510-80-0011400</t>
  </si>
  <si>
    <t>DESODORANTE ANTITRANSPIRANTE PARA MUJER:
DE 80 GRAMOS, ESPECIFICACIONES SEGÚN NORMA TÉCNICA NO. NTMD-0356 A2 ÍTEM  3.1.1.7</t>
  </si>
  <si>
    <t>JABÓN DE BAÑO ANTIBACTERIAL
130 GRAMOS: ESPECIFICACIONES SEGÚN NORMA TÉCNICA NO. NTMD-0356 A2 ÍTEM  3.1.1.8</t>
  </si>
  <si>
    <t>8520-80-0011401</t>
  </si>
  <si>
    <t>JABÓN PARA LAVAR ROPA:
DE 300 GRAMOS, ESPECIFICACIONES SEGÚN NORMA TÉCNICA NO. NTMD-0356 A2  ÍTEM  3.1.1.13</t>
  </si>
  <si>
    <t>7930-80-0011405</t>
  </si>
  <si>
    <t>PROTECTORES  AUDITIVOS: 
DEBEN SER PRES MOLDEADOS DE TIPO TAPÓN, SE DEBEN AJUSTAR AL CANAL AUDITIVO DE CASI TODAS LAS PERSONAS. DEBEN LLEVAR TRIPLE REBORDE CON DISEÑO DE FÁCIL INSERCIÓN: ESPECIFICACIONES SEGÚN NORMA TÉCNICA NO. NTMD-0356 A2 ÍTEM  3.1.1.1</t>
  </si>
  <si>
    <t>6515-80-0011408</t>
  </si>
  <si>
    <t>JABONERA: 
PLÁSTICA CAPACIDAD JABÓN 130 GRAMOS ESPECIFICACIONES SEGÚN NORMA TÉCNICA NO. NTMD-0356 A2 ÍTEM  3.1.1.9</t>
  </si>
  <si>
    <t>8530-80-0011402</t>
  </si>
  <si>
    <t>PORTA CEPILLO DE DIENTES: ELABORADO EN PLÁSTICO ESPECIFICACIONES SEGÚN NORMA TÉCNICA NO. NTMD-0356 A2 ÍTEM  3.1.1.11</t>
  </si>
  <si>
    <t>4510-80-0011407</t>
  </si>
  <si>
    <t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t>
  </si>
  <si>
    <t>8530-80-0011406</t>
  </si>
  <si>
    <t>PEINILLA: 
(LARGO: 120 MM ± 5 MM; ALTO: 28 MM ± 5 MM), ESPECIFICACIONES SEGÚN NORMA TÉCNICA NO. NTMD-0356 A2  ÍTEM  3.1.1.12</t>
  </si>
  <si>
    <t>8530-80-0011404</t>
  </si>
  <si>
    <t>CEPILLOS GRANDE Y PEQUEÑO PARA BRILLAR CALZADO: DEBE ESTAR CONFORMADO POR UN MANGO Y UNA BASE, SOBRE LA CUAL SE FIJAN LAS CERDAS, APTOS PARA LIMPIAR, LAVAR, BRILLAR O BARRER, ESPECIFICACIONES SEGÚN NORMA TÉCNICA NO. NTMD-0356 A2  ÍTEM  3.1.1.16</t>
  </si>
  <si>
    <t>7920-80-0011395</t>
  </si>
  <si>
    <t>LAPICERO:
(14 CM DE LONGITUD Y 7 MM DE DIÁMETRO), ESPECIFICACIONES SEGÚN NORMA TÉCNICA NO. NTMD-0356 A2  ÍTEM  3.1.1.19</t>
  </si>
  <si>
    <t>MAQUINA  PARA AFEITAR: DESECHABLE, MÍNIMO TRIPLE HOJA, DEBE TENER BANDA LUBRICANTE ESPECIFICACIONES SEGÚN NORMA TÉCNICA NO. NTMD-0356 A2 ÍTEM  3.1.1.4</t>
  </si>
  <si>
    <t>CANDADO: AALTO 60 MM ± 5 MM
ANCHO 35 MM ± 5 MM, ESPECIFICACIONES SEGÚN NORMA TÉCNICA NO. NTMD-0356 A2 ÍTEM  3.1.1.15</t>
  </si>
  <si>
    <t>5340-80-0011396</t>
  </si>
  <si>
    <t>CORTA UÑAS:
80 MM DE LONGITUD  ESPECIFICACIONES SEGÚN NORMA TÉCNICA NO. NTMD-0356 A2 ÍTEM  3.1.1.17</t>
  </si>
  <si>
    <t>8530-80-0011403</t>
  </si>
  <si>
    <t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t>
  </si>
  <si>
    <t>8465-80-0011304</t>
  </si>
  <si>
    <t>A-02-02-01-002-007 ARTÍCULOS TEXTILES (EXCEPTO PRENDAS DE VESTIR)</t>
  </si>
  <si>
    <t>A-02-02-01-002-008 DOTACIÓN (PRENDAS DE VESTIR Y CALZADO)</t>
  </si>
  <si>
    <t>A-02-02-01-003-002 PASTA O PULPA, PAPEL Y PRODUCTOS DE PAPEL; IMPRESOS Y ARTÍCULOS SIMILARES</t>
  </si>
  <si>
    <t>A-02-02-01-004-002 PRODUCTOS METÁLICOS ELABORADOS (EXCEPTO MAQUINARIA Y EQUIPO)</t>
  </si>
  <si>
    <t>2° Contingente</t>
  </si>
  <si>
    <t>3° Contingente</t>
  </si>
  <si>
    <t>4° Contingente</t>
  </si>
  <si>
    <t>KIT FEMENINO</t>
  </si>
  <si>
    <t>KIT MASCULINO</t>
  </si>
  <si>
    <t>CANTIDAD POR ELEMENTO</t>
  </si>
  <si>
    <t>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</si>
</sst>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7030A0"/>
      <name val="Arial Narrow"/>
      <family val="2"/>
    </font>
    <font>
      <b/>
      <sz val="11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4" tint="-0.249977111117893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7CD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74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/>
    <xf numFmtId="0" fontId="2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4" fontId="5" fillId="0" borderId="1" xfId="1" applyFont="1" applyBorder="1" applyAlignment="1">
      <alignment vertical="center"/>
    </xf>
    <xf numFmtId="44" fontId="5" fillId="0" borderId="1" xfId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/>
    <xf numFmtId="44" fontId="5" fillId="0" borderId="0" xfId="0" applyNumberFormat="1" applyFont="1"/>
    <xf numFmtId="0" fontId="5" fillId="0" borderId="0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9" fillId="11" borderId="1" xfId="0" applyFont="1" applyFill="1" applyBorder="1" applyAlignment="1">
      <alignment horizontal="center" vertical="center" wrapText="1"/>
    </xf>
    <xf numFmtId="44" fontId="5" fillId="0" borderId="0" xfId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7" fillId="0" borderId="0" xfId="0" applyFont="1" applyAlignment="1">
      <alignment horizontal="center" vertical="center"/>
    </xf>
    <xf numFmtId="9" fontId="7" fillId="0" borderId="0" xfId="2" applyFont="1" applyAlignment="1">
      <alignment horizontal="center" vertical="center"/>
    </xf>
    <xf numFmtId="1" fontId="7" fillId="0" borderId="0" xfId="2" applyNumberFormat="1" applyFont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4" fontId="0" fillId="0" borderId="0" xfId="0" applyNumberFormat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  <xf numFmtId="44" fontId="3" fillId="0" borderId="1" xfId="1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1" fontId="2" fillId="9" borderId="1" xfId="2" applyNumberFormat="1" applyFont="1" applyFill="1" applyBorder="1" applyAlignment="1">
      <alignment horizontal="center" vertical="center" wrapText="1"/>
    </xf>
    <xf numFmtId="9" fontId="2" fillId="9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1" fontId="9" fillId="0" borderId="1" xfId="2" applyNumberFormat="1" applyFont="1" applyBorder="1" applyAlignment="1">
      <alignment horizontal="center" vertical="center" wrapText="1"/>
    </xf>
    <xf numFmtId="44" fontId="10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164" fontId="13" fillId="0" borderId="0" xfId="1" applyNumberFormat="1" applyFont="1" applyBorder="1" applyAlignment="1" applyProtection="1">
      <alignment vertical="center"/>
      <protection locked="0"/>
    </xf>
    <xf numFmtId="164" fontId="13" fillId="0" borderId="0" xfId="1" applyNumberFormat="1" applyFont="1" applyFill="1" applyBorder="1" applyAlignment="1" applyProtection="1">
      <alignment vertical="center"/>
      <protection locked="0"/>
    </xf>
    <xf numFmtId="164" fontId="12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/>
    <xf numFmtId="0" fontId="12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top"/>
    </xf>
    <xf numFmtId="44" fontId="5" fillId="0" borderId="0" xfId="1" applyFont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3" fontId="5" fillId="0" borderId="1" xfId="4" applyNumberFormat="1" applyFont="1" applyBorder="1" applyAlignment="1" applyProtection="1">
      <alignment horizontal="center" vertical="center"/>
      <protection locked="0"/>
    </xf>
    <xf numFmtId="3" fontId="2" fillId="0" borderId="1" xfId="4" applyNumberFormat="1" applyFont="1" applyBorder="1" applyAlignment="1" applyProtection="1">
      <alignment horizontal="center" vertical="center"/>
      <protection locked="0"/>
    </xf>
    <xf numFmtId="3" fontId="2" fillId="9" borderId="1" xfId="4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44" fontId="2" fillId="9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/>
    <xf numFmtId="0" fontId="5" fillId="0" borderId="1" xfId="0" applyFont="1" applyBorder="1" applyAlignment="1" applyProtection="1">
      <alignment horizontal="center" vertical="center" wrapText="1"/>
      <protection locked="0"/>
    </xf>
    <xf numFmtId="9" fontId="5" fillId="0" borderId="1" xfId="2" applyFont="1" applyBorder="1" applyAlignment="1" applyProtection="1">
      <alignment horizontal="center" vertical="center"/>
      <protection locked="0"/>
    </xf>
    <xf numFmtId="44" fontId="5" fillId="0" borderId="1" xfId="1" applyFont="1" applyBorder="1" applyAlignment="1" applyProtection="1">
      <alignment horizontal="center" vertical="center"/>
      <protection locked="0"/>
    </xf>
    <xf numFmtId="9" fontId="2" fillId="9" borderId="1" xfId="0" applyNumberFormat="1" applyFont="1" applyFill="1" applyBorder="1" applyAlignment="1" applyProtection="1">
      <alignment horizontal="center" vertical="center"/>
      <protection locked="0"/>
    </xf>
    <xf numFmtId="44" fontId="2" fillId="9" borderId="1" xfId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4" fontId="2" fillId="2" borderId="1" xfId="1" applyFont="1" applyFill="1" applyBorder="1" applyAlignment="1" applyProtection="1">
      <alignment horizontal="center" vertical="center" wrapText="1"/>
      <protection locked="0"/>
    </xf>
    <xf numFmtId="9" fontId="2" fillId="2" borderId="1" xfId="0" applyNumberFormat="1" applyFont="1" applyFill="1" applyBorder="1" applyAlignment="1" applyProtection="1">
      <alignment horizontal="center" vertical="center"/>
      <protection locked="0"/>
    </xf>
    <xf numFmtId="44" fontId="2" fillId="2" borderId="1" xfId="1" applyFont="1" applyFill="1" applyBorder="1" applyAlignment="1" applyProtection="1">
      <alignment horizontal="center" vertical="center"/>
      <protection locked="0"/>
    </xf>
    <xf numFmtId="9" fontId="2" fillId="2" borderId="1" xfId="2" applyFont="1" applyFill="1" applyBorder="1" applyAlignment="1" applyProtection="1">
      <alignment horizontal="center" vertical="center" wrapText="1"/>
      <protection locked="0"/>
    </xf>
    <xf numFmtId="9" fontId="5" fillId="0" borderId="3" xfId="2" applyFont="1" applyFill="1" applyBorder="1" applyAlignment="1">
      <alignment horizontal="center" vertical="center" wrapText="1"/>
    </xf>
    <xf numFmtId="44" fontId="5" fillId="0" borderId="3" xfId="1" applyFont="1" applyBorder="1" applyAlignment="1" applyProtection="1">
      <alignment horizontal="center" vertical="center"/>
      <protection locked="0"/>
    </xf>
    <xf numFmtId="3" fontId="5" fillId="0" borderId="1" xfId="0" applyNumberFormat="1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4" fontId="7" fillId="0" borderId="0" xfId="1" applyFont="1" applyAlignment="1">
      <alignment horizontal="center" vertical="center"/>
    </xf>
    <xf numFmtId="44" fontId="7" fillId="0" borderId="0" xfId="1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0" fillId="9" borderId="1" xfId="0" applyFont="1" applyFill="1" applyBorder="1" applyAlignment="1" applyProtection="1">
      <alignment horizontal="center" vertical="center" wrapText="1"/>
      <protection locked="0"/>
    </xf>
    <xf numFmtId="0" fontId="10" fillId="9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>
      <alignment horizontal="justify" vertical="center" wrapText="1"/>
    </xf>
    <xf numFmtId="0" fontId="3" fillId="12" borderId="1" xfId="3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12" borderId="1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/>
    </xf>
    <xf numFmtId="0" fontId="4" fillId="1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justify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justify" vertical="center" wrapText="1"/>
      <protection locked="0"/>
    </xf>
    <xf numFmtId="0" fontId="3" fillId="12" borderId="0" xfId="3" applyFont="1" applyFill="1" applyAlignment="1">
      <alignment horizontal="center" vertical="center"/>
    </xf>
    <xf numFmtId="0" fontId="4" fillId="0" borderId="0" xfId="0" applyFont="1" applyAlignment="1"/>
    <xf numFmtId="0" fontId="10" fillId="9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5" xfId="0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44" fontId="2" fillId="9" borderId="1" xfId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44" fontId="9" fillId="9" borderId="1" xfId="1" applyFont="1" applyFill="1" applyBorder="1" applyAlignment="1">
      <alignment horizontal="center" vertical="center"/>
    </xf>
    <xf numFmtId="44" fontId="2" fillId="9" borderId="3" xfId="1" applyFont="1" applyFill="1" applyBorder="1" applyAlignment="1">
      <alignment horizontal="center" vertical="center"/>
    </xf>
    <xf numFmtId="44" fontId="2" fillId="9" borderId="4" xfId="1" applyFont="1" applyFill="1" applyBorder="1" applyAlignment="1">
      <alignment horizontal="center" vertical="center"/>
    </xf>
    <xf numFmtId="44" fontId="2" fillId="9" borderId="5" xfId="1" applyFont="1" applyFill="1" applyBorder="1" applyAlignment="1">
      <alignment horizontal="center" vertical="center"/>
    </xf>
    <xf numFmtId="44" fontId="9" fillId="9" borderId="3" xfId="1" applyFont="1" applyFill="1" applyBorder="1" applyAlignment="1">
      <alignment horizontal="center" vertical="center"/>
    </xf>
    <xf numFmtId="44" fontId="9" fillId="9" borderId="4" xfId="1" applyFont="1" applyFill="1" applyBorder="1" applyAlignment="1">
      <alignment horizontal="center" vertical="center"/>
    </xf>
    <xf numFmtId="44" fontId="9" fillId="9" borderId="5" xfId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right" vertical="center"/>
    </xf>
    <xf numFmtId="44" fontId="5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</cellXfs>
  <cellStyles count="5">
    <cellStyle name="Millares" xfId="4" builtinId="3"/>
    <cellStyle name="Moneda" xfId="1" builtinId="4"/>
    <cellStyle name="Normal" xfId="0" builtinId="0"/>
    <cellStyle name="Normal 10 5 2" xfId="3" xr:uid="{914B96AC-19D7-46C3-A4A7-742E54020F70}"/>
    <cellStyle name="Porcentaje" xfId="2" builtinId="5"/>
  </cellStyles>
  <dxfs count="16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9999FF"/>
      <color rgb="FFCC66FF"/>
      <color rgb="FFFF99FF"/>
      <color rgb="FFFFCCFF"/>
      <color rgb="FFFF99CC"/>
      <color rgb="FFCCCCFF"/>
      <color rgb="FFFFCC66"/>
      <color rgb="FFFFFF66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EEB82-FD7D-4253-9F47-0A8731B7EFD3}">
  <dimension ref="B2:J66"/>
  <sheetViews>
    <sheetView zoomScale="85" zoomScaleNormal="85" workbookViewId="0">
      <selection activeCell="D6" sqref="D6"/>
    </sheetView>
  </sheetViews>
  <sheetFormatPr baseColWidth="10" defaultRowHeight="15" x14ac:dyDescent="0.25"/>
  <cols>
    <col min="1" max="1" width="5.28515625" customWidth="1"/>
    <col min="2" max="2" width="7.5703125" style="111" customWidth="1"/>
    <col min="3" max="3" width="12.5703125" style="17" customWidth="1"/>
    <col min="4" max="4" width="44" style="17" customWidth="1"/>
    <col min="5" max="5" width="11.42578125" style="17"/>
    <col min="6" max="6" width="16.140625" style="17" customWidth="1"/>
    <col min="7" max="7" width="11.42578125" style="17"/>
    <col min="8" max="10" width="15.140625" style="17" customWidth="1"/>
  </cols>
  <sheetData>
    <row r="2" spans="2:10" x14ac:dyDescent="0.25">
      <c r="B2" s="112" t="s">
        <v>78</v>
      </c>
      <c r="C2" s="112"/>
      <c r="D2" s="112"/>
      <c r="E2" s="112"/>
      <c r="F2" s="112" t="s">
        <v>79</v>
      </c>
      <c r="G2" s="112"/>
      <c r="H2" s="112"/>
      <c r="I2" s="112"/>
      <c r="J2" s="112"/>
    </row>
    <row r="3" spans="2:10" x14ac:dyDescent="0.25">
      <c r="B3" s="112" t="s">
        <v>54</v>
      </c>
      <c r="C3" s="112"/>
      <c r="D3" s="112"/>
      <c r="E3" s="112"/>
      <c r="F3" s="112" t="s">
        <v>55</v>
      </c>
      <c r="G3" s="112"/>
      <c r="H3" s="112"/>
      <c r="I3" s="112"/>
      <c r="J3" s="112"/>
    </row>
    <row r="4" spans="2:10" ht="38.25" x14ac:dyDescent="0.25">
      <c r="B4" s="97" t="s">
        <v>2</v>
      </c>
      <c r="C4" s="97" t="s">
        <v>3</v>
      </c>
      <c r="D4" s="98" t="s">
        <v>80</v>
      </c>
      <c r="E4" s="97" t="s">
        <v>1</v>
      </c>
      <c r="F4" s="88" t="s">
        <v>25</v>
      </c>
      <c r="G4" s="97" t="s">
        <v>26</v>
      </c>
      <c r="H4" s="97" t="s">
        <v>81</v>
      </c>
      <c r="I4" s="97" t="s">
        <v>82</v>
      </c>
      <c r="J4" s="97" t="s">
        <v>83</v>
      </c>
    </row>
    <row r="5" spans="2:10" ht="38.25" x14ac:dyDescent="0.25">
      <c r="B5" s="99">
        <v>1</v>
      </c>
      <c r="C5" s="99">
        <v>2791301</v>
      </c>
      <c r="D5" s="100" t="s">
        <v>84</v>
      </c>
      <c r="E5" s="101" t="s">
        <v>85</v>
      </c>
      <c r="F5" s="99">
        <v>0</v>
      </c>
      <c r="G5" s="99">
        <v>1</v>
      </c>
      <c r="H5" s="99">
        <v>11161701</v>
      </c>
      <c r="I5" s="99">
        <v>1047066</v>
      </c>
      <c r="J5" s="99" t="s">
        <v>86</v>
      </c>
    </row>
    <row r="6" spans="2:10" ht="51" x14ac:dyDescent="0.25">
      <c r="B6" s="99">
        <v>2</v>
      </c>
      <c r="C6" s="102">
        <v>2791301</v>
      </c>
      <c r="D6" s="100" t="s">
        <v>87</v>
      </c>
      <c r="E6" s="101" t="s">
        <v>85</v>
      </c>
      <c r="F6" s="102">
        <v>0</v>
      </c>
      <c r="G6" s="102">
        <v>1</v>
      </c>
      <c r="H6" s="102">
        <v>11161701</v>
      </c>
      <c r="I6" s="102">
        <v>1898472</v>
      </c>
      <c r="J6" s="102" t="s">
        <v>86</v>
      </c>
    </row>
    <row r="7" spans="2:10" ht="51" x14ac:dyDescent="0.25">
      <c r="B7" s="99">
        <v>3</v>
      </c>
      <c r="C7" s="102">
        <v>2791301</v>
      </c>
      <c r="D7" s="100" t="s">
        <v>88</v>
      </c>
      <c r="E7" s="103" t="s">
        <v>85</v>
      </c>
      <c r="F7" s="99">
        <v>0</v>
      </c>
      <c r="G7" s="99">
        <v>1</v>
      </c>
      <c r="H7" s="102">
        <v>11161701</v>
      </c>
      <c r="I7" s="99">
        <v>1343999</v>
      </c>
      <c r="J7" s="99" t="s">
        <v>86</v>
      </c>
    </row>
    <row r="8" spans="2:10" ht="89.25" x14ac:dyDescent="0.25">
      <c r="B8" s="99">
        <v>4</v>
      </c>
      <c r="C8" s="102">
        <v>2791301</v>
      </c>
      <c r="D8" s="100" t="s">
        <v>89</v>
      </c>
      <c r="E8" s="103" t="s">
        <v>85</v>
      </c>
      <c r="F8" s="102">
        <v>0</v>
      </c>
      <c r="G8" s="102">
        <v>1</v>
      </c>
      <c r="H8" s="102">
        <v>11161701</v>
      </c>
      <c r="I8" s="102">
        <v>1347326</v>
      </c>
      <c r="J8" s="102" t="s">
        <v>86</v>
      </c>
    </row>
    <row r="9" spans="2:10" ht="51" x14ac:dyDescent="0.25">
      <c r="B9" s="99">
        <v>5</v>
      </c>
      <c r="C9" s="102">
        <v>2791301</v>
      </c>
      <c r="D9" s="100" t="s">
        <v>90</v>
      </c>
      <c r="E9" s="103" t="s">
        <v>85</v>
      </c>
      <c r="F9" s="99">
        <v>0</v>
      </c>
      <c r="G9" s="99">
        <v>1</v>
      </c>
      <c r="H9" s="102">
        <v>11161701</v>
      </c>
      <c r="I9" s="99">
        <v>1143174</v>
      </c>
      <c r="J9" s="99" t="s">
        <v>86</v>
      </c>
    </row>
    <row r="10" spans="2:10" ht="51" x14ac:dyDescent="0.25">
      <c r="B10" s="99">
        <v>6</v>
      </c>
      <c r="C10" s="102">
        <v>2791301</v>
      </c>
      <c r="D10" s="100" t="s">
        <v>91</v>
      </c>
      <c r="E10" s="101" t="s">
        <v>92</v>
      </c>
      <c r="F10" s="102">
        <v>0</v>
      </c>
      <c r="G10" s="102">
        <v>1</v>
      </c>
      <c r="H10" s="102">
        <v>11161701</v>
      </c>
      <c r="I10" s="102">
        <v>1047424</v>
      </c>
      <c r="J10" s="102" t="s">
        <v>86</v>
      </c>
    </row>
    <row r="11" spans="2:10" ht="51" x14ac:dyDescent="0.25">
      <c r="B11" s="99">
        <v>7</v>
      </c>
      <c r="C11" s="102">
        <v>2791301</v>
      </c>
      <c r="D11" s="100" t="s">
        <v>93</v>
      </c>
      <c r="E11" s="104" t="s">
        <v>92</v>
      </c>
      <c r="F11" s="99">
        <v>0</v>
      </c>
      <c r="G11" s="99">
        <v>1</v>
      </c>
      <c r="H11" s="102">
        <v>11161701</v>
      </c>
      <c r="I11" s="99">
        <v>1248964</v>
      </c>
      <c r="J11" s="99" t="s">
        <v>94</v>
      </c>
    </row>
    <row r="12" spans="2:10" ht="51" x14ac:dyDescent="0.25">
      <c r="B12" s="99">
        <v>8</v>
      </c>
      <c r="C12" s="102">
        <v>2791301</v>
      </c>
      <c r="D12" s="100" t="s">
        <v>95</v>
      </c>
      <c r="E12" s="104" t="s">
        <v>85</v>
      </c>
      <c r="F12" s="102">
        <v>0</v>
      </c>
      <c r="G12" s="102">
        <v>1</v>
      </c>
      <c r="H12" s="102">
        <v>11161701</v>
      </c>
      <c r="I12" s="102">
        <v>1082391</v>
      </c>
      <c r="J12" s="102" t="s">
        <v>86</v>
      </c>
    </row>
    <row r="13" spans="2:10" ht="51" x14ac:dyDescent="0.25">
      <c r="B13" s="99">
        <v>9</v>
      </c>
      <c r="C13" s="102">
        <v>2792201</v>
      </c>
      <c r="D13" s="100" t="s">
        <v>96</v>
      </c>
      <c r="E13" s="104" t="s">
        <v>97</v>
      </c>
      <c r="F13" s="99">
        <v>0</v>
      </c>
      <c r="G13" s="99">
        <v>1</v>
      </c>
      <c r="H13" s="102">
        <v>53102509</v>
      </c>
      <c r="I13" s="99">
        <v>1127360</v>
      </c>
      <c r="J13" s="99" t="s">
        <v>98</v>
      </c>
    </row>
    <row r="14" spans="2:10" ht="51" x14ac:dyDescent="0.25">
      <c r="B14" s="99">
        <v>10</v>
      </c>
      <c r="C14" s="102">
        <v>2712007</v>
      </c>
      <c r="D14" s="100" t="s">
        <v>99</v>
      </c>
      <c r="E14" s="104" t="s">
        <v>85</v>
      </c>
      <c r="F14" s="102">
        <v>0</v>
      </c>
      <c r="G14" s="102">
        <v>1</v>
      </c>
      <c r="H14" s="102">
        <v>53102512</v>
      </c>
      <c r="I14" s="102">
        <v>1316012</v>
      </c>
      <c r="J14" s="102" t="s">
        <v>100</v>
      </c>
    </row>
    <row r="15" spans="2:10" ht="51" x14ac:dyDescent="0.25">
      <c r="B15" s="99">
        <v>11</v>
      </c>
      <c r="C15" s="102">
        <v>2799701</v>
      </c>
      <c r="D15" s="100" t="s">
        <v>101</v>
      </c>
      <c r="E15" s="104" t="s">
        <v>85</v>
      </c>
      <c r="F15" s="99">
        <v>0</v>
      </c>
      <c r="G15" s="99">
        <v>1</v>
      </c>
      <c r="H15" s="102">
        <v>53121503</v>
      </c>
      <c r="I15" s="99">
        <v>1082376</v>
      </c>
      <c r="J15" s="99" t="s">
        <v>86</v>
      </c>
    </row>
    <row r="16" spans="2:10" ht="38.25" x14ac:dyDescent="0.25">
      <c r="B16" s="105">
        <v>12</v>
      </c>
      <c r="C16" s="102">
        <v>2732099</v>
      </c>
      <c r="D16" s="100" t="s">
        <v>102</v>
      </c>
      <c r="E16" s="104" t="s">
        <v>85</v>
      </c>
      <c r="F16" s="102">
        <v>0</v>
      </c>
      <c r="G16" s="102">
        <v>1</v>
      </c>
      <c r="H16" s="102">
        <v>53102513</v>
      </c>
      <c r="I16" s="102">
        <v>1893958</v>
      </c>
      <c r="J16" s="102" t="s">
        <v>86</v>
      </c>
    </row>
    <row r="17" spans="2:10" x14ac:dyDescent="0.25">
      <c r="B17" s="106"/>
      <c r="C17" s="106"/>
      <c r="D17" s="107"/>
      <c r="E17" s="108"/>
      <c r="F17" s="106"/>
      <c r="G17" s="106"/>
      <c r="H17" s="106"/>
      <c r="I17" s="106"/>
      <c r="J17" s="106"/>
    </row>
    <row r="18" spans="2:10" x14ac:dyDescent="0.25">
      <c r="B18" s="112" t="s">
        <v>78</v>
      </c>
      <c r="C18" s="112"/>
      <c r="D18" s="112"/>
      <c r="E18" s="112"/>
      <c r="F18" s="112" t="s">
        <v>79</v>
      </c>
      <c r="G18" s="112"/>
      <c r="H18" s="112"/>
      <c r="I18" s="112"/>
      <c r="J18" s="112"/>
    </row>
    <row r="19" spans="2:10" x14ac:dyDescent="0.25">
      <c r="B19" s="112" t="s">
        <v>57</v>
      </c>
      <c r="C19" s="112"/>
      <c r="D19" s="112"/>
      <c r="E19" s="112"/>
      <c r="F19" s="112" t="s">
        <v>58</v>
      </c>
      <c r="G19" s="112"/>
      <c r="H19" s="112"/>
      <c r="I19" s="112"/>
      <c r="J19" s="112"/>
    </row>
    <row r="20" spans="2:10" ht="38.25" x14ac:dyDescent="0.25">
      <c r="B20" s="97" t="s">
        <v>2</v>
      </c>
      <c r="C20" s="97" t="s">
        <v>3</v>
      </c>
      <c r="D20" s="98" t="s">
        <v>80</v>
      </c>
      <c r="E20" s="97" t="s">
        <v>1</v>
      </c>
      <c r="F20" s="88" t="s">
        <v>25</v>
      </c>
      <c r="G20" s="97" t="s">
        <v>26</v>
      </c>
      <c r="H20" s="97" t="s">
        <v>81</v>
      </c>
      <c r="I20" s="97" t="s">
        <v>82</v>
      </c>
      <c r="J20" s="97" t="s">
        <v>83</v>
      </c>
    </row>
    <row r="21" spans="2:10" ht="153" x14ac:dyDescent="0.25">
      <c r="B21" s="99">
        <v>13</v>
      </c>
      <c r="C21" s="102">
        <v>2821001</v>
      </c>
      <c r="D21" s="109" t="s">
        <v>103</v>
      </c>
      <c r="E21" s="101" t="s">
        <v>97</v>
      </c>
      <c r="F21" s="102">
        <v>0</v>
      </c>
      <c r="G21" s="102">
        <v>1</v>
      </c>
      <c r="H21" s="99">
        <v>53102402</v>
      </c>
      <c r="I21" s="102">
        <v>1495276</v>
      </c>
      <c r="J21" s="102" t="s">
        <v>86</v>
      </c>
    </row>
    <row r="22" spans="2:10" ht="51" x14ac:dyDescent="0.25">
      <c r="B22" s="99">
        <v>14</v>
      </c>
      <c r="C22" s="102">
        <v>2823601</v>
      </c>
      <c r="D22" s="109" t="s">
        <v>104</v>
      </c>
      <c r="E22" s="103" t="s">
        <v>85</v>
      </c>
      <c r="F22" s="99">
        <v>0</v>
      </c>
      <c r="G22" s="99">
        <v>1</v>
      </c>
      <c r="H22" s="99">
        <v>53102700</v>
      </c>
      <c r="I22" s="99">
        <v>1329412</v>
      </c>
      <c r="J22" s="99" t="s">
        <v>86</v>
      </c>
    </row>
    <row r="23" spans="2:10" ht="114.75" x14ac:dyDescent="0.25">
      <c r="B23" s="99">
        <v>15</v>
      </c>
      <c r="C23" s="102">
        <v>2819003</v>
      </c>
      <c r="D23" s="109" t="s">
        <v>105</v>
      </c>
      <c r="E23" s="103" t="s">
        <v>97</v>
      </c>
      <c r="F23" s="102">
        <v>0</v>
      </c>
      <c r="G23" s="102">
        <v>1</v>
      </c>
      <c r="H23" s="99">
        <v>53111800</v>
      </c>
      <c r="I23" s="99">
        <v>1296725</v>
      </c>
      <c r="J23" s="102" t="s">
        <v>86</v>
      </c>
    </row>
    <row r="24" spans="2:10" ht="51" x14ac:dyDescent="0.25">
      <c r="B24" s="105">
        <v>16</v>
      </c>
      <c r="C24" s="102">
        <v>2823603</v>
      </c>
      <c r="D24" s="109" t="s">
        <v>106</v>
      </c>
      <c r="E24" s="103" t="s">
        <v>85</v>
      </c>
      <c r="F24" s="99">
        <v>0</v>
      </c>
      <c r="G24" s="99">
        <v>1</v>
      </c>
      <c r="H24" s="99">
        <v>53101500</v>
      </c>
      <c r="I24" s="99">
        <v>1893955</v>
      </c>
      <c r="J24" s="99" t="s">
        <v>86</v>
      </c>
    </row>
    <row r="25" spans="2:10" ht="38.25" x14ac:dyDescent="0.25">
      <c r="B25" s="105">
        <v>17</v>
      </c>
      <c r="C25" s="102">
        <v>2822401</v>
      </c>
      <c r="D25" s="109" t="s">
        <v>107</v>
      </c>
      <c r="E25" s="101" t="s">
        <v>85</v>
      </c>
      <c r="F25" s="102">
        <v>0</v>
      </c>
      <c r="G25" s="102">
        <v>1</v>
      </c>
      <c r="H25" s="99">
        <v>53102300</v>
      </c>
      <c r="I25" s="102">
        <v>1702099</v>
      </c>
      <c r="J25" s="102" t="s">
        <v>86</v>
      </c>
    </row>
    <row r="26" spans="2:10" x14ac:dyDescent="0.25">
      <c r="B26" s="106"/>
      <c r="C26" s="106"/>
      <c r="D26" s="107"/>
      <c r="E26" s="108"/>
      <c r="F26" s="106"/>
      <c r="G26" s="106"/>
      <c r="H26" s="106"/>
      <c r="I26" s="106"/>
      <c r="J26" s="106"/>
    </row>
    <row r="27" spans="2:10" x14ac:dyDescent="0.25">
      <c r="B27" s="112" t="s">
        <v>78</v>
      </c>
      <c r="C27" s="112"/>
      <c r="D27" s="112"/>
      <c r="E27" s="112"/>
      <c r="F27" s="112" t="s">
        <v>79</v>
      </c>
      <c r="G27" s="112"/>
      <c r="H27" s="112"/>
      <c r="I27" s="112"/>
      <c r="J27" s="112"/>
    </row>
    <row r="28" spans="2:10" x14ac:dyDescent="0.25">
      <c r="B28" s="112" t="s">
        <v>28</v>
      </c>
      <c r="C28" s="112"/>
      <c r="D28" s="112"/>
      <c r="E28" s="112"/>
      <c r="F28" s="112" t="s">
        <v>59</v>
      </c>
      <c r="G28" s="112"/>
      <c r="H28" s="112"/>
      <c r="I28" s="112"/>
      <c r="J28" s="112"/>
    </row>
    <row r="29" spans="2:10" ht="38.25" x14ac:dyDescent="0.25">
      <c r="B29" s="97" t="s">
        <v>2</v>
      </c>
      <c r="C29" s="97" t="s">
        <v>3</v>
      </c>
      <c r="D29" s="98" t="s">
        <v>80</v>
      </c>
      <c r="E29" s="97" t="s">
        <v>1</v>
      </c>
      <c r="F29" s="88" t="s">
        <v>25</v>
      </c>
      <c r="G29" s="97" t="s">
        <v>26</v>
      </c>
      <c r="H29" s="97" t="s">
        <v>81</v>
      </c>
      <c r="I29" s="97" t="s">
        <v>82</v>
      </c>
      <c r="J29" s="97" t="s">
        <v>83</v>
      </c>
    </row>
    <row r="30" spans="2:10" ht="63.75" x14ac:dyDescent="0.25">
      <c r="B30" s="99">
        <v>18</v>
      </c>
      <c r="C30" s="99">
        <v>3270109</v>
      </c>
      <c r="D30" s="109" t="s">
        <v>108</v>
      </c>
      <c r="E30" s="101" t="s">
        <v>85</v>
      </c>
      <c r="F30" s="99">
        <v>0</v>
      </c>
      <c r="G30" s="99">
        <v>1</v>
      </c>
      <c r="H30" s="99">
        <v>14111514</v>
      </c>
      <c r="I30" s="99">
        <v>1277866</v>
      </c>
      <c r="J30" s="99" t="s">
        <v>109</v>
      </c>
    </row>
    <row r="31" spans="2:10" ht="102" x14ac:dyDescent="0.25">
      <c r="B31" s="99">
        <v>19</v>
      </c>
      <c r="C31" s="102">
        <v>3219302</v>
      </c>
      <c r="D31" s="109" t="s">
        <v>110</v>
      </c>
      <c r="E31" s="101" t="s">
        <v>85</v>
      </c>
      <c r="F31" s="102">
        <v>0</v>
      </c>
      <c r="G31" s="102">
        <v>1</v>
      </c>
      <c r="H31" s="102">
        <v>14111704</v>
      </c>
      <c r="I31" s="102">
        <v>1632379</v>
      </c>
      <c r="J31" s="102" t="s">
        <v>111</v>
      </c>
    </row>
    <row r="32" spans="2:10" ht="25.5" x14ac:dyDescent="0.25">
      <c r="B32" s="105">
        <v>20</v>
      </c>
      <c r="C32" s="102">
        <v>3219308</v>
      </c>
      <c r="D32" s="109" t="s">
        <v>112</v>
      </c>
      <c r="E32" s="103" t="s">
        <v>113</v>
      </c>
      <c r="F32" s="99">
        <v>0</v>
      </c>
      <c r="G32" s="99">
        <v>1</v>
      </c>
      <c r="H32" s="102">
        <v>52121700</v>
      </c>
      <c r="I32" s="99">
        <v>1476323</v>
      </c>
      <c r="J32" s="99" t="s">
        <v>86</v>
      </c>
    </row>
    <row r="33" spans="2:10" x14ac:dyDescent="0.25">
      <c r="B33" s="106"/>
      <c r="C33" s="106"/>
      <c r="D33" s="107"/>
      <c r="E33" s="108"/>
      <c r="F33" s="106"/>
      <c r="G33" s="106"/>
      <c r="H33" s="106"/>
      <c r="I33" s="106"/>
      <c r="J33" s="106"/>
    </row>
    <row r="34" spans="2:10" x14ac:dyDescent="0.25">
      <c r="B34" s="112" t="s">
        <v>78</v>
      </c>
      <c r="C34" s="112"/>
      <c r="D34" s="112"/>
      <c r="E34" s="112"/>
      <c r="F34" s="112" t="s">
        <v>79</v>
      </c>
      <c r="G34" s="112"/>
      <c r="H34" s="112"/>
      <c r="I34" s="112"/>
      <c r="J34" s="112"/>
    </row>
    <row r="35" spans="2:10" x14ac:dyDescent="0.25">
      <c r="B35" s="112" t="s">
        <v>39</v>
      </c>
      <c r="C35" s="112"/>
      <c r="D35" s="112"/>
      <c r="E35" s="112"/>
      <c r="F35" s="112" t="s">
        <v>40</v>
      </c>
      <c r="G35" s="112"/>
      <c r="H35" s="112"/>
      <c r="I35" s="112"/>
      <c r="J35" s="112"/>
    </row>
    <row r="36" spans="2:10" ht="38.25" x14ac:dyDescent="0.25">
      <c r="B36" s="97" t="s">
        <v>2</v>
      </c>
      <c r="C36" s="97" t="s">
        <v>3</v>
      </c>
      <c r="D36" s="98" t="s">
        <v>80</v>
      </c>
      <c r="E36" s="97" t="s">
        <v>1</v>
      </c>
      <c r="F36" s="88" t="s">
        <v>25</v>
      </c>
      <c r="G36" s="97" t="s">
        <v>26</v>
      </c>
      <c r="H36" s="97" t="s">
        <v>81</v>
      </c>
      <c r="I36" s="97" t="s">
        <v>82</v>
      </c>
      <c r="J36" s="97" t="s">
        <v>83</v>
      </c>
    </row>
    <row r="37" spans="2:10" ht="38.25" x14ac:dyDescent="0.25">
      <c r="B37" s="99">
        <v>21</v>
      </c>
      <c r="C37" s="99">
        <v>3533301</v>
      </c>
      <c r="D37" s="109" t="s">
        <v>114</v>
      </c>
      <c r="E37" s="101" t="s">
        <v>85</v>
      </c>
      <c r="F37" s="99">
        <v>0</v>
      </c>
      <c r="G37" s="99">
        <v>1</v>
      </c>
      <c r="H37" s="99">
        <v>47131809</v>
      </c>
      <c r="I37" s="99">
        <v>1048274</v>
      </c>
      <c r="J37" s="99" t="s">
        <v>86</v>
      </c>
    </row>
    <row r="38" spans="2:10" ht="38.25" x14ac:dyDescent="0.25">
      <c r="B38" s="99">
        <v>22</v>
      </c>
      <c r="C38" s="102">
        <v>3532315</v>
      </c>
      <c r="D38" s="109" t="s">
        <v>115</v>
      </c>
      <c r="E38" s="101" t="s">
        <v>85</v>
      </c>
      <c r="F38" s="102">
        <v>0</v>
      </c>
      <c r="G38" s="102">
        <v>1</v>
      </c>
      <c r="H38" s="102">
        <v>53131614</v>
      </c>
      <c r="I38" s="102">
        <v>1291103</v>
      </c>
      <c r="J38" s="102" t="s">
        <v>116</v>
      </c>
    </row>
    <row r="39" spans="2:10" ht="38.25" x14ac:dyDescent="0.25">
      <c r="B39" s="99">
        <v>23</v>
      </c>
      <c r="C39" s="102">
        <v>3532308</v>
      </c>
      <c r="D39" s="109" t="s">
        <v>117</v>
      </c>
      <c r="E39" s="103" t="s">
        <v>85</v>
      </c>
      <c r="F39" s="99">
        <v>0</v>
      </c>
      <c r="G39" s="99">
        <v>1</v>
      </c>
      <c r="H39" s="102">
        <v>53131502</v>
      </c>
      <c r="I39" s="99">
        <v>1013968</v>
      </c>
      <c r="J39" s="99" t="s">
        <v>118</v>
      </c>
    </row>
    <row r="40" spans="2:10" ht="51" x14ac:dyDescent="0.25">
      <c r="B40" s="99">
        <v>24</v>
      </c>
      <c r="C40" s="102">
        <v>3532324</v>
      </c>
      <c r="D40" s="109" t="s">
        <v>119</v>
      </c>
      <c r="E40" s="103" t="s">
        <v>85</v>
      </c>
      <c r="F40" s="102">
        <v>0</v>
      </c>
      <c r="G40" s="102">
        <v>1</v>
      </c>
      <c r="H40" s="102">
        <v>53131606</v>
      </c>
      <c r="I40" s="102">
        <v>1013944</v>
      </c>
      <c r="J40" s="102" t="s">
        <v>120</v>
      </c>
    </row>
    <row r="41" spans="2:10" ht="38.25" x14ac:dyDescent="0.25">
      <c r="B41" s="105">
        <v>25</v>
      </c>
      <c r="C41" s="102">
        <v>3532324</v>
      </c>
      <c r="D41" s="109" t="s">
        <v>121</v>
      </c>
      <c r="E41" s="103" t="s">
        <v>85</v>
      </c>
      <c r="F41" s="99">
        <v>0</v>
      </c>
      <c r="G41" s="99">
        <v>1</v>
      </c>
      <c r="H41" s="102">
        <v>53131606</v>
      </c>
      <c r="I41" s="99">
        <v>1476318</v>
      </c>
      <c r="J41" s="99" t="s">
        <v>120</v>
      </c>
    </row>
    <row r="42" spans="2:10" ht="38.25" x14ac:dyDescent="0.25">
      <c r="B42" s="99">
        <v>26</v>
      </c>
      <c r="C42" s="102">
        <v>3532105</v>
      </c>
      <c r="D42" s="109" t="s">
        <v>122</v>
      </c>
      <c r="E42" s="101" t="s">
        <v>85</v>
      </c>
      <c r="F42" s="102">
        <v>0</v>
      </c>
      <c r="G42" s="102">
        <v>1</v>
      </c>
      <c r="H42" s="102">
        <v>53131608</v>
      </c>
      <c r="I42" s="102">
        <v>1013955</v>
      </c>
      <c r="J42" s="102" t="s">
        <v>123</v>
      </c>
    </row>
    <row r="43" spans="2:10" ht="38.25" x14ac:dyDescent="0.25">
      <c r="B43" s="99">
        <v>27</v>
      </c>
      <c r="C43" s="102">
        <v>3532101</v>
      </c>
      <c r="D43" s="109" t="s">
        <v>124</v>
      </c>
      <c r="E43" s="104" t="s">
        <v>85</v>
      </c>
      <c r="F43" s="99">
        <v>0</v>
      </c>
      <c r="G43" s="99">
        <v>1</v>
      </c>
      <c r="H43" s="102">
        <v>47131811</v>
      </c>
      <c r="I43" s="99">
        <v>1298675</v>
      </c>
      <c r="J43" s="99" t="s">
        <v>125</v>
      </c>
    </row>
    <row r="44" spans="2:10" x14ac:dyDescent="0.25">
      <c r="B44" s="106"/>
      <c r="C44" s="106"/>
      <c r="D44" s="107"/>
      <c r="E44" s="108"/>
      <c r="F44" s="106"/>
      <c r="G44" s="106"/>
      <c r="H44" s="106"/>
      <c r="I44" s="106"/>
      <c r="J44" s="106"/>
    </row>
    <row r="45" spans="2:10" x14ac:dyDescent="0.25">
      <c r="B45" s="112" t="s">
        <v>78</v>
      </c>
      <c r="C45" s="112"/>
      <c r="D45" s="112"/>
      <c r="E45" s="112"/>
      <c r="F45" s="112" t="s">
        <v>79</v>
      </c>
      <c r="G45" s="112"/>
      <c r="H45" s="112"/>
      <c r="I45" s="112"/>
      <c r="J45" s="112"/>
    </row>
    <row r="46" spans="2:10" x14ac:dyDescent="0.25">
      <c r="B46" s="112" t="s">
        <v>41</v>
      </c>
      <c r="C46" s="112"/>
      <c r="D46" s="112"/>
      <c r="E46" s="112"/>
      <c r="F46" s="112" t="s">
        <v>42</v>
      </c>
      <c r="G46" s="112"/>
      <c r="H46" s="112"/>
      <c r="I46" s="112"/>
      <c r="J46" s="112"/>
    </row>
    <row r="47" spans="2:10" ht="38.25" x14ac:dyDescent="0.25">
      <c r="B47" s="97" t="s">
        <v>2</v>
      </c>
      <c r="C47" s="97" t="s">
        <v>3</v>
      </c>
      <c r="D47" s="98" t="s">
        <v>80</v>
      </c>
      <c r="E47" s="97" t="s">
        <v>1</v>
      </c>
      <c r="F47" s="88" t="s">
        <v>25</v>
      </c>
      <c r="G47" s="97" t="s">
        <v>26</v>
      </c>
      <c r="H47" s="97" t="s">
        <v>81</v>
      </c>
      <c r="I47" s="97" t="s">
        <v>82</v>
      </c>
      <c r="J47" s="97" t="s">
        <v>83</v>
      </c>
    </row>
    <row r="48" spans="2:10" ht="89.25" x14ac:dyDescent="0.25">
      <c r="B48" s="99">
        <v>28</v>
      </c>
      <c r="C48" s="99">
        <v>3699056</v>
      </c>
      <c r="D48" s="109" t="s">
        <v>126</v>
      </c>
      <c r="E48" s="101" t="s">
        <v>85</v>
      </c>
      <c r="F48" s="99">
        <v>0</v>
      </c>
      <c r="G48" s="99">
        <v>1</v>
      </c>
      <c r="H48" s="99">
        <v>46181902</v>
      </c>
      <c r="I48" s="99">
        <v>1447319</v>
      </c>
      <c r="J48" s="99" t="s">
        <v>127</v>
      </c>
    </row>
    <row r="49" spans="2:10" ht="51" x14ac:dyDescent="0.25">
      <c r="B49" s="99">
        <v>29</v>
      </c>
      <c r="C49" s="102">
        <v>3694006</v>
      </c>
      <c r="D49" s="109" t="s">
        <v>128</v>
      </c>
      <c r="E49" s="101" t="s">
        <v>85</v>
      </c>
      <c r="F49" s="102">
        <v>0</v>
      </c>
      <c r="G49" s="102">
        <v>1</v>
      </c>
      <c r="H49" s="102">
        <v>30181601</v>
      </c>
      <c r="I49" s="102">
        <v>1082381</v>
      </c>
      <c r="J49" s="102" t="s">
        <v>129</v>
      </c>
    </row>
    <row r="50" spans="2:10" ht="38.25" x14ac:dyDescent="0.25">
      <c r="B50" s="99">
        <v>30</v>
      </c>
      <c r="C50" s="102">
        <v>3649006</v>
      </c>
      <c r="D50" s="109" t="s">
        <v>130</v>
      </c>
      <c r="E50" s="103" t="s">
        <v>85</v>
      </c>
      <c r="F50" s="99">
        <v>0</v>
      </c>
      <c r="G50" s="99">
        <v>1</v>
      </c>
      <c r="H50" s="102">
        <v>53121800</v>
      </c>
      <c r="I50" s="99">
        <v>1330024</v>
      </c>
      <c r="J50" s="99" t="s">
        <v>131</v>
      </c>
    </row>
    <row r="51" spans="2:10" x14ac:dyDescent="0.25">
      <c r="B51" s="106"/>
      <c r="C51" s="106"/>
      <c r="D51" s="107"/>
      <c r="E51" s="108"/>
      <c r="F51" s="106"/>
      <c r="G51" s="106"/>
      <c r="H51" s="106"/>
      <c r="I51" s="106"/>
      <c r="J51" s="106"/>
    </row>
    <row r="52" spans="2:10" x14ac:dyDescent="0.25">
      <c r="B52" s="112" t="s">
        <v>78</v>
      </c>
      <c r="C52" s="112"/>
      <c r="D52" s="112"/>
      <c r="E52" s="112"/>
      <c r="F52" s="112" t="s">
        <v>79</v>
      </c>
      <c r="G52" s="112"/>
      <c r="H52" s="112"/>
      <c r="I52" s="112"/>
      <c r="J52" s="112"/>
    </row>
    <row r="53" spans="2:10" x14ac:dyDescent="0.25">
      <c r="B53" s="112" t="s">
        <v>43</v>
      </c>
      <c r="C53" s="112"/>
      <c r="D53" s="112"/>
      <c r="E53" s="112"/>
      <c r="F53" s="112" t="s">
        <v>44</v>
      </c>
      <c r="G53" s="112"/>
      <c r="H53" s="112"/>
      <c r="I53" s="112"/>
      <c r="J53" s="112"/>
    </row>
    <row r="54" spans="2:10" ht="38.25" x14ac:dyDescent="0.25">
      <c r="B54" s="97" t="s">
        <v>2</v>
      </c>
      <c r="C54" s="97" t="s">
        <v>3</v>
      </c>
      <c r="D54" s="98" t="s">
        <v>80</v>
      </c>
      <c r="E54" s="97" t="s">
        <v>1</v>
      </c>
      <c r="F54" s="88" t="s">
        <v>25</v>
      </c>
      <c r="G54" s="97" t="s">
        <v>26</v>
      </c>
      <c r="H54" s="97" t="s">
        <v>81</v>
      </c>
      <c r="I54" s="97" t="s">
        <v>82</v>
      </c>
      <c r="J54" s="97" t="s">
        <v>83</v>
      </c>
    </row>
    <row r="55" spans="2:10" ht="102" x14ac:dyDescent="0.25">
      <c r="B55" s="99">
        <v>31</v>
      </c>
      <c r="C55" s="99">
        <v>3899307</v>
      </c>
      <c r="D55" s="109" t="s">
        <v>132</v>
      </c>
      <c r="E55" s="101" t="s">
        <v>85</v>
      </c>
      <c r="F55" s="99">
        <v>0</v>
      </c>
      <c r="G55" s="99">
        <v>1</v>
      </c>
      <c r="H55" s="99">
        <v>53131503</v>
      </c>
      <c r="I55" s="99">
        <v>1349993</v>
      </c>
      <c r="J55" s="99" t="s">
        <v>133</v>
      </c>
    </row>
    <row r="56" spans="2:10" ht="51" x14ac:dyDescent="0.25">
      <c r="B56" s="99">
        <v>32</v>
      </c>
      <c r="C56" s="102">
        <v>3899402</v>
      </c>
      <c r="D56" s="109" t="s">
        <v>134</v>
      </c>
      <c r="E56" s="101" t="s">
        <v>85</v>
      </c>
      <c r="F56" s="102">
        <v>0</v>
      </c>
      <c r="G56" s="102">
        <v>1</v>
      </c>
      <c r="H56" s="102">
        <v>53131604</v>
      </c>
      <c r="I56" s="102">
        <v>1082385</v>
      </c>
      <c r="J56" s="102" t="s">
        <v>135</v>
      </c>
    </row>
    <row r="57" spans="2:10" ht="76.5" x14ac:dyDescent="0.25">
      <c r="B57" s="99">
        <v>33</v>
      </c>
      <c r="C57" s="102">
        <v>3899306</v>
      </c>
      <c r="D57" s="109" t="s">
        <v>136</v>
      </c>
      <c r="E57" s="101" t="s">
        <v>85</v>
      </c>
      <c r="F57" s="99">
        <v>0</v>
      </c>
      <c r="G57" s="99">
        <v>1</v>
      </c>
      <c r="H57" s="102">
        <v>27113000</v>
      </c>
      <c r="I57" s="99">
        <v>1017232</v>
      </c>
      <c r="J57" s="99" t="s">
        <v>137</v>
      </c>
    </row>
    <row r="58" spans="2:10" ht="51" x14ac:dyDescent="0.25">
      <c r="B58" s="99">
        <v>34</v>
      </c>
      <c r="C58" s="102">
        <v>3891103</v>
      </c>
      <c r="D58" s="109" t="s">
        <v>138</v>
      </c>
      <c r="E58" s="101" t="s">
        <v>85</v>
      </c>
      <c r="F58" s="102">
        <v>0</v>
      </c>
      <c r="G58" s="102">
        <v>1</v>
      </c>
      <c r="H58" s="102">
        <v>44121701</v>
      </c>
      <c r="I58" s="102">
        <v>1749319</v>
      </c>
      <c r="J58" s="102" t="s">
        <v>86</v>
      </c>
    </row>
    <row r="59" spans="2:10" x14ac:dyDescent="0.25">
      <c r="B59" s="108"/>
      <c r="C59" s="106"/>
      <c r="D59" s="107"/>
      <c r="E59" s="110"/>
      <c r="F59" s="106"/>
      <c r="G59" s="106"/>
      <c r="H59" s="106"/>
      <c r="I59" s="106"/>
      <c r="J59" s="106"/>
    </row>
    <row r="60" spans="2:10" x14ac:dyDescent="0.25">
      <c r="B60" s="112" t="s">
        <v>78</v>
      </c>
      <c r="C60" s="112"/>
      <c r="D60" s="112"/>
      <c r="E60" s="112"/>
      <c r="F60" s="112" t="s">
        <v>79</v>
      </c>
      <c r="G60" s="112"/>
      <c r="H60" s="112"/>
      <c r="I60" s="112"/>
      <c r="J60" s="112"/>
    </row>
    <row r="61" spans="2:10" x14ac:dyDescent="0.25">
      <c r="B61" s="112" t="s">
        <v>60</v>
      </c>
      <c r="C61" s="112"/>
      <c r="D61" s="112"/>
      <c r="E61" s="112"/>
      <c r="F61" s="112" t="s">
        <v>61</v>
      </c>
      <c r="G61" s="112"/>
      <c r="H61" s="112"/>
      <c r="I61" s="112"/>
      <c r="J61" s="112"/>
    </row>
    <row r="62" spans="2:10" ht="38.25" x14ac:dyDescent="0.25">
      <c r="B62" s="97" t="s">
        <v>2</v>
      </c>
      <c r="C62" s="97" t="s">
        <v>3</v>
      </c>
      <c r="D62" s="98" t="s">
        <v>80</v>
      </c>
      <c r="E62" s="97" t="s">
        <v>1</v>
      </c>
      <c r="F62" s="88" t="s">
        <v>25</v>
      </c>
      <c r="G62" s="97" t="s">
        <v>26</v>
      </c>
      <c r="H62" s="97" t="s">
        <v>81</v>
      </c>
      <c r="I62" s="97" t="s">
        <v>82</v>
      </c>
      <c r="J62" s="97" t="s">
        <v>83</v>
      </c>
    </row>
    <row r="63" spans="2:10" ht="51" x14ac:dyDescent="0.25">
      <c r="B63" s="99">
        <v>35</v>
      </c>
      <c r="C63" s="99">
        <v>4291403</v>
      </c>
      <c r="D63" s="109" t="s">
        <v>139</v>
      </c>
      <c r="E63" s="101" t="s">
        <v>85</v>
      </c>
      <c r="F63" s="99">
        <v>0</v>
      </c>
      <c r="G63" s="99">
        <v>1</v>
      </c>
      <c r="H63" s="99">
        <v>53131603</v>
      </c>
      <c r="I63" s="99">
        <v>1266905</v>
      </c>
      <c r="J63" s="99" t="s">
        <v>86</v>
      </c>
    </row>
    <row r="64" spans="2:10" ht="38.25" x14ac:dyDescent="0.25">
      <c r="B64" s="99">
        <v>36</v>
      </c>
      <c r="C64" s="102">
        <v>4299206</v>
      </c>
      <c r="D64" s="109" t="s">
        <v>140</v>
      </c>
      <c r="E64" s="101" t="s">
        <v>85</v>
      </c>
      <c r="F64" s="102">
        <v>0</v>
      </c>
      <c r="G64" s="102">
        <v>1</v>
      </c>
      <c r="H64" s="102">
        <v>46171501</v>
      </c>
      <c r="I64" s="102">
        <v>1448704</v>
      </c>
      <c r="J64" s="102" t="s">
        <v>141</v>
      </c>
    </row>
    <row r="65" spans="2:10" ht="38.25" x14ac:dyDescent="0.25">
      <c r="B65" s="99">
        <v>37</v>
      </c>
      <c r="C65" s="102">
        <v>4291502</v>
      </c>
      <c r="D65" s="109" t="s">
        <v>142</v>
      </c>
      <c r="E65" s="101" t="s">
        <v>85</v>
      </c>
      <c r="F65" s="99">
        <v>0</v>
      </c>
      <c r="G65" s="99">
        <v>1</v>
      </c>
      <c r="H65" s="102">
        <v>53131621</v>
      </c>
      <c r="I65" s="99">
        <v>1315903</v>
      </c>
      <c r="J65" s="99" t="s">
        <v>143</v>
      </c>
    </row>
    <row r="66" spans="2:10" ht="102" x14ac:dyDescent="0.25">
      <c r="B66" s="99">
        <v>38</v>
      </c>
      <c r="C66" s="102">
        <v>4299904</v>
      </c>
      <c r="D66" s="109" t="s">
        <v>144</v>
      </c>
      <c r="E66" s="101" t="s">
        <v>92</v>
      </c>
      <c r="F66" s="102">
        <v>0</v>
      </c>
      <c r="G66" s="102">
        <v>1</v>
      </c>
      <c r="H66" s="102">
        <v>60101717</v>
      </c>
      <c r="I66" s="102">
        <v>1108870</v>
      </c>
      <c r="J66" s="102" t="s">
        <v>145</v>
      </c>
    </row>
  </sheetData>
  <mergeCells count="28">
    <mergeCell ref="B60:E60"/>
    <mergeCell ref="F60:J60"/>
    <mergeCell ref="B61:E61"/>
    <mergeCell ref="F61:J61"/>
    <mergeCell ref="B52:E52"/>
    <mergeCell ref="F52:J52"/>
    <mergeCell ref="B53:E53"/>
    <mergeCell ref="F53:J53"/>
    <mergeCell ref="B46:E46"/>
    <mergeCell ref="F46:J46"/>
    <mergeCell ref="B45:E45"/>
    <mergeCell ref="F45:J45"/>
    <mergeCell ref="B35:E35"/>
    <mergeCell ref="F35:J35"/>
    <mergeCell ref="B34:E34"/>
    <mergeCell ref="F34:J34"/>
    <mergeCell ref="B27:E27"/>
    <mergeCell ref="F27:J27"/>
    <mergeCell ref="B28:E28"/>
    <mergeCell ref="F28:J28"/>
    <mergeCell ref="F18:J18"/>
    <mergeCell ref="B19:E19"/>
    <mergeCell ref="F19:J19"/>
    <mergeCell ref="B18:E18"/>
    <mergeCell ref="B2:E2"/>
    <mergeCell ref="F2:J2"/>
    <mergeCell ref="B3:E3"/>
    <mergeCell ref="F3:J3"/>
  </mergeCells>
  <conditionalFormatting sqref="D5">
    <cfRule type="duplicateValues" dxfId="15" priority="4"/>
    <cfRule type="duplicateValues" dxfId="14" priority="5"/>
  </conditionalFormatting>
  <conditionalFormatting sqref="D6:D16">
    <cfRule type="duplicateValues" dxfId="13" priority="2"/>
    <cfRule type="duplicateValues" dxfId="12" priority="3"/>
  </conditionalFormatting>
  <conditionalFormatting sqref="I5:I16">
    <cfRule type="duplicateValues" dxfId="11" priority="6"/>
  </conditionalFormatting>
  <conditionalFormatting sqref="I21:I25">
    <cfRule type="duplicateValues" dxfId="10" priority="7"/>
  </conditionalFormatting>
  <conditionalFormatting sqref="I30:I32">
    <cfRule type="duplicateValues" dxfId="9" priority="8"/>
  </conditionalFormatting>
  <conditionalFormatting sqref="I55:I59">
    <cfRule type="duplicateValues" dxfId="8" priority="9"/>
  </conditionalFormatting>
  <conditionalFormatting sqref="I63:I66">
    <cfRule type="duplicateValues" dxfId="7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DV92"/>
  <sheetViews>
    <sheetView zoomScale="85" zoomScaleNormal="85" workbookViewId="0">
      <selection activeCell="E12" sqref="E12"/>
    </sheetView>
  </sheetViews>
  <sheetFormatPr baseColWidth="10" defaultRowHeight="15" x14ac:dyDescent="0.25"/>
  <cols>
    <col min="2" max="2" width="22.28515625" style="42" bestFit="1" customWidth="1"/>
    <col min="3" max="3" width="11.7109375" style="42" customWidth="1"/>
    <col min="4" max="4" width="34.140625" style="42" customWidth="1"/>
    <col min="5" max="5" width="20.140625" style="42" customWidth="1"/>
    <col min="6" max="7" width="20.140625" customWidth="1"/>
  </cols>
  <sheetData>
    <row r="2" spans="2:7" ht="25.5" x14ac:dyDescent="0.25">
      <c r="B2" s="45" t="s">
        <v>11</v>
      </c>
      <c r="C2" s="45" t="s">
        <v>5</v>
      </c>
      <c r="D2" s="45" t="s">
        <v>6</v>
      </c>
      <c r="E2" s="45" t="s">
        <v>8</v>
      </c>
      <c r="F2" s="45" t="s">
        <v>9</v>
      </c>
      <c r="G2" s="45" t="s">
        <v>10</v>
      </c>
    </row>
    <row r="3" spans="2:7" s="1" customFormat="1" ht="25.5" x14ac:dyDescent="0.25">
      <c r="B3" s="41" t="str">
        <f>PRESUPUESTO!B51</f>
        <v>A-02-02-01-002-007</v>
      </c>
      <c r="C3" s="41">
        <f>PRESUPUESTO!C51</f>
        <v>10</v>
      </c>
      <c r="D3" s="41" t="str">
        <f>PRESUPUESTO!D51</f>
        <v>ARTÍCULOS TEXTILES (EXCEPTO PRENDAS DE VESTIR)</v>
      </c>
      <c r="E3" s="43">
        <f>PRESUPUESTO!G66</f>
        <v>149264457.99999997</v>
      </c>
      <c r="F3" s="43">
        <f>PRESUPUESTO!H66</f>
        <v>0</v>
      </c>
      <c r="G3" s="43">
        <f>PRESUPUESTO!I66</f>
        <v>0</v>
      </c>
    </row>
    <row r="4" spans="2:7" ht="25.5" x14ac:dyDescent="0.25">
      <c r="B4" s="41" t="str">
        <f>PRESUPUESTO!B69</f>
        <v>A-02-02-01-002-008</v>
      </c>
      <c r="C4" s="41">
        <f>PRESUPUESTO!C69</f>
        <v>10</v>
      </c>
      <c r="D4" s="41" t="str">
        <f>PRESUPUESTO!D69</f>
        <v>DOTACIÓN (PRENDAS DE VESTIR Y CALZADO)</v>
      </c>
      <c r="E4" s="43">
        <f>PRESUPUESTO!G84</f>
        <v>110172405.99999999</v>
      </c>
      <c r="F4" s="43">
        <f>PRESUPUESTO!H84</f>
        <v>0</v>
      </c>
      <c r="G4" s="43">
        <f>PRESUPUESTO!I84</f>
        <v>0</v>
      </c>
    </row>
    <row r="5" spans="2:7" ht="38.25" x14ac:dyDescent="0.25">
      <c r="B5" s="41" t="str">
        <f>PRESUPUESTO!B87</f>
        <v>A-02-02-01-003-002</v>
      </c>
      <c r="C5" s="41">
        <f>PRESUPUESTO!C87</f>
        <v>10</v>
      </c>
      <c r="D5" s="41" t="str">
        <f>PRESUPUESTO!D87</f>
        <v>PASTA O PULPA, PAPEL Y PRODUCTOS DE PAPEL; IMPRESOS Y ARTÍCULOS SIMILARES</v>
      </c>
      <c r="E5" s="43">
        <f>PRESUPUESTO!G102</f>
        <v>17181908</v>
      </c>
      <c r="F5" s="43">
        <f>PRESUPUESTO!H102</f>
        <v>0</v>
      </c>
      <c r="G5" s="43">
        <f>PRESUPUESTO!I102</f>
        <v>0</v>
      </c>
    </row>
    <row r="6" spans="2:7" ht="38.25" x14ac:dyDescent="0.25">
      <c r="B6" s="41" t="str">
        <f>PRESUPUESTO!B105</f>
        <v>A-02-02-01-003-005</v>
      </c>
      <c r="C6" s="41">
        <f>PRESUPUESTO!C105</f>
        <v>10</v>
      </c>
      <c r="D6" s="41" t="str">
        <f>PRESUPUESTO!D105</f>
        <v>OTROS PRODUCTOS QUÍMICOS; FIBRAS ARTIFICIALES (O FIBRAS INDUSTRIALES HECHAS POR EL HOMBRE)</v>
      </c>
      <c r="E6" s="43">
        <f>PRESUPUESTO!G120</f>
        <v>76633232</v>
      </c>
      <c r="F6" s="43">
        <f>PRESUPUESTO!H120</f>
        <v>0</v>
      </c>
      <c r="G6" s="43">
        <f>PRESUPUESTO!I120</f>
        <v>0</v>
      </c>
    </row>
    <row r="7" spans="2:7" x14ac:dyDescent="0.25">
      <c r="B7" s="41" t="str">
        <f>PRESUPUESTO!B123</f>
        <v>A-02-02-01-003-006</v>
      </c>
      <c r="C7" s="41">
        <f>PRESUPUESTO!C123</f>
        <v>10</v>
      </c>
      <c r="D7" s="41" t="str">
        <f>PRESUPUESTO!D123</f>
        <v>PRODUCTOS DE CAUCHO Y PLÁSTICO</v>
      </c>
      <c r="E7" s="43">
        <f>PRESUPUESTO!G138</f>
        <v>10678303.999999998</v>
      </c>
      <c r="F7" s="43">
        <f>PRESUPUESTO!H138</f>
        <v>0</v>
      </c>
      <c r="G7" s="43">
        <f>PRESUPUESTO!I138</f>
        <v>0</v>
      </c>
    </row>
    <row r="8" spans="2:7" x14ac:dyDescent="0.25">
      <c r="B8" s="41" t="str">
        <f>PRESUPUESTO!B141</f>
        <v>A-02-02-01-003-008</v>
      </c>
      <c r="C8" s="41">
        <f>PRESUPUESTO!C141</f>
        <v>10</v>
      </c>
      <c r="D8" s="41" t="str">
        <f>PRESUPUESTO!D141</f>
        <v>OTROS BIENES TRANSPORTABLES N.C.P.</v>
      </c>
      <c r="E8" s="43">
        <f>PRESUPUESTO!G156</f>
        <v>21384272</v>
      </c>
      <c r="F8" s="43">
        <f>PRESUPUESTO!H156</f>
        <v>0</v>
      </c>
      <c r="G8" s="43">
        <f>PRESUPUESTO!I156</f>
        <v>0</v>
      </c>
    </row>
    <row r="9" spans="2:7" ht="25.5" x14ac:dyDescent="0.25">
      <c r="B9" s="41" t="str">
        <f>PRESUPUESTO!B159</f>
        <v>A-02-02-01-004-002</v>
      </c>
      <c r="C9" s="41">
        <f>PRESUPUESTO!C159</f>
        <v>10</v>
      </c>
      <c r="D9" s="41" t="str">
        <f>PRESUPUESTO!D159</f>
        <v>PRODUCTOS METÁLICOS ELABORADOS (EXCEPTO MAQUINARIA Y EQUIPO)</v>
      </c>
      <c r="E9" s="43">
        <f>PRESUPUESTO!G174</f>
        <v>51156664.000000015</v>
      </c>
      <c r="F9" s="43">
        <f>PRESUPUESTO!H174</f>
        <v>0</v>
      </c>
      <c r="G9" s="43">
        <f>PRESUPUESTO!I174</f>
        <v>0</v>
      </c>
    </row>
    <row r="10" spans="2:7" s="1" customFormat="1" x14ac:dyDescent="0.25">
      <c r="B10" s="113" t="s">
        <v>21</v>
      </c>
      <c r="C10" s="113"/>
      <c r="D10" s="113"/>
      <c r="E10" s="51">
        <f>SUM(E3:E9)</f>
        <v>436471243.99999994</v>
      </c>
      <c r="F10" s="51">
        <f t="shared" ref="F10:G10" si="0">SUM(F3:F9)</f>
        <v>0</v>
      </c>
      <c r="G10" s="51">
        <f t="shared" si="0"/>
        <v>0</v>
      </c>
    </row>
    <row r="11" spans="2:7" x14ac:dyDescent="0.25">
      <c r="B11" s="38"/>
      <c r="C11" s="39"/>
      <c r="D11" s="40"/>
    </row>
    <row r="12" spans="2:7" x14ac:dyDescent="0.25">
      <c r="B12" s="38"/>
      <c r="C12" s="39"/>
      <c r="D12" s="40"/>
    </row>
    <row r="13" spans="2:7" x14ac:dyDescent="0.25">
      <c r="B13" s="38"/>
      <c r="C13" s="39"/>
      <c r="D13" s="40"/>
    </row>
    <row r="14" spans="2:7" x14ac:dyDescent="0.25">
      <c r="B14" s="38"/>
      <c r="C14" s="39"/>
      <c r="D14" s="40"/>
    </row>
    <row r="15" spans="2:7" x14ac:dyDescent="0.25">
      <c r="B15" s="38"/>
      <c r="C15" s="39"/>
      <c r="D15" s="40"/>
    </row>
    <row r="16" spans="2:7" x14ac:dyDescent="0.25">
      <c r="B16" s="38"/>
      <c r="C16" s="39"/>
      <c r="D16" s="40"/>
    </row>
    <row r="17" spans="2:4" x14ac:dyDescent="0.25">
      <c r="B17" s="38"/>
      <c r="C17" s="39"/>
      <c r="D17" s="40"/>
    </row>
    <row r="18" spans="2:4" x14ac:dyDescent="0.25">
      <c r="B18" s="38"/>
      <c r="C18" s="39"/>
      <c r="D18" s="40"/>
    </row>
    <row r="19" spans="2:4" x14ac:dyDescent="0.25">
      <c r="B19" s="38"/>
      <c r="C19" s="39"/>
      <c r="D19" s="40"/>
    </row>
    <row r="20" spans="2:4" x14ac:dyDescent="0.25">
      <c r="B20" s="38"/>
      <c r="C20" s="39"/>
      <c r="D20" s="40"/>
    </row>
    <row r="21" spans="2:4" x14ac:dyDescent="0.25">
      <c r="B21" s="38"/>
      <c r="C21" s="39"/>
      <c r="D21" s="40"/>
    </row>
    <row r="22" spans="2:4" x14ac:dyDescent="0.25">
      <c r="B22" s="38"/>
      <c r="C22" s="39"/>
      <c r="D22" s="40"/>
    </row>
    <row r="23" spans="2:4" x14ac:dyDescent="0.25">
      <c r="B23" s="38"/>
      <c r="C23" s="39"/>
      <c r="D23" s="40"/>
    </row>
    <row r="24" spans="2:4" x14ac:dyDescent="0.25">
      <c r="B24" s="38"/>
      <c r="C24" s="39"/>
      <c r="D24" s="40"/>
    </row>
    <row r="25" spans="2:4" x14ac:dyDescent="0.25">
      <c r="B25" s="38"/>
      <c r="C25" s="39"/>
      <c r="D25" s="40"/>
    </row>
    <row r="26" spans="2:4" x14ac:dyDescent="0.25">
      <c r="B26" s="38"/>
      <c r="C26" s="39"/>
      <c r="D26" s="40"/>
    </row>
    <row r="27" spans="2:4" x14ac:dyDescent="0.25">
      <c r="B27" s="38"/>
      <c r="C27" s="39"/>
      <c r="D27" s="40"/>
    </row>
    <row r="28" spans="2:4" x14ac:dyDescent="0.25">
      <c r="B28" s="38"/>
      <c r="C28" s="39"/>
      <c r="D28" s="40"/>
    </row>
    <row r="29" spans="2:4" x14ac:dyDescent="0.25">
      <c r="B29" s="38"/>
      <c r="C29" s="39"/>
      <c r="D29" s="40"/>
    </row>
    <row r="30" spans="2:4" x14ac:dyDescent="0.25">
      <c r="B30" s="38"/>
      <c r="C30" s="39"/>
      <c r="D30" s="40"/>
    </row>
    <row r="31" spans="2:4" x14ac:dyDescent="0.25">
      <c r="B31" s="38"/>
      <c r="C31" s="39"/>
      <c r="D31" s="40"/>
    </row>
    <row r="32" spans="2:4" x14ac:dyDescent="0.25">
      <c r="B32" s="38"/>
      <c r="C32" s="39"/>
      <c r="D32" s="40"/>
    </row>
    <row r="33" spans="2:4" x14ac:dyDescent="0.25">
      <c r="B33" s="38"/>
      <c r="C33" s="39"/>
      <c r="D33" s="40"/>
    </row>
    <row r="34" spans="2:4" x14ac:dyDescent="0.25">
      <c r="B34" s="38"/>
      <c r="C34" s="39"/>
      <c r="D34" s="40"/>
    </row>
    <row r="35" spans="2:4" x14ac:dyDescent="0.25">
      <c r="B35" s="38"/>
      <c r="C35" s="39"/>
      <c r="D35" s="40"/>
    </row>
    <row r="36" spans="2:4" x14ac:dyDescent="0.25">
      <c r="B36" s="38"/>
      <c r="C36" s="39"/>
      <c r="D36" s="40"/>
    </row>
    <row r="57" spans="15:126" x14ac:dyDescent="0.25">
      <c r="O57">
        <f>SUMIFS(PRESUPUESTO!$G$87:$G$101,PRESUPUESTO!$E$87:$E$101,MÍNIMAS!AD3)</f>
        <v>451638.72457142861</v>
      </c>
      <c r="S57">
        <f>SUMIFS(PRESUPUESTO!$G$87:$G$101,PRESUPUESTO!$E$87:$E$101,MÍNIMAS!AH3)</f>
        <v>1420371.0613333334</v>
      </c>
      <c r="W57">
        <f>SUMIFS(PRESUPUESTO!$G$87:$G$101,PRESUPUESTO!$E$87:$E$101,MÍNIMAS!AL3)</f>
        <v>1826191.3645714286</v>
      </c>
      <c r="AA57">
        <f>SUMIFS(PRESUPUESTO!$G$87:$G$101,PRESUPUESTO!$E$87:$E$101,MÍNIMAS!AP3)</f>
        <v>1420371.0613333334</v>
      </c>
      <c r="AB57">
        <f>SUMIFS(PRESUPUESTO!$G$87:$G$101,PRESUPUESTO!$E$87:$E$101,MÍNIMAS!AQ3)</f>
        <v>0</v>
      </c>
      <c r="AC57">
        <f>SUMIFS(PRESUPUESTO!$G$87:$G$101,PRESUPUESTO!$E$87:$E$101,MÍNIMAS!AR3)</f>
        <v>0</v>
      </c>
      <c r="AD57">
        <f>SUMIFS(PRESUPUESTO!$G$87:$G$101,PRESUPUESTO!$E$87:$E$101,MÍNIMAS!AS3)</f>
        <v>0</v>
      </c>
      <c r="AE57">
        <f>SUMIFS(PRESUPUESTO!$G$87:$G$101,PRESUPUESTO!$E$87:$E$101,MÍNIMAS!AT3)</f>
        <v>1623281.212952381</v>
      </c>
      <c r="AI57">
        <f>SUMIFS(PRESUPUESTO!$G$87:$G$101,PRESUPUESTO!$E$87:$E$101,MÍNIMAS!AX3)</f>
        <v>1623281.212952381</v>
      </c>
      <c r="AJ57">
        <f>SUMIFS(PRESUPUESTO!$G$87:$G$101,PRESUPUESTO!$E$87:$E$101,MÍNIMAS!AY3)</f>
        <v>0</v>
      </c>
      <c r="AK57">
        <f>SUMIFS(PRESUPUESTO!$G$87:$G$101,PRESUPUESTO!$E$87:$E$101,MÍNIMAS!AZ3)</f>
        <v>0</v>
      </c>
      <c r="AL57">
        <f>SUMIFS(PRESUPUESTO!$G$87:$G$101,PRESUPUESTO!$E$87:$E$101,MÍNIMAS!BA3)</f>
        <v>0</v>
      </c>
      <c r="AM57">
        <f>SUMIFS(PRESUPUESTO!$G$87:$G$101,PRESUPUESTO!$E$87:$E$101,MÍNIMAS!BB3)</f>
        <v>1826191.3645714286</v>
      </c>
      <c r="AN57">
        <f>SUMIFS(PRESUPUESTO!$G$87:$G$101,PRESUPUESTO!$E$87:$E$101,MÍNIMAS!BC3)</f>
        <v>0</v>
      </c>
      <c r="AO57">
        <f>SUMIFS(PRESUPUESTO!$G$87:$G$101,PRESUPUESTO!$E$87:$E$101,MÍNIMAS!BD3)</f>
        <v>0</v>
      </c>
      <c r="AP57">
        <f>SUMIFS(PRESUPUESTO!$G$87:$G$101,PRESUPUESTO!$E$87:$E$101,MÍNIMAS!BE3)</f>
        <v>0</v>
      </c>
      <c r="AQ57">
        <f>SUMIFS(PRESUPUESTO!$G$87:$G$101,PRESUPUESTO!$E$87:$E$101,MÍNIMAS!BF3)</f>
        <v>818186.09523809527</v>
      </c>
      <c r="AR57">
        <f>SUMIFS(PRESUPUESTO!$G$87:$G$101,PRESUPUESTO!$E$87:$E$101,MÍNIMAS!BG3)</f>
        <v>0</v>
      </c>
      <c r="AS57">
        <f>SUMIFS(PRESUPUESTO!$G$87:$G$101,PRESUPUESTO!$E$87:$E$101,MÍNIMAS!BH3)</f>
        <v>0</v>
      </c>
      <c r="AT57">
        <f>SUMIFS(PRESUPUESTO!$G$87:$G$101,PRESUPUESTO!$E$87:$E$101,MÍNIMAS!BI3)</f>
        <v>0</v>
      </c>
      <c r="AU57">
        <f>SUMIFS(PRESUPUESTO!$G$87:$G$101,PRESUPUESTO!$E$87:$E$101,MÍNIMAS!BJ3)</f>
        <v>405820.30323809525</v>
      </c>
      <c r="AV57">
        <f>SUMIFS(PRESUPUESTO!$G$87:$G$101,PRESUPUESTO!$E$87:$E$101,MÍNIMAS!BK3)</f>
        <v>0</v>
      </c>
      <c r="AW57">
        <f>SUMIFS(PRESUPUESTO!$G$87:$G$101,PRESUPUESTO!$E$87:$E$101,MÍNIMAS!BL3)</f>
        <v>0</v>
      </c>
      <c r="AX57">
        <f>SUMIFS(PRESUPUESTO!$G$87:$G$101,PRESUPUESTO!$E$87:$E$101,MÍNIMAS!BM3)</f>
        <v>0</v>
      </c>
      <c r="AY57">
        <f>SUMIFS(PRESUPUESTO!$G$87:$G$101,PRESUPUESTO!$E$87:$E$101,MÍNIMAS!BN3)</f>
        <v>1826191.3645714286</v>
      </c>
      <c r="AZ57">
        <f>SUMIFS(PRESUPUESTO!$G$87:$G$101,PRESUPUESTO!$E$87:$E$101,MÍNIMAS!BO3)</f>
        <v>0</v>
      </c>
      <c r="BA57">
        <f>SUMIFS(PRESUPUESTO!$G$87:$G$101,PRESUPUESTO!$E$87:$E$101,MÍNIMAS!BP3)</f>
        <v>0</v>
      </c>
      <c r="BB57">
        <f>SUMIFS(PRESUPUESTO!$G$87:$G$101,PRESUPUESTO!$E$87:$E$101,MÍNIMAS!BQ3)</f>
        <v>0</v>
      </c>
      <c r="BC57">
        <f>SUMIFS(PRESUPUESTO!$G$87:$G$101,PRESUPUESTO!$E$87:$E$101,MÍNIMAS!BR3)</f>
        <v>1217460.9097142857</v>
      </c>
      <c r="BD57">
        <f>SUMIFS(PRESUPUESTO!$G$87:$G$101,PRESUPUESTO!$E$87:$E$101,MÍNIMAS!BS3)</f>
        <v>0</v>
      </c>
      <c r="BE57">
        <f>SUMIFS(PRESUPUESTO!$G$87:$G$101,PRESUPUESTO!$E$87:$E$101,MÍNIMAS!BT3)</f>
        <v>0</v>
      </c>
      <c r="BF57">
        <f>SUMIFS(PRESUPUESTO!$G$87:$G$101,PRESUPUESTO!$E$87:$E$101,MÍNIMAS!BU3)</f>
        <v>0</v>
      </c>
      <c r="BG57">
        <f>SUMIFS(PRESUPUESTO!$G$87:$G$101,PRESUPUESTO!$E$87:$E$101,MÍNIMAS!BV3)</f>
        <v>209455.64038095239</v>
      </c>
      <c r="BH57">
        <f>SUMIFS(PRESUPUESTO!$G$87:$G$101,PRESUPUESTO!$E$87:$E$101,MÍNIMAS!BW3)</f>
        <v>0</v>
      </c>
      <c r="BI57">
        <f>SUMIFS(PRESUPUESTO!$G$87:$G$101,PRESUPUESTO!$E$87:$E$101,MÍNIMAS!BX3)</f>
        <v>0</v>
      </c>
      <c r="BJ57">
        <f>SUMIFS(PRESUPUESTO!$G$87:$G$101,PRESUPUESTO!$E$87:$E$101,MÍNIMAS!BY3)</f>
        <v>0</v>
      </c>
      <c r="BK57">
        <f>SUMIFS(PRESUPUESTO!$G$87:$G$101,PRESUPUESTO!$E$87:$E$101,MÍNIMAS!BZ3)</f>
        <v>78545.865142857147</v>
      </c>
      <c r="BL57">
        <f>SUMIFS(PRESUPUESTO!$G$87:$G$101,PRESUPUESTO!$E$87:$E$101,MÍNIMAS!CA3)</f>
        <v>0</v>
      </c>
      <c r="BM57">
        <f>SUMIFS(PRESUPUESTO!$G$87:$G$101,PRESUPUESTO!$E$87:$E$101,MÍNIMAS!CB3)</f>
        <v>0</v>
      </c>
      <c r="BN57">
        <f>SUMIFS(PRESUPUESTO!$G$87:$G$101,PRESUPUESTO!$E$87:$E$101,MÍNIMAS!CC3)</f>
        <v>0</v>
      </c>
      <c r="BO57">
        <f>SUMIFS(PRESUPUESTO!$G$87:$G$101,PRESUPUESTO!$E$87:$E$101,MÍNIMAS!CD3)</f>
        <v>1217460.9097142857</v>
      </c>
      <c r="BP57">
        <f>SUMIFS(PRESUPUESTO!$G$87:$G$101,PRESUPUESTO!$E$87:$E$101,MÍNIMAS!CE3)</f>
        <v>0</v>
      </c>
      <c r="BQ57">
        <f>SUMIFS(PRESUPUESTO!$G$87:$G$101,PRESUPUESTO!$E$87:$E$101,MÍNIMAS!CF3)</f>
        <v>0</v>
      </c>
      <c r="BR57">
        <f>SUMIFS(PRESUPUESTO!$G$87:$G$101,PRESUPUESTO!$E$87:$E$101,MÍNIMAS!CG3)</f>
        <v>0</v>
      </c>
      <c r="BS57">
        <f>SUMIFS(PRESUPUESTO!$G$87:$G$101,PRESUPUESTO!$E$87:$E$101,MÍNIMAS!CH3)</f>
        <v>1217460.9097142857</v>
      </c>
      <c r="BT57">
        <f>SUMIFS(PRESUPUESTO!$G$87:$G$101,PRESUPUESTO!$E$87:$E$101,MÍNIMAS!CI3)</f>
        <v>0</v>
      </c>
      <c r="BU57">
        <f>SUMIFS(PRESUPUESTO!$G$87:$G$101,PRESUPUESTO!$E$87:$E$101,MÍNIMAS!CJ3)</f>
        <v>0</v>
      </c>
      <c r="BV57">
        <f>SUMIFS(PRESUPUESTO!$G$87:$G$101,PRESUPUESTO!$E$87:$E$101,MÍNIMAS!CK3)</f>
        <v>0</v>
      </c>
      <c r="BW57">
        <f>SUMIFS(PRESUPUESTO!$G:$G,PRESUPUESTO!$E:$E,MÍNIMAS!#REF!,PRESUPUESTO!$A:$A,1)</f>
        <v>0</v>
      </c>
      <c r="BX57">
        <f>SUMIFS(PRESUPUESTO!$G$87:$G$101,PRESUPUESTO!$E$87:$E$101,MÍNIMAS!#REF!)</f>
        <v>0</v>
      </c>
      <c r="BY57">
        <f>SUMIFS(PRESUPUESTO!$G$87:$G$101,PRESUPUESTO!$E$87:$E$101,MÍNIMAS!#REF!)</f>
        <v>0</v>
      </c>
      <c r="BZ57">
        <f>SUMIFS(PRESUPUESTO!$G$87:$G$101,PRESUPUESTO!$E$87:$E$101,MÍNIMAS!#REF!)</f>
        <v>0</v>
      </c>
      <c r="CA57">
        <f>SUMIFS(PRESUPUESTO!$G$87:$G$101,PRESUPUESTO!$E$87:$E$101,MÍNIMAS!#REF!)</f>
        <v>0</v>
      </c>
      <c r="CB57">
        <f>SUMIFS(PRESUPUESTO!$G$87:$G$101,PRESUPUESTO!$E$87:$E$101,MÍNIMAS!#REF!)</f>
        <v>0</v>
      </c>
      <c r="CC57">
        <f>SUMIFS(PRESUPUESTO!$G$87:$G$101,PRESUPUESTO!$E$87:$E$101,MÍNIMAS!#REF!)</f>
        <v>0</v>
      </c>
      <c r="CD57">
        <f>SUMIFS(PRESUPUESTO!$G$87:$G$101,PRESUPUESTO!$E$87:$E$101,MÍNIMAS!#REF!)</f>
        <v>0</v>
      </c>
      <c r="CE57">
        <f>SUMIFS(PRESUPUESTO!$G$87:$G$101,PRESUPUESTO!$E$87:$E$101,MÍNIMAS!#REF!)</f>
        <v>0</v>
      </c>
      <c r="CF57">
        <f>SUMIFS(PRESUPUESTO!$G$87:$G$101,PRESUPUESTO!$E$87:$E$101,MÍNIMAS!#REF!)</f>
        <v>0</v>
      </c>
      <c r="CG57">
        <f>SUMIFS(PRESUPUESTO!$G$87:$G$101,PRESUPUESTO!$E$87:$E$101,MÍNIMAS!#REF!)</f>
        <v>0</v>
      </c>
      <c r="CH57">
        <f>SUMIFS(PRESUPUESTO!$G$87:$G$101,PRESUPUESTO!$E$87:$E$101,MÍNIMAS!#REF!)</f>
        <v>0</v>
      </c>
      <c r="CI57">
        <f>SUMIFS(PRESUPUESTO!$G$87:$G$101,PRESUPUESTO!$E$87:$E$101,MÍNIMAS!#REF!)</f>
        <v>0</v>
      </c>
      <c r="CJ57">
        <f>SUMIFS(PRESUPUESTO!$G$87:$G$101,PRESUPUESTO!$E$87:$E$101,MÍNIMAS!#REF!)</f>
        <v>0</v>
      </c>
      <c r="CK57">
        <f>SUMIFS(PRESUPUESTO!$G$87:$G$101,PRESUPUESTO!$E$87:$E$101,MÍNIMAS!#REF!)</f>
        <v>0</v>
      </c>
      <c r="CL57">
        <f>SUMIFS(PRESUPUESTO!$G$87:$G$101,PRESUPUESTO!$E$87:$E$101,MÍNIMAS!#REF!)</f>
        <v>0</v>
      </c>
      <c r="CM57">
        <f>SUMIFS(PRESUPUESTO!$G$87:$G$101,PRESUPUESTO!$E$87:$E$101,MÍNIMAS!#REF!)</f>
        <v>0</v>
      </c>
      <c r="CN57">
        <f>SUMIFS(PRESUPUESTO!$G$87:$G$101,PRESUPUESTO!$E$87:$E$101,MÍNIMAS!#REF!)</f>
        <v>0</v>
      </c>
      <c r="CO57">
        <f>SUMIFS(PRESUPUESTO!$G$87:$G$101,PRESUPUESTO!$E$87:$E$101,MÍNIMAS!#REF!)</f>
        <v>0</v>
      </c>
      <c r="CP57">
        <f>SUMIFS(PRESUPUESTO!$G$87:$G$101,PRESUPUESTO!$E$87:$E$101,MÍNIMAS!#REF!)</f>
        <v>0</v>
      </c>
      <c r="CQ57">
        <f>SUMIFS(PRESUPUESTO!$G$87:$G$101,PRESUPUESTO!$E$87:$E$101,MÍNIMAS!#REF!)</f>
        <v>0</v>
      </c>
      <c r="CR57">
        <f>SUMIFS(PRESUPUESTO!$G$87:$G$101,PRESUPUESTO!$E$87:$E$101,MÍNIMAS!#REF!)</f>
        <v>0</v>
      </c>
      <c r="CS57">
        <f>SUMIFS(PRESUPUESTO!$G$87:$G$101,PRESUPUESTO!$E$87:$E$101,MÍNIMAS!#REF!)</f>
        <v>0</v>
      </c>
      <c r="CT57">
        <f>SUMIFS(PRESUPUESTO!$G$87:$G$101,PRESUPUESTO!$E$87:$E$101,MÍNIMAS!#REF!)</f>
        <v>0</v>
      </c>
      <c r="CU57">
        <f>SUMIFS(PRESUPUESTO!$G$87:$G$101,PRESUPUESTO!$E$87:$E$101,MÍNIMAS!#REF!)</f>
        <v>0</v>
      </c>
      <c r="CV57">
        <f>SUMIFS(PRESUPUESTO!$G$87:$G$101,PRESUPUESTO!$E$87:$E$101,MÍNIMAS!#REF!)</f>
        <v>0</v>
      </c>
      <c r="CW57">
        <f>SUMIFS(PRESUPUESTO!$G$87:$G$101,PRESUPUESTO!$E$87:$E$101,MÍNIMAS!#REF!)</f>
        <v>0</v>
      </c>
      <c r="CX57">
        <f>SUMIFS(PRESUPUESTO!$G$87:$G$101,PRESUPUESTO!$E$87:$E$101,MÍNIMAS!#REF!)</f>
        <v>0</v>
      </c>
      <c r="CY57">
        <f>SUMIFS(PRESUPUESTO!$G$87:$G$101,PRESUPUESTO!$E$87:$E$101,MÍNIMAS!#REF!)</f>
        <v>0</v>
      </c>
      <c r="CZ57">
        <f>SUMIFS(PRESUPUESTO!$G$87:$G$101,PRESUPUESTO!$E$87:$E$101,MÍNIMAS!#REF!)</f>
        <v>0</v>
      </c>
      <c r="DA57">
        <f>SUMIFS(PRESUPUESTO!$G$87:$G$101,PRESUPUESTO!$E$87:$E$101,MÍNIMAS!#REF!)</f>
        <v>0</v>
      </c>
      <c r="DB57">
        <f>SUMIFS(PRESUPUESTO!$G$87:$G$101,PRESUPUESTO!$E$87:$E$101,MÍNIMAS!#REF!)</f>
        <v>0</v>
      </c>
      <c r="DC57">
        <f>SUMIFS(PRESUPUESTO!$G$87:$G$101,PRESUPUESTO!$E$87:$E$101,MÍNIMAS!#REF!)</f>
        <v>0</v>
      </c>
      <c r="DD57">
        <f>SUMIFS(PRESUPUESTO!$G$87:$G$101,PRESUPUESTO!$E$87:$E$101,MÍNIMAS!#REF!)</f>
        <v>0</v>
      </c>
      <c r="DE57">
        <f>SUMIFS(PRESUPUESTO!$G$87:$G$101,PRESUPUESTO!$E$87:$E$101,MÍNIMAS!#REF!)</f>
        <v>0</v>
      </c>
      <c r="DF57">
        <f>SUMIFS(PRESUPUESTO!$G$87:$G$101,PRESUPUESTO!$E$87:$E$101,MÍNIMAS!#REF!)</f>
        <v>0</v>
      </c>
      <c r="DG57">
        <f>SUMIFS(PRESUPUESTO!$G$87:$G$101,PRESUPUESTO!$E$87:$E$101,MÍNIMAS!#REF!)</f>
        <v>0</v>
      </c>
      <c r="DH57">
        <f>SUMIFS(PRESUPUESTO!$G$87:$G$101,PRESUPUESTO!$E$87:$E$101,MÍNIMAS!#REF!)</f>
        <v>0</v>
      </c>
      <c r="DI57">
        <f>SUMIFS(PRESUPUESTO!$G$87:$G$101,PRESUPUESTO!$E$87:$E$101,MÍNIMAS!#REF!)</f>
        <v>0</v>
      </c>
      <c r="DJ57">
        <f>SUMIFS(PRESUPUESTO!$G$87:$G$101,PRESUPUESTO!$E$87:$E$101,MÍNIMAS!#REF!)</f>
        <v>0</v>
      </c>
      <c r="DK57">
        <f>SUMIFS(PRESUPUESTO!$G$87:$G$101,PRESUPUESTO!$E$87:$E$101,MÍNIMAS!#REF!)</f>
        <v>0</v>
      </c>
      <c r="DL57">
        <f>SUMIFS(PRESUPUESTO!$G$87:$G$101,PRESUPUESTO!$E$87:$E$101,MÍNIMAS!#REF!)</f>
        <v>0</v>
      </c>
      <c r="DM57">
        <f>SUMIFS(PRESUPUESTO!$G$87:$G$101,PRESUPUESTO!$E$87:$E$101,MÍNIMAS!#REF!)</f>
        <v>0</v>
      </c>
      <c r="DN57">
        <f>SUMIFS(PRESUPUESTO!$G$87:$G$101,PRESUPUESTO!$E$87:$E$101,MÍNIMAS!#REF!)</f>
        <v>0</v>
      </c>
      <c r="DO57">
        <f>SUMIFS(PRESUPUESTO!$G$87:$G$101,PRESUPUESTO!$E$87:$E$101,MÍNIMAS!#REF!)</f>
        <v>0</v>
      </c>
      <c r="DP57">
        <f>SUMIFS(PRESUPUESTO!$G$87:$G$101,PRESUPUESTO!$E$87:$E$101,MÍNIMAS!#REF!)</f>
        <v>0</v>
      </c>
      <c r="DQ57">
        <f>SUMIFS(PRESUPUESTO!$G$87:$G$101,PRESUPUESTO!$E$87:$E$101,MÍNIMAS!#REF!)</f>
        <v>0</v>
      </c>
      <c r="DR57">
        <f>SUMIFS(PRESUPUESTO!$G$87:$G$101,PRESUPUESTO!$E$87:$E$101,MÍNIMAS!#REF!)</f>
        <v>0</v>
      </c>
      <c r="DS57">
        <f>SUMIFS(PRESUPUESTO!$G$87:$G$101,PRESUPUESTO!$E$87:$E$101,MÍNIMAS!#REF!)</f>
        <v>0</v>
      </c>
      <c r="DT57">
        <f>SUMIFS(PRESUPUESTO!$G$87:$G$101,PRESUPUESTO!$E$87:$E$101,MÍNIMAS!#REF!)</f>
        <v>0</v>
      </c>
      <c r="DU57">
        <f>SUMIFS(PRESUPUESTO!$G$87:$G$101,PRESUPUESTO!$E$87:$E$101,MÍNIMAS!#REF!)</f>
        <v>0</v>
      </c>
      <c r="DV57">
        <f>SUMIFS(PRESUPUESTO!$G$87:$G$101,PRESUPUESTO!$E$87:$E$101,MÍNIMAS!#REF!)</f>
        <v>0</v>
      </c>
    </row>
    <row r="65" spans="1:1" x14ac:dyDescent="0.25">
      <c r="A65">
        <v>1</v>
      </c>
    </row>
    <row r="66" spans="1:1" x14ac:dyDescent="0.25">
      <c r="A66">
        <v>1</v>
      </c>
    </row>
    <row r="67" spans="1:1" x14ac:dyDescent="0.25">
      <c r="A67">
        <v>1</v>
      </c>
    </row>
    <row r="68" spans="1:1" x14ac:dyDescent="0.25">
      <c r="A68">
        <v>1</v>
      </c>
    </row>
    <row r="69" spans="1:1" x14ac:dyDescent="0.25">
      <c r="A69">
        <v>1</v>
      </c>
    </row>
    <row r="70" spans="1:1" x14ac:dyDescent="0.25">
      <c r="A70">
        <v>1</v>
      </c>
    </row>
    <row r="71" spans="1:1" x14ac:dyDescent="0.25">
      <c r="A71">
        <v>1</v>
      </c>
    </row>
    <row r="72" spans="1:1" x14ac:dyDescent="0.25">
      <c r="A72">
        <v>1</v>
      </c>
    </row>
    <row r="73" spans="1:1" x14ac:dyDescent="0.25">
      <c r="A73">
        <v>1</v>
      </c>
    </row>
    <row r="74" spans="1:1" x14ac:dyDescent="0.25">
      <c r="A74">
        <v>1</v>
      </c>
    </row>
    <row r="75" spans="1:1" x14ac:dyDescent="0.25">
      <c r="A75">
        <v>1</v>
      </c>
    </row>
    <row r="76" spans="1:1" x14ac:dyDescent="0.25">
      <c r="A76">
        <v>1</v>
      </c>
    </row>
    <row r="77" spans="1:1" x14ac:dyDescent="0.25">
      <c r="A77">
        <v>1</v>
      </c>
    </row>
    <row r="78" spans="1:1" x14ac:dyDescent="0.25">
      <c r="A78">
        <v>1</v>
      </c>
    </row>
    <row r="79" spans="1:1" x14ac:dyDescent="0.25">
      <c r="A79">
        <v>1</v>
      </c>
    </row>
    <row r="80" spans="1:1" x14ac:dyDescent="0.25">
      <c r="A80">
        <v>1</v>
      </c>
    </row>
    <row r="81" spans="1:1" x14ac:dyDescent="0.25">
      <c r="A81">
        <v>1</v>
      </c>
    </row>
    <row r="82" spans="1:1" x14ac:dyDescent="0.25">
      <c r="A82">
        <v>1</v>
      </c>
    </row>
    <row r="83" spans="1:1" x14ac:dyDescent="0.25">
      <c r="A83">
        <v>1</v>
      </c>
    </row>
    <row r="84" spans="1:1" x14ac:dyDescent="0.25">
      <c r="A84">
        <v>1</v>
      </c>
    </row>
    <row r="85" spans="1:1" x14ac:dyDescent="0.25">
      <c r="A85">
        <v>1</v>
      </c>
    </row>
    <row r="86" spans="1:1" x14ac:dyDescent="0.25">
      <c r="A86">
        <v>1</v>
      </c>
    </row>
    <row r="87" spans="1:1" x14ac:dyDescent="0.25">
      <c r="A87">
        <v>1</v>
      </c>
    </row>
    <row r="88" spans="1:1" x14ac:dyDescent="0.25">
      <c r="A88">
        <v>1</v>
      </c>
    </row>
    <row r="89" spans="1:1" x14ac:dyDescent="0.25">
      <c r="A89">
        <v>1</v>
      </c>
    </row>
    <row r="90" spans="1:1" x14ac:dyDescent="0.25">
      <c r="A90">
        <v>1</v>
      </c>
    </row>
    <row r="91" spans="1:1" x14ac:dyDescent="0.25">
      <c r="A91">
        <v>1</v>
      </c>
    </row>
    <row r="92" spans="1:1" x14ac:dyDescent="0.25">
      <c r="A92">
        <v>1</v>
      </c>
    </row>
  </sheetData>
  <mergeCells count="1">
    <mergeCell ref="B10:D10"/>
  </mergeCells>
  <pageMargins left="0.7" right="0.7" top="0.75" bottom="0.75" header="0.3" footer="0.3"/>
  <ignoredErrors>
    <ignoredError sqref="F3:G9 B3:D9 E3:E9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L176"/>
  <sheetViews>
    <sheetView showGridLines="0" zoomScale="80" zoomScaleNormal="80" workbookViewId="0">
      <selection activeCell="I12" sqref="I12"/>
    </sheetView>
  </sheetViews>
  <sheetFormatPr baseColWidth="10" defaultRowHeight="16.5" x14ac:dyDescent="0.3"/>
  <cols>
    <col min="1" max="1" width="5" style="17" customWidth="1"/>
    <col min="2" max="2" width="24.85546875" style="2" customWidth="1"/>
    <col min="3" max="3" width="15.28515625" style="2" customWidth="1"/>
    <col min="4" max="4" width="23" style="2" customWidth="1"/>
    <col min="5" max="5" width="20.85546875" style="2" customWidth="1"/>
    <col min="6" max="6" width="16.140625" style="2" customWidth="1"/>
    <col min="7" max="7" width="23.5703125" style="63" customWidth="1"/>
    <col min="8" max="8" width="21.42578125" style="2" customWidth="1"/>
    <col min="9" max="9" width="16.28515625" style="2" customWidth="1"/>
    <col min="10" max="11" width="11.42578125" style="2"/>
    <col min="12" max="16384" width="11.42578125" style="17"/>
  </cols>
  <sheetData>
    <row r="2" spans="2:11" x14ac:dyDescent="0.2">
      <c r="B2" s="64" t="s">
        <v>85</v>
      </c>
      <c r="C2" s="64" t="s">
        <v>150</v>
      </c>
      <c r="D2" s="64" t="s">
        <v>151</v>
      </c>
      <c r="E2" s="64" t="s">
        <v>152</v>
      </c>
      <c r="F2" s="64" t="s">
        <v>21</v>
      </c>
      <c r="G2" s="65"/>
      <c r="H2" s="64" t="s">
        <v>85</v>
      </c>
      <c r="I2" s="64" t="s">
        <v>153</v>
      </c>
      <c r="J2" s="64" t="s">
        <v>154</v>
      </c>
      <c r="K2" s="64" t="s">
        <v>21</v>
      </c>
    </row>
    <row r="3" spans="2:11" x14ac:dyDescent="0.2">
      <c r="B3" s="66" t="s">
        <v>29</v>
      </c>
      <c r="C3" s="67">
        <v>31</v>
      </c>
      <c r="D3" s="67">
        <v>20</v>
      </c>
      <c r="E3" s="67">
        <v>18</v>
      </c>
      <c r="F3" s="68">
        <f>SUM(C3:E3)</f>
        <v>69</v>
      </c>
      <c r="G3" s="65"/>
      <c r="H3" s="66" t="s">
        <v>29</v>
      </c>
      <c r="I3" s="67">
        <v>0</v>
      </c>
      <c r="J3" s="67">
        <v>69</v>
      </c>
      <c r="K3" s="67">
        <f>SUM(I3+J3)</f>
        <v>69</v>
      </c>
    </row>
    <row r="4" spans="2:11" x14ac:dyDescent="0.2">
      <c r="B4" s="66" t="s">
        <v>30</v>
      </c>
      <c r="C4" s="67">
        <v>93</v>
      </c>
      <c r="D4" s="67">
        <v>62</v>
      </c>
      <c r="E4" s="67">
        <v>62</v>
      </c>
      <c r="F4" s="68">
        <f t="shared" ref="F4:F18" si="0">SUM(C4:E4)</f>
        <v>217</v>
      </c>
      <c r="G4" s="65"/>
      <c r="H4" s="66" t="s">
        <v>30</v>
      </c>
      <c r="I4" s="67">
        <v>0</v>
      </c>
      <c r="J4" s="67">
        <v>217</v>
      </c>
      <c r="K4" s="67">
        <f t="shared" ref="K4:K17" si="1">SUM(I4+J4)</f>
        <v>217</v>
      </c>
    </row>
    <row r="5" spans="2:11" x14ac:dyDescent="0.2">
      <c r="B5" s="66" t="s">
        <v>31</v>
      </c>
      <c r="C5" s="67">
        <v>93</v>
      </c>
      <c r="D5" s="67">
        <v>62</v>
      </c>
      <c r="E5" s="67">
        <v>124</v>
      </c>
      <c r="F5" s="68">
        <f t="shared" si="0"/>
        <v>279</v>
      </c>
      <c r="G5" s="65"/>
      <c r="H5" s="66" t="s">
        <v>31</v>
      </c>
      <c r="I5" s="67">
        <v>0</v>
      </c>
      <c r="J5" s="67">
        <v>279</v>
      </c>
      <c r="K5" s="67">
        <f t="shared" si="1"/>
        <v>279</v>
      </c>
    </row>
    <row r="6" spans="2:11" x14ac:dyDescent="0.2">
      <c r="B6" s="66" t="s">
        <v>32</v>
      </c>
      <c r="C6" s="67">
        <v>93</v>
      </c>
      <c r="D6" s="67">
        <v>62</v>
      </c>
      <c r="E6" s="67">
        <v>62</v>
      </c>
      <c r="F6" s="68">
        <f t="shared" si="0"/>
        <v>217</v>
      </c>
      <c r="G6" s="65"/>
      <c r="H6" s="66" t="s">
        <v>32</v>
      </c>
      <c r="I6" s="67">
        <v>0</v>
      </c>
      <c r="J6" s="67">
        <v>217</v>
      </c>
      <c r="K6" s="67">
        <f t="shared" si="1"/>
        <v>217</v>
      </c>
    </row>
    <row r="7" spans="2:11" x14ac:dyDescent="0.2">
      <c r="B7" s="66" t="s">
        <v>27</v>
      </c>
      <c r="C7" s="67">
        <v>62</v>
      </c>
      <c r="D7" s="67">
        <v>62</v>
      </c>
      <c r="E7" s="67">
        <v>124</v>
      </c>
      <c r="F7" s="68">
        <f t="shared" si="0"/>
        <v>248</v>
      </c>
      <c r="G7" s="65"/>
      <c r="H7" s="66" t="s">
        <v>27</v>
      </c>
      <c r="I7" s="67">
        <v>0</v>
      </c>
      <c r="J7" s="67">
        <v>248</v>
      </c>
      <c r="K7" s="67">
        <f t="shared" si="1"/>
        <v>248</v>
      </c>
    </row>
    <row r="8" spans="2:11" x14ac:dyDescent="0.2">
      <c r="B8" s="66" t="s">
        <v>33</v>
      </c>
      <c r="C8" s="67">
        <v>93</v>
      </c>
      <c r="D8" s="67">
        <v>93</v>
      </c>
      <c r="E8" s="67">
        <v>62</v>
      </c>
      <c r="F8" s="68">
        <f t="shared" si="0"/>
        <v>248</v>
      </c>
      <c r="G8" s="65"/>
      <c r="H8" s="66" t="s">
        <v>33</v>
      </c>
      <c r="I8" s="67">
        <v>0</v>
      </c>
      <c r="J8" s="67">
        <v>248</v>
      </c>
      <c r="K8" s="67">
        <f t="shared" si="1"/>
        <v>248</v>
      </c>
    </row>
    <row r="9" spans="2:11" x14ac:dyDescent="0.2">
      <c r="B9" s="66" t="s">
        <v>66</v>
      </c>
      <c r="C9" s="67">
        <v>93</v>
      </c>
      <c r="D9" s="67">
        <v>124</v>
      </c>
      <c r="E9" s="67">
        <v>62</v>
      </c>
      <c r="F9" s="68">
        <f t="shared" si="0"/>
        <v>279</v>
      </c>
      <c r="G9" s="65"/>
      <c r="H9" s="66" t="s">
        <v>66</v>
      </c>
      <c r="I9" s="67">
        <v>0</v>
      </c>
      <c r="J9" s="67">
        <v>279</v>
      </c>
      <c r="K9" s="67">
        <f t="shared" si="1"/>
        <v>279</v>
      </c>
    </row>
    <row r="10" spans="2:11" x14ac:dyDescent="0.2">
      <c r="B10" s="66" t="s">
        <v>67</v>
      </c>
      <c r="C10" s="67">
        <v>0</v>
      </c>
      <c r="D10" s="67">
        <v>62</v>
      </c>
      <c r="E10" s="67">
        <v>63</v>
      </c>
      <c r="F10" s="68">
        <f t="shared" si="0"/>
        <v>125</v>
      </c>
      <c r="G10" s="65"/>
      <c r="H10" s="66" t="s">
        <v>67</v>
      </c>
      <c r="I10" s="67">
        <v>62</v>
      </c>
      <c r="J10" s="67">
        <v>63</v>
      </c>
      <c r="K10" s="67">
        <f t="shared" si="1"/>
        <v>125</v>
      </c>
    </row>
    <row r="11" spans="2:11" x14ac:dyDescent="0.2">
      <c r="B11" s="66" t="s">
        <v>34</v>
      </c>
      <c r="C11" s="67">
        <v>0</v>
      </c>
      <c r="D11" s="67">
        <v>62</v>
      </c>
      <c r="E11" s="67">
        <v>0</v>
      </c>
      <c r="F11" s="68">
        <f t="shared" si="0"/>
        <v>62</v>
      </c>
      <c r="G11" s="65"/>
      <c r="H11" s="66" t="s">
        <v>34</v>
      </c>
      <c r="I11" s="67">
        <v>0</v>
      </c>
      <c r="J11" s="67">
        <v>62</v>
      </c>
      <c r="K11" s="67">
        <f t="shared" si="1"/>
        <v>62</v>
      </c>
    </row>
    <row r="12" spans="2:11" x14ac:dyDescent="0.2">
      <c r="B12" s="66" t="s">
        <v>35</v>
      </c>
      <c r="C12" s="67">
        <v>93</v>
      </c>
      <c r="D12" s="67">
        <v>93</v>
      </c>
      <c r="E12" s="67">
        <v>93</v>
      </c>
      <c r="F12" s="68">
        <f t="shared" si="0"/>
        <v>279</v>
      </c>
      <c r="G12" s="65"/>
      <c r="H12" s="66" t="s">
        <v>35</v>
      </c>
      <c r="I12" s="67">
        <v>0</v>
      </c>
      <c r="J12" s="67">
        <v>279</v>
      </c>
      <c r="K12" s="67">
        <f t="shared" si="1"/>
        <v>279</v>
      </c>
    </row>
    <row r="13" spans="2:11" x14ac:dyDescent="0.2">
      <c r="B13" s="66" t="s">
        <v>68</v>
      </c>
      <c r="C13" s="67">
        <v>62</v>
      </c>
      <c r="D13" s="67">
        <v>62</v>
      </c>
      <c r="E13" s="67">
        <v>62</v>
      </c>
      <c r="F13" s="68">
        <f t="shared" si="0"/>
        <v>186</v>
      </c>
      <c r="G13" s="65"/>
      <c r="H13" s="66" t="s">
        <v>68</v>
      </c>
      <c r="I13" s="67">
        <v>0</v>
      </c>
      <c r="J13" s="67">
        <v>186</v>
      </c>
      <c r="K13" s="67">
        <f t="shared" si="1"/>
        <v>186</v>
      </c>
    </row>
    <row r="14" spans="2:11" x14ac:dyDescent="0.2">
      <c r="B14" s="66" t="s">
        <v>36</v>
      </c>
      <c r="C14" s="67">
        <v>0</v>
      </c>
      <c r="D14" s="67">
        <v>16</v>
      </c>
      <c r="E14" s="67">
        <v>16</v>
      </c>
      <c r="F14" s="68">
        <f t="shared" si="0"/>
        <v>32</v>
      </c>
      <c r="G14" s="65"/>
      <c r="H14" s="66" t="s">
        <v>36</v>
      </c>
      <c r="I14" s="67">
        <v>0</v>
      </c>
      <c r="J14" s="67">
        <v>32</v>
      </c>
      <c r="K14" s="67">
        <f t="shared" si="1"/>
        <v>32</v>
      </c>
    </row>
    <row r="15" spans="2:11" x14ac:dyDescent="0.2">
      <c r="B15" s="66" t="s">
        <v>37</v>
      </c>
      <c r="C15" s="67">
        <v>4</v>
      </c>
      <c r="D15" s="67">
        <v>4</v>
      </c>
      <c r="E15" s="67">
        <v>4</v>
      </c>
      <c r="F15" s="68">
        <f t="shared" si="0"/>
        <v>12</v>
      </c>
      <c r="G15" s="65"/>
      <c r="H15" s="66" t="s">
        <v>37</v>
      </c>
      <c r="I15" s="67">
        <v>0</v>
      </c>
      <c r="J15" s="67">
        <v>12</v>
      </c>
      <c r="K15" s="67">
        <f t="shared" si="1"/>
        <v>12</v>
      </c>
    </row>
    <row r="16" spans="2:11" x14ac:dyDescent="0.2">
      <c r="B16" s="66" t="s">
        <v>69</v>
      </c>
      <c r="C16" s="67">
        <v>62</v>
      </c>
      <c r="D16" s="67">
        <v>62</v>
      </c>
      <c r="E16" s="67">
        <v>62</v>
      </c>
      <c r="F16" s="68">
        <f t="shared" si="0"/>
        <v>186</v>
      </c>
      <c r="G16" s="65"/>
      <c r="H16" s="66" t="s">
        <v>69</v>
      </c>
      <c r="I16" s="67">
        <v>0</v>
      </c>
      <c r="J16" s="67">
        <v>186</v>
      </c>
      <c r="K16" s="67">
        <f t="shared" si="1"/>
        <v>186</v>
      </c>
    </row>
    <row r="17" spans="2:12" x14ac:dyDescent="0.2">
      <c r="B17" s="66" t="s">
        <v>38</v>
      </c>
      <c r="C17" s="67">
        <v>62</v>
      </c>
      <c r="D17" s="67">
        <v>62</v>
      </c>
      <c r="E17" s="67">
        <v>62</v>
      </c>
      <c r="F17" s="68">
        <f t="shared" si="0"/>
        <v>186</v>
      </c>
      <c r="G17" s="65"/>
      <c r="H17" s="66" t="s">
        <v>38</v>
      </c>
      <c r="I17" s="67">
        <v>0</v>
      </c>
      <c r="J17" s="67">
        <v>186</v>
      </c>
      <c r="K17" s="67">
        <f t="shared" si="1"/>
        <v>186</v>
      </c>
    </row>
    <row r="18" spans="2:12" x14ac:dyDescent="0.2">
      <c r="B18" s="64" t="s">
        <v>21</v>
      </c>
      <c r="C18" s="69">
        <f>SUM(C3:C17)</f>
        <v>841</v>
      </c>
      <c r="D18" s="69">
        <f>SUM(D3:D17)</f>
        <v>908</v>
      </c>
      <c r="E18" s="69">
        <f>SUM(E3:E17)</f>
        <v>876</v>
      </c>
      <c r="F18" s="69">
        <f t="shared" si="0"/>
        <v>2625</v>
      </c>
      <c r="G18" s="65"/>
      <c r="H18" s="64" t="s">
        <v>21</v>
      </c>
      <c r="I18" s="69">
        <f>SUM(I3:I17)</f>
        <v>62</v>
      </c>
      <c r="J18" s="69">
        <f>SUM(J3:J17)</f>
        <v>2563</v>
      </c>
      <c r="K18" s="69">
        <f>SUM(I18+J18)</f>
        <v>2625</v>
      </c>
    </row>
    <row r="20" spans="2:12" x14ac:dyDescent="0.2">
      <c r="B20" s="125" t="s">
        <v>50</v>
      </c>
      <c r="C20" s="125"/>
      <c r="D20" s="125"/>
      <c r="E20" s="125"/>
      <c r="F20" s="125"/>
      <c r="G20" s="125"/>
      <c r="H20" s="70"/>
      <c r="I20" s="70"/>
      <c r="J20" s="70"/>
      <c r="K20" s="70"/>
      <c r="L20" s="59"/>
    </row>
    <row r="21" spans="2:12" ht="47.25" customHeight="1" x14ac:dyDescent="0.3">
      <c r="B21" s="71" t="s">
        <v>51</v>
      </c>
      <c r="C21" s="64" t="s">
        <v>5</v>
      </c>
      <c r="D21" s="71" t="s">
        <v>6</v>
      </c>
      <c r="E21" s="71" t="s">
        <v>7</v>
      </c>
      <c r="F21" s="71" t="s">
        <v>52</v>
      </c>
      <c r="G21" s="72" t="s">
        <v>53</v>
      </c>
      <c r="H21" s="73"/>
      <c r="I21" s="73"/>
      <c r="J21" s="73"/>
      <c r="K21" s="73"/>
      <c r="L21" s="60"/>
    </row>
    <row r="22" spans="2:12" ht="45" customHeight="1" x14ac:dyDescent="0.3">
      <c r="B22" s="66" t="s">
        <v>54</v>
      </c>
      <c r="C22" s="121">
        <v>10</v>
      </c>
      <c r="D22" s="10" t="s">
        <v>55</v>
      </c>
      <c r="E22" s="74" t="s">
        <v>56</v>
      </c>
      <c r="F22" s="75" t="e">
        <f>G22*100%/#REF!</f>
        <v>#REF!</v>
      </c>
      <c r="G22" s="76">
        <f>+K75</f>
        <v>0</v>
      </c>
      <c r="I22" s="31"/>
      <c r="J22" s="31"/>
      <c r="K22" s="31"/>
      <c r="L22" s="55"/>
    </row>
    <row r="23" spans="2:12" ht="45" customHeight="1" x14ac:dyDescent="0.3">
      <c r="B23" s="66" t="s">
        <v>57</v>
      </c>
      <c r="C23" s="121"/>
      <c r="D23" s="10" t="s">
        <v>58</v>
      </c>
      <c r="E23" s="74" t="s">
        <v>56</v>
      </c>
      <c r="F23" s="75" t="e">
        <f>G23*100%/#REF!</f>
        <v>#REF!</v>
      </c>
      <c r="G23" s="76" t="e">
        <f>+#REF!</f>
        <v>#REF!</v>
      </c>
      <c r="I23" s="31"/>
      <c r="J23" s="31"/>
      <c r="K23" s="31"/>
      <c r="L23" s="55"/>
    </row>
    <row r="24" spans="2:12" ht="45" customHeight="1" x14ac:dyDescent="0.3">
      <c r="B24" s="66" t="s">
        <v>28</v>
      </c>
      <c r="C24" s="121"/>
      <c r="D24" s="10" t="s">
        <v>59</v>
      </c>
      <c r="E24" s="74" t="s">
        <v>56</v>
      </c>
      <c r="F24" s="75" t="e">
        <f>G24*100%/#REF!</f>
        <v>#REF!</v>
      </c>
      <c r="G24" s="76">
        <f>+K98</f>
        <v>0</v>
      </c>
      <c r="I24" s="31"/>
      <c r="J24" s="31"/>
      <c r="K24" s="31"/>
      <c r="L24" s="55"/>
    </row>
    <row r="25" spans="2:12" ht="45" customHeight="1" x14ac:dyDescent="0.3">
      <c r="B25" s="66" t="s">
        <v>39</v>
      </c>
      <c r="C25" s="121"/>
      <c r="D25" s="10" t="s">
        <v>40</v>
      </c>
      <c r="E25" s="74" t="s">
        <v>56</v>
      </c>
      <c r="F25" s="75" t="e">
        <f>G25*100%/#REF!</f>
        <v>#REF!</v>
      </c>
      <c r="G25" s="76">
        <f>+K103</f>
        <v>0</v>
      </c>
      <c r="I25" s="31"/>
      <c r="J25" s="31"/>
      <c r="K25" s="31"/>
      <c r="L25" s="55"/>
    </row>
    <row r="26" spans="2:12" ht="33" x14ac:dyDescent="0.3">
      <c r="B26" s="66" t="s">
        <v>41</v>
      </c>
      <c r="C26" s="121"/>
      <c r="D26" s="10" t="s">
        <v>42</v>
      </c>
      <c r="E26" s="74" t="s">
        <v>56</v>
      </c>
      <c r="F26" s="75" t="e">
        <f>G26*100%/#REF!</f>
        <v>#REF!</v>
      </c>
      <c r="G26" s="76" t="e">
        <f>+#REF!</f>
        <v>#REF!</v>
      </c>
      <c r="I26" s="31"/>
      <c r="J26" s="31"/>
      <c r="K26" s="31"/>
      <c r="L26" s="55"/>
    </row>
    <row r="27" spans="2:12" ht="45" customHeight="1" x14ac:dyDescent="0.3">
      <c r="B27" s="66" t="s">
        <v>43</v>
      </c>
      <c r="C27" s="121"/>
      <c r="D27" s="10" t="s">
        <v>44</v>
      </c>
      <c r="E27" s="74" t="s">
        <v>56</v>
      </c>
      <c r="F27" s="75" t="e">
        <f>G27*100%/#REF!</f>
        <v>#REF!</v>
      </c>
      <c r="G27" s="76">
        <f>K126</f>
        <v>0</v>
      </c>
      <c r="I27" s="31"/>
      <c r="J27" s="31"/>
      <c r="K27" s="31"/>
      <c r="L27" s="55"/>
    </row>
    <row r="28" spans="2:12" ht="45" customHeight="1" x14ac:dyDescent="0.3">
      <c r="B28" s="66" t="s">
        <v>60</v>
      </c>
      <c r="C28" s="121"/>
      <c r="D28" s="10" t="s">
        <v>61</v>
      </c>
      <c r="E28" s="74" t="s">
        <v>56</v>
      </c>
      <c r="F28" s="75" t="e">
        <f>G28*100%/#REF!</f>
        <v>#REF!</v>
      </c>
      <c r="G28" s="76" t="e">
        <f>#REF!</f>
        <v>#REF!</v>
      </c>
      <c r="I28" s="31"/>
      <c r="J28" s="31"/>
      <c r="K28" s="31"/>
      <c r="L28" s="56"/>
    </row>
    <row r="29" spans="2:12" x14ac:dyDescent="0.3">
      <c r="B29" s="122" t="s">
        <v>62</v>
      </c>
      <c r="C29" s="123"/>
      <c r="D29" s="123"/>
      <c r="E29" s="124"/>
      <c r="F29" s="77" t="e">
        <f>SUM(F22:F28)</f>
        <v>#REF!</v>
      </c>
      <c r="G29" s="78" t="e">
        <f>SUM(G22:L28)</f>
        <v>#REF!</v>
      </c>
      <c r="I29" s="31"/>
      <c r="J29" s="31"/>
      <c r="K29" s="31"/>
      <c r="L29" s="57"/>
    </row>
    <row r="30" spans="2:12" x14ac:dyDescent="0.3">
      <c r="L30" s="58"/>
    </row>
    <row r="31" spans="2:12" x14ac:dyDescent="0.2">
      <c r="B31" s="135" t="s">
        <v>63</v>
      </c>
      <c r="C31" s="135"/>
      <c r="D31" s="135"/>
      <c r="E31" s="135"/>
      <c r="F31" s="135"/>
      <c r="G31" s="135"/>
      <c r="H31" s="70"/>
      <c r="I31" s="70"/>
      <c r="J31" s="70"/>
      <c r="K31" s="70"/>
      <c r="L31" s="59"/>
    </row>
    <row r="32" spans="2:12" ht="47.25" customHeight="1" x14ac:dyDescent="0.3">
      <c r="B32" s="79" t="s">
        <v>51</v>
      </c>
      <c r="C32" s="80" t="s">
        <v>5</v>
      </c>
      <c r="D32" s="79" t="s">
        <v>6</v>
      </c>
      <c r="E32" s="79" t="s">
        <v>7</v>
      </c>
      <c r="F32" s="79" t="s">
        <v>52</v>
      </c>
      <c r="G32" s="81" t="s">
        <v>53</v>
      </c>
      <c r="I32" s="73"/>
      <c r="J32" s="73"/>
      <c r="K32" s="73"/>
      <c r="L32" s="60"/>
    </row>
    <row r="33" spans="2:12" ht="15" customHeight="1" x14ac:dyDescent="0.3">
      <c r="B33" s="129" t="s">
        <v>64</v>
      </c>
      <c r="C33" s="126">
        <v>10</v>
      </c>
      <c r="D33" s="136" t="s">
        <v>65</v>
      </c>
      <c r="E33" s="66" t="s">
        <v>29</v>
      </c>
      <c r="F33" s="75">
        <f>G33/$G$48</f>
        <v>2.6285714285714287E-2</v>
      </c>
      <c r="G33" s="76">
        <f t="shared" ref="G33:G44" si="2">SUM(G51,G69,G87,G105,G123,G141,G159)</f>
        <v>11472958.413714284</v>
      </c>
      <c r="I33" s="73"/>
      <c r="J33" s="73"/>
      <c r="K33" s="73"/>
      <c r="L33" s="56"/>
    </row>
    <row r="34" spans="2:12" x14ac:dyDescent="0.3">
      <c r="B34" s="130"/>
      <c r="C34" s="127"/>
      <c r="D34" s="137"/>
      <c r="E34" s="66" t="s">
        <v>30</v>
      </c>
      <c r="F34" s="75">
        <f t="shared" ref="F34:F47" si="3">G34/$G$48</f>
        <v>8.266666666666668E-2</v>
      </c>
      <c r="G34" s="76">
        <f t="shared" si="2"/>
        <v>36081622.837333336</v>
      </c>
      <c r="I34" s="73"/>
      <c r="J34" s="73"/>
      <c r="K34" s="73"/>
      <c r="L34" s="56"/>
    </row>
    <row r="35" spans="2:12" x14ac:dyDescent="0.3">
      <c r="B35" s="130"/>
      <c r="C35" s="127"/>
      <c r="D35" s="137"/>
      <c r="E35" s="66" t="s">
        <v>31</v>
      </c>
      <c r="F35" s="75">
        <f t="shared" si="3"/>
        <v>0.1062857142857143</v>
      </c>
      <c r="G35" s="76">
        <f t="shared" si="2"/>
        <v>46390657.933714285</v>
      </c>
      <c r="I35" s="73"/>
      <c r="J35" s="73"/>
      <c r="K35" s="73"/>
      <c r="L35" s="56"/>
    </row>
    <row r="36" spans="2:12" x14ac:dyDescent="0.3">
      <c r="B36" s="130"/>
      <c r="C36" s="127"/>
      <c r="D36" s="137"/>
      <c r="E36" s="66" t="s">
        <v>32</v>
      </c>
      <c r="F36" s="75">
        <f t="shared" si="3"/>
        <v>8.266666666666668E-2</v>
      </c>
      <c r="G36" s="76">
        <f t="shared" si="2"/>
        <v>36081622.837333336</v>
      </c>
      <c r="I36" s="73"/>
      <c r="J36" s="73"/>
      <c r="K36" s="73"/>
      <c r="L36" s="56"/>
    </row>
    <row r="37" spans="2:12" x14ac:dyDescent="0.3">
      <c r="B37" s="130"/>
      <c r="C37" s="127"/>
      <c r="D37" s="137"/>
      <c r="E37" s="66" t="s">
        <v>27</v>
      </c>
      <c r="F37" s="75">
        <f t="shared" si="3"/>
        <v>9.4476190476190491E-2</v>
      </c>
      <c r="G37" s="76">
        <f t="shared" si="2"/>
        <v>41236140.385523811</v>
      </c>
      <c r="I37" s="73"/>
      <c r="J37" s="73"/>
      <c r="K37" s="73"/>
      <c r="L37" s="56"/>
    </row>
    <row r="38" spans="2:12" x14ac:dyDescent="0.3">
      <c r="B38" s="130"/>
      <c r="C38" s="127"/>
      <c r="D38" s="137"/>
      <c r="E38" s="66" t="s">
        <v>33</v>
      </c>
      <c r="F38" s="75">
        <f t="shared" si="3"/>
        <v>9.4476190476190491E-2</v>
      </c>
      <c r="G38" s="76">
        <f t="shared" si="2"/>
        <v>41236140.385523811</v>
      </c>
      <c r="I38" s="73"/>
      <c r="J38" s="73"/>
      <c r="K38" s="73"/>
      <c r="L38" s="56"/>
    </row>
    <row r="39" spans="2:12" x14ac:dyDescent="0.3">
      <c r="B39" s="130"/>
      <c r="C39" s="127"/>
      <c r="D39" s="137"/>
      <c r="E39" s="66" t="s">
        <v>66</v>
      </c>
      <c r="F39" s="75">
        <f t="shared" si="3"/>
        <v>0.1062857142857143</v>
      </c>
      <c r="G39" s="76">
        <f t="shared" si="2"/>
        <v>46390657.933714285</v>
      </c>
      <c r="I39" s="73"/>
      <c r="J39" s="73"/>
      <c r="K39" s="73"/>
      <c r="L39" s="56"/>
    </row>
    <row r="40" spans="2:12" x14ac:dyDescent="0.3">
      <c r="B40" s="130"/>
      <c r="C40" s="127"/>
      <c r="D40" s="137"/>
      <c r="E40" s="66" t="s">
        <v>67</v>
      </c>
      <c r="F40" s="75">
        <f t="shared" si="3"/>
        <v>4.761904761904763E-2</v>
      </c>
      <c r="G40" s="76">
        <f t="shared" si="2"/>
        <v>20784344.952380955</v>
      </c>
      <c r="I40" s="73"/>
      <c r="J40" s="73"/>
      <c r="K40" s="73"/>
      <c r="L40" s="56"/>
    </row>
    <row r="41" spans="2:12" x14ac:dyDescent="0.3">
      <c r="B41" s="130"/>
      <c r="C41" s="127"/>
      <c r="D41" s="137"/>
      <c r="E41" s="66" t="s">
        <v>34</v>
      </c>
      <c r="F41" s="75">
        <f t="shared" si="3"/>
        <v>2.3619047619047623E-2</v>
      </c>
      <c r="G41" s="76">
        <f t="shared" si="2"/>
        <v>10309035.096380953</v>
      </c>
      <c r="I41" s="73"/>
      <c r="J41" s="73"/>
      <c r="K41" s="73"/>
      <c r="L41" s="56"/>
    </row>
    <row r="42" spans="2:12" x14ac:dyDescent="0.3">
      <c r="B42" s="130"/>
      <c r="C42" s="127"/>
      <c r="D42" s="137"/>
      <c r="E42" s="66" t="s">
        <v>35</v>
      </c>
      <c r="F42" s="75">
        <f t="shared" si="3"/>
        <v>0.1062857142857143</v>
      </c>
      <c r="G42" s="76">
        <f t="shared" si="2"/>
        <v>46390657.933714285</v>
      </c>
      <c r="I42" s="73"/>
      <c r="J42" s="73"/>
      <c r="K42" s="73"/>
      <c r="L42" s="56"/>
    </row>
    <row r="43" spans="2:12" x14ac:dyDescent="0.3">
      <c r="B43" s="130"/>
      <c r="C43" s="127"/>
      <c r="D43" s="137"/>
      <c r="E43" s="66" t="s">
        <v>68</v>
      </c>
      <c r="F43" s="75">
        <f t="shared" si="3"/>
        <v>7.0857142857142869E-2</v>
      </c>
      <c r="G43" s="76">
        <f t="shared" si="2"/>
        <v>30927105.289142858</v>
      </c>
      <c r="I43" s="73"/>
      <c r="J43" s="73"/>
      <c r="K43" s="73"/>
      <c r="L43" s="56"/>
    </row>
    <row r="44" spans="2:12" x14ac:dyDescent="0.3">
      <c r="B44" s="130"/>
      <c r="C44" s="127"/>
      <c r="D44" s="137"/>
      <c r="E44" s="66" t="s">
        <v>36</v>
      </c>
      <c r="F44" s="75">
        <f t="shared" si="3"/>
        <v>1.2190476190476193E-2</v>
      </c>
      <c r="G44" s="76">
        <f t="shared" si="2"/>
        <v>5320792.3078095242</v>
      </c>
      <c r="I44" s="73"/>
      <c r="J44" s="73"/>
      <c r="K44" s="73"/>
      <c r="L44" s="56"/>
    </row>
    <row r="45" spans="2:12" x14ac:dyDescent="0.3">
      <c r="B45" s="130"/>
      <c r="C45" s="127"/>
      <c r="D45" s="137"/>
      <c r="E45" s="66" t="s">
        <v>37</v>
      </c>
      <c r="F45" s="75">
        <f t="shared" si="3"/>
        <v>4.5714285714285726E-3</v>
      </c>
      <c r="G45" s="76">
        <f t="shared" ref="G45:G47" si="4">SUM(G63,G81,G99,G117,G135,G153,G171)</f>
        <v>1995297.1154285716</v>
      </c>
      <c r="I45" s="73"/>
      <c r="J45" s="73"/>
      <c r="K45" s="73"/>
      <c r="L45" s="56"/>
    </row>
    <row r="46" spans="2:12" x14ac:dyDescent="0.3">
      <c r="B46" s="130"/>
      <c r="C46" s="127"/>
      <c r="D46" s="137"/>
      <c r="E46" s="66" t="s">
        <v>69</v>
      </c>
      <c r="F46" s="75">
        <f t="shared" si="3"/>
        <v>7.0857142857142869E-2</v>
      </c>
      <c r="G46" s="76">
        <f t="shared" si="4"/>
        <v>30927105.289142858</v>
      </c>
      <c r="I46" s="73"/>
      <c r="J46" s="73"/>
      <c r="K46" s="73"/>
      <c r="L46" s="56"/>
    </row>
    <row r="47" spans="2:12" x14ac:dyDescent="0.3">
      <c r="B47" s="131"/>
      <c r="C47" s="128"/>
      <c r="D47" s="138"/>
      <c r="E47" s="66" t="s">
        <v>38</v>
      </c>
      <c r="F47" s="75">
        <f t="shared" si="3"/>
        <v>7.0857142857142869E-2</v>
      </c>
      <c r="G47" s="76">
        <f t="shared" si="4"/>
        <v>30927105.289142858</v>
      </c>
      <c r="I47" s="73"/>
      <c r="J47" s="73"/>
      <c r="K47" s="73"/>
      <c r="L47" s="56"/>
    </row>
    <row r="48" spans="2:12" x14ac:dyDescent="0.3">
      <c r="B48" s="132" t="s">
        <v>70</v>
      </c>
      <c r="C48" s="133"/>
      <c r="D48" s="133"/>
      <c r="E48" s="134"/>
      <c r="F48" s="82">
        <f>SUM(F33:F47)</f>
        <v>1.0000000000000002</v>
      </c>
      <c r="G48" s="83">
        <f>SUM(G33:G47)</f>
        <v>436471243.99999994</v>
      </c>
      <c r="I48" s="73"/>
      <c r="J48" s="73"/>
      <c r="K48" s="73"/>
      <c r="L48" s="57"/>
    </row>
    <row r="50" spans="2:9" ht="49.5" x14ac:dyDescent="0.3">
      <c r="B50" s="79" t="s">
        <v>11</v>
      </c>
      <c r="C50" s="79" t="s">
        <v>5</v>
      </c>
      <c r="D50" s="79" t="s">
        <v>6</v>
      </c>
      <c r="E50" s="79" t="s">
        <v>7</v>
      </c>
      <c r="F50" s="79" t="s">
        <v>52</v>
      </c>
      <c r="G50" s="81" t="s">
        <v>8</v>
      </c>
      <c r="H50" s="54" t="s">
        <v>9</v>
      </c>
      <c r="I50" s="54" t="s">
        <v>10</v>
      </c>
    </row>
    <row r="51" spans="2:9" x14ac:dyDescent="0.3">
      <c r="B51" s="115" t="s">
        <v>54</v>
      </c>
      <c r="C51" s="117">
        <v>10</v>
      </c>
      <c r="D51" s="119" t="s">
        <v>55</v>
      </c>
      <c r="E51" s="66" t="s">
        <v>29</v>
      </c>
      <c r="F51" s="75">
        <f>(G51*100%)/$G$66</f>
        <v>2.6285714285714291E-2</v>
      </c>
      <c r="G51" s="76">
        <v>3923522.8960000002</v>
      </c>
      <c r="H51" s="12"/>
      <c r="I51" s="12"/>
    </row>
    <row r="52" spans="2:9" x14ac:dyDescent="0.3">
      <c r="B52" s="116"/>
      <c r="C52" s="118"/>
      <c r="D52" s="120"/>
      <c r="E52" s="66" t="s">
        <v>30</v>
      </c>
      <c r="F52" s="75">
        <f t="shared" ref="F52:F65" si="5">(G52*100%)/$G$66</f>
        <v>8.266666666666668E-2</v>
      </c>
      <c r="G52" s="76">
        <v>12339195.194666667</v>
      </c>
      <c r="H52" s="12"/>
      <c r="I52" s="12"/>
    </row>
    <row r="53" spans="2:9" x14ac:dyDescent="0.3">
      <c r="B53" s="116"/>
      <c r="C53" s="118"/>
      <c r="D53" s="120"/>
      <c r="E53" s="66" t="s">
        <v>31</v>
      </c>
      <c r="F53" s="75">
        <f t="shared" si="5"/>
        <v>0.1062857142857143</v>
      </c>
      <c r="G53" s="76">
        <v>15864679.536</v>
      </c>
      <c r="H53" s="12"/>
      <c r="I53" s="12"/>
    </row>
    <row r="54" spans="2:9" x14ac:dyDescent="0.3">
      <c r="B54" s="116"/>
      <c r="C54" s="118"/>
      <c r="D54" s="120"/>
      <c r="E54" s="66" t="s">
        <v>32</v>
      </c>
      <c r="F54" s="75">
        <f t="shared" si="5"/>
        <v>8.266666666666668E-2</v>
      </c>
      <c r="G54" s="76">
        <v>12339195.194666667</v>
      </c>
      <c r="H54" s="12"/>
      <c r="I54" s="12"/>
    </row>
    <row r="55" spans="2:9" x14ac:dyDescent="0.3">
      <c r="B55" s="116"/>
      <c r="C55" s="118"/>
      <c r="D55" s="120"/>
      <c r="E55" s="66" t="s">
        <v>27</v>
      </c>
      <c r="F55" s="75">
        <f t="shared" si="5"/>
        <v>9.4476190476190491E-2</v>
      </c>
      <c r="G55" s="76">
        <v>14101937.365333334</v>
      </c>
      <c r="H55" s="12"/>
      <c r="I55" s="12"/>
    </row>
    <row r="56" spans="2:9" x14ac:dyDescent="0.3">
      <c r="B56" s="116"/>
      <c r="C56" s="118"/>
      <c r="D56" s="120"/>
      <c r="E56" s="66" t="s">
        <v>33</v>
      </c>
      <c r="F56" s="75">
        <f t="shared" si="5"/>
        <v>9.4476190476190491E-2</v>
      </c>
      <c r="G56" s="76">
        <v>14101937.365333334</v>
      </c>
      <c r="H56" s="12"/>
      <c r="I56" s="12"/>
    </row>
    <row r="57" spans="2:9" x14ac:dyDescent="0.3">
      <c r="B57" s="116"/>
      <c r="C57" s="118"/>
      <c r="D57" s="120"/>
      <c r="E57" s="66" t="s">
        <v>66</v>
      </c>
      <c r="F57" s="75">
        <f t="shared" si="5"/>
        <v>0.1062857142857143</v>
      </c>
      <c r="G57" s="76">
        <v>15864679.536</v>
      </c>
      <c r="H57" s="12"/>
      <c r="I57" s="12"/>
    </row>
    <row r="58" spans="2:9" x14ac:dyDescent="0.3">
      <c r="B58" s="116"/>
      <c r="C58" s="118"/>
      <c r="D58" s="120"/>
      <c r="E58" s="66" t="s">
        <v>67</v>
      </c>
      <c r="F58" s="75">
        <f t="shared" si="5"/>
        <v>4.761904761904763E-2</v>
      </c>
      <c r="G58" s="76">
        <v>7107831.333333334</v>
      </c>
      <c r="H58" s="12"/>
      <c r="I58" s="12"/>
    </row>
    <row r="59" spans="2:9" x14ac:dyDescent="0.3">
      <c r="B59" s="116"/>
      <c r="C59" s="118"/>
      <c r="D59" s="120"/>
      <c r="E59" s="66" t="s">
        <v>34</v>
      </c>
      <c r="F59" s="75">
        <f t="shared" si="5"/>
        <v>2.3619047619047623E-2</v>
      </c>
      <c r="G59" s="76">
        <v>3525484.3413333334</v>
      </c>
      <c r="H59" s="12"/>
      <c r="I59" s="12"/>
    </row>
    <row r="60" spans="2:9" x14ac:dyDescent="0.3">
      <c r="B60" s="116"/>
      <c r="C60" s="118"/>
      <c r="D60" s="120"/>
      <c r="E60" s="66" t="s">
        <v>35</v>
      </c>
      <c r="F60" s="75">
        <f t="shared" si="5"/>
        <v>0.1062857142857143</v>
      </c>
      <c r="G60" s="76">
        <v>15864679.536</v>
      </c>
      <c r="H60" s="12"/>
      <c r="I60" s="12"/>
    </row>
    <row r="61" spans="2:9" x14ac:dyDescent="0.3">
      <c r="B61" s="116"/>
      <c r="C61" s="118"/>
      <c r="D61" s="120"/>
      <c r="E61" s="66" t="s">
        <v>68</v>
      </c>
      <c r="F61" s="75">
        <f t="shared" si="5"/>
        <v>7.0857142857142869E-2</v>
      </c>
      <c r="G61" s="76">
        <v>10576453.024</v>
      </c>
      <c r="H61" s="12"/>
      <c r="I61" s="12"/>
    </row>
    <row r="62" spans="2:9" x14ac:dyDescent="0.3">
      <c r="B62" s="116"/>
      <c r="C62" s="118"/>
      <c r="D62" s="120"/>
      <c r="E62" s="66" t="s">
        <v>36</v>
      </c>
      <c r="F62" s="75">
        <f t="shared" si="5"/>
        <v>1.2190476190476193E-2</v>
      </c>
      <c r="G62" s="76">
        <v>1819604.8213333334</v>
      </c>
      <c r="H62" s="12"/>
      <c r="I62" s="12"/>
    </row>
    <row r="63" spans="2:9" x14ac:dyDescent="0.3">
      <c r="B63" s="116"/>
      <c r="C63" s="118"/>
      <c r="D63" s="120"/>
      <c r="E63" s="66" t="s">
        <v>37</v>
      </c>
      <c r="F63" s="75">
        <f t="shared" si="5"/>
        <v>4.5714285714285718E-3</v>
      </c>
      <c r="G63" s="76">
        <v>682351.80799999996</v>
      </c>
      <c r="H63" s="12"/>
      <c r="I63" s="12"/>
    </row>
    <row r="64" spans="2:9" x14ac:dyDescent="0.3">
      <c r="B64" s="116"/>
      <c r="C64" s="118"/>
      <c r="D64" s="120"/>
      <c r="E64" s="66" t="s">
        <v>69</v>
      </c>
      <c r="F64" s="75">
        <f t="shared" si="5"/>
        <v>7.0857142857142869E-2</v>
      </c>
      <c r="G64" s="76">
        <v>10576453.024</v>
      </c>
      <c r="H64" s="12"/>
      <c r="I64" s="12"/>
    </row>
    <row r="65" spans="2:9" x14ac:dyDescent="0.3">
      <c r="B65" s="116"/>
      <c r="C65" s="118"/>
      <c r="D65" s="120"/>
      <c r="E65" s="66" t="s">
        <v>38</v>
      </c>
      <c r="F65" s="75">
        <f t="shared" si="5"/>
        <v>7.0857142857142869E-2</v>
      </c>
      <c r="G65" s="76">
        <v>10576453.024</v>
      </c>
      <c r="H65" s="12"/>
      <c r="I65" s="12"/>
    </row>
    <row r="66" spans="2:9" x14ac:dyDescent="0.3">
      <c r="B66" s="114" t="s">
        <v>71</v>
      </c>
      <c r="C66" s="114"/>
      <c r="D66" s="114"/>
      <c r="E66" s="114"/>
      <c r="F66" s="84">
        <f>SUM(F51:F65)</f>
        <v>1.0000000000000002</v>
      </c>
      <c r="G66" s="81">
        <f>SUM(G51:G65)</f>
        <v>149264457.99999997</v>
      </c>
      <c r="H66" s="72">
        <f>SUM(H51:H65)</f>
        <v>0</v>
      </c>
      <c r="I66" s="72">
        <f>SUM(I51:I65)</f>
        <v>0</v>
      </c>
    </row>
    <row r="68" spans="2:9" ht="49.5" x14ac:dyDescent="0.3">
      <c r="B68" s="79" t="s">
        <v>11</v>
      </c>
      <c r="C68" s="79" t="s">
        <v>5</v>
      </c>
      <c r="D68" s="79" t="s">
        <v>6</v>
      </c>
      <c r="E68" s="79" t="s">
        <v>7</v>
      </c>
      <c r="F68" s="79" t="s">
        <v>52</v>
      </c>
      <c r="G68" s="81" t="s">
        <v>8</v>
      </c>
      <c r="H68" s="54" t="s">
        <v>9</v>
      </c>
      <c r="I68" s="54" t="s">
        <v>10</v>
      </c>
    </row>
    <row r="69" spans="2:9" x14ac:dyDescent="0.3">
      <c r="B69" s="115" t="s">
        <v>57</v>
      </c>
      <c r="C69" s="117">
        <v>10</v>
      </c>
      <c r="D69" s="119" t="s">
        <v>58</v>
      </c>
      <c r="E69" s="66" t="s">
        <v>29</v>
      </c>
      <c r="F69" s="85">
        <f>(G69*100%)/$G$84</f>
        <v>2.6285714285714291E-2</v>
      </c>
      <c r="G69" s="86">
        <v>2895960.3862857143</v>
      </c>
      <c r="H69" s="12"/>
      <c r="I69" s="12"/>
    </row>
    <row r="70" spans="2:9" x14ac:dyDescent="0.3">
      <c r="B70" s="116"/>
      <c r="C70" s="118"/>
      <c r="D70" s="120"/>
      <c r="E70" s="66" t="s">
        <v>30</v>
      </c>
      <c r="F70" s="85">
        <f t="shared" ref="F70:F83" si="6">(G70*100%)/$G$84</f>
        <v>8.2666666666666666E-2</v>
      </c>
      <c r="G70" s="86">
        <v>9107585.5626666658</v>
      </c>
      <c r="H70" s="12"/>
      <c r="I70" s="12"/>
    </row>
    <row r="71" spans="2:9" x14ac:dyDescent="0.3">
      <c r="B71" s="116"/>
      <c r="C71" s="118"/>
      <c r="D71" s="120"/>
      <c r="E71" s="66" t="s">
        <v>31</v>
      </c>
      <c r="F71" s="85">
        <f t="shared" si="6"/>
        <v>0.10628571428571429</v>
      </c>
      <c r="G71" s="86">
        <v>11709752.866285713</v>
      </c>
      <c r="H71" s="12"/>
      <c r="I71" s="12"/>
    </row>
    <row r="72" spans="2:9" x14ac:dyDescent="0.3">
      <c r="B72" s="116"/>
      <c r="C72" s="118"/>
      <c r="D72" s="120"/>
      <c r="E72" s="66" t="s">
        <v>32</v>
      </c>
      <c r="F72" s="85">
        <f t="shared" si="6"/>
        <v>8.2666666666666666E-2</v>
      </c>
      <c r="G72" s="86">
        <v>9107585.5626666658</v>
      </c>
      <c r="H72" s="12"/>
      <c r="I72" s="12"/>
    </row>
    <row r="73" spans="2:9" x14ac:dyDescent="0.3">
      <c r="B73" s="116"/>
      <c r="C73" s="118"/>
      <c r="D73" s="120"/>
      <c r="E73" s="66" t="s">
        <v>27</v>
      </c>
      <c r="F73" s="85">
        <f t="shared" si="6"/>
        <v>9.4476190476190491E-2</v>
      </c>
      <c r="G73" s="86">
        <v>10408669.214476191</v>
      </c>
      <c r="H73" s="12"/>
      <c r="I73" s="12"/>
    </row>
    <row r="74" spans="2:9" x14ac:dyDescent="0.3">
      <c r="B74" s="116"/>
      <c r="C74" s="118"/>
      <c r="D74" s="120"/>
      <c r="E74" s="66" t="s">
        <v>33</v>
      </c>
      <c r="F74" s="85">
        <f t="shared" si="6"/>
        <v>9.4476190476190491E-2</v>
      </c>
      <c r="G74" s="86">
        <v>10408669.214476191</v>
      </c>
      <c r="H74" s="12"/>
      <c r="I74" s="12"/>
    </row>
    <row r="75" spans="2:9" x14ac:dyDescent="0.3">
      <c r="B75" s="116"/>
      <c r="C75" s="118"/>
      <c r="D75" s="120"/>
      <c r="E75" s="66" t="s">
        <v>66</v>
      </c>
      <c r="F75" s="85">
        <f t="shared" si="6"/>
        <v>0.10628571428571429</v>
      </c>
      <c r="G75" s="86">
        <v>11709752.866285713</v>
      </c>
      <c r="H75" s="12"/>
      <c r="I75" s="12"/>
    </row>
    <row r="76" spans="2:9" x14ac:dyDescent="0.3">
      <c r="B76" s="116"/>
      <c r="C76" s="118"/>
      <c r="D76" s="120"/>
      <c r="E76" s="66" t="s">
        <v>67</v>
      </c>
      <c r="F76" s="85">
        <f t="shared" si="6"/>
        <v>4.7619047619047623E-2</v>
      </c>
      <c r="G76" s="86">
        <v>5246305.0476190476</v>
      </c>
      <c r="H76" s="12"/>
      <c r="I76" s="12"/>
    </row>
    <row r="77" spans="2:9" x14ac:dyDescent="0.3">
      <c r="B77" s="116"/>
      <c r="C77" s="118"/>
      <c r="D77" s="120"/>
      <c r="E77" s="66" t="s">
        <v>34</v>
      </c>
      <c r="F77" s="85">
        <f t="shared" si="6"/>
        <v>2.3619047619047623E-2</v>
      </c>
      <c r="G77" s="86">
        <v>2602167.3036190476</v>
      </c>
      <c r="H77" s="12"/>
      <c r="I77" s="12"/>
    </row>
    <row r="78" spans="2:9" x14ac:dyDescent="0.3">
      <c r="B78" s="116"/>
      <c r="C78" s="118"/>
      <c r="D78" s="120"/>
      <c r="E78" s="66" t="s">
        <v>35</v>
      </c>
      <c r="F78" s="85">
        <f t="shared" si="6"/>
        <v>0.10628571428571429</v>
      </c>
      <c r="G78" s="86">
        <v>11709752.866285713</v>
      </c>
      <c r="H78" s="12"/>
      <c r="I78" s="12"/>
    </row>
    <row r="79" spans="2:9" x14ac:dyDescent="0.3">
      <c r="B79" s="116"/>
      <c r="C79" s="118"/>
      <c r="D79" s="120"/>
      <c r="E79" s="66" t="s">
        <v>68</v>
      </c>
      <c r="F79" s="85">
        <f t="shared" si="6"/>
        <v>7.0857142857142869E-2</v>
      </c>
      <c r="G79" s="86">
        <v>7806501.9108571429</v>
      </c>
      <c r="H79" s="12"/>
      <c r="I79" s="12"/>
    </row>
    <row r="80" spans="2:9" x14ac:dyDescent="0.3">
      <c r="B80" s="116"/>
      <c r="C80" s="118"/>
      <c r="D80" s="120"/>
      <c r="E80" s="66" t="s">
        <v>36</v>
      </c>
      <c r="F80" s="85">
        <f t="shared" si="6"/>
        <v>1.2190476190476191E-2</v>
      </c>
      <c r="G80" s="86">
        <v>1343054.0921904761</v>
      </c>
      <c r="H80" s="12"/>
      <c r="I80" s="12"/>
    </row>
    <row r="81" spans="2:9" x14ac:dyDescent="0.3">
      <c r="B81" s="116"/>
      <c r="C81" s="118"/>
      <c r="D81" s="120"/>
      <c r="E81" s="66" t="s">
        <v>37</v>
      </c>
      <c r="F81" s="85">
        <f t="shared" si="6"/>
        <v>4.5714285714285718E-3</v>
      </c>
      <c r="G81" s="86">
        <v>503645.28457142855</v>
      </c>
      <c r="H81" s="12"/>
      <c r="I81" s="12"/>
    </row>
    <row r="82" spans="2:9" x14ac:dyDescent="0.3">
      <c r="B82" s="116"/>
      <c r="C82" s="118"/>
      <c r="D82" s="120"/>
      <c r="E82" s="66" t="s">
        <v>69</v>
      </c>
      <c r="F82" s="85">
        <f t="shared" si="6"/>
        <v>7.0857142857142869E-2</v>
      </c>
      <c r="G82" s="86">
        <v>7806501.9108571429</v>
      </c>
      <c r="H82" s="12"/>
      <c r="I82" s="12"/>
    </row>
    <row r="83" spans="2:9" x14ac:dyDescent="0.3">
      <c r="B83" s="116"/>
      <c r="C83" s="118"/>
      <c r="D83" s="120"/>
      <c r="E83" s="66" t="s">
        <v>38</v>
      </c>
      <c r="F83" s="85">
        <f t="shared" si="6"/>
        <v>7.0857142857142869E-2</v>
      </c>
      <c r="G83" s="86">
        <v>7806501.9108571429</v>
      </c>
      <c r="H83" s="12"/>
      <c r="I83" s="12"/>
    </row>
    <row r="84" spans="2:9" x14ac:dyDescent="0.3">
      <c r="B84" s="114" t="s">
        <v>72</v>
      </c>
      <c r="C84" s="114"/>
      <c r="D84" s="114"/>
      <c r="E84" s="114"/>
      <c r="F84" s="84">
        <f>SUM(F69:F83)</f>
        <v>1.0000000000000002</v>
      </c>
      <c r="G84" s="81">
        <f>SUM(G69:G83)</f>
        <v>110172405.99999999</v>
      </c>
      <c r="H84" s="72">
        <f>SUM(H69:H83)</f>
        <v>0</v>
      </c>
      <c r="I84" s="72">
        <f>SUM(I69:I83)</f>
        <v>0</v>
      </c>
    </row>
    <row r="86" spans="2:9" ht="49.5" x14ac:dyDescent="0.3">
      <c r="B86" s="79" t="s">
        <v>11</v>
      </c>
      <c r="C86" s="79" t="s">
        <v>5</v>
      </c>
      <c r="D86" s="79" t="s">
        <v>6</v>
      </c>
      <c r="E86" s="79" t="s">
        <v>7</v>
      </c>
      <c r="F86" s="79" t="s">
        <v>52</v>
      </c>
      <c r="G86" s="81" t="s">
        <v>8</v>
      </c>
      <c r="H86" s="54" t="s">
        <v>9</v>
      </c>
      <c r="I86" s="54" t="s">
        <v>10</v>
      </c>
    </row>
    <row r="87" spans="2:9" x14ac:dyDescent="0.3">
      <c r="B87" s="115" t="s">
        <v>28</v>
      </c>
      <c r="C87" s="117">
        <v>10</v>
      </c>
      <c r="D87" s="119" t="s">
        <v>59</v>
      </c>
      <c r="E87" s="66" t="s">
        <v>29</v>
      </c>
      <c r="F87" s="85">
        <f>(G87*100%)/$G$102</f>
        <v>2.6285714285714287E-2</v>
      </c>
      <c r="G87" s="86">
        <v>451638.72457142861</v>
      </c>
      <c r="H87" s="12"/>
      <c r="I87" s="12"/>
    </row>
    <row r="88" spans="2:9" x14ac:dyDescent="0.3">
      <c r="B88" s="116"/>
      <c r="C88" s="118"/>
      <c r="D88" s="120"/>
      <c r="E88" s="66" t="s">
        <v>30</v>
      </c>
      <c r="F88" s="85">
        <f t="shared" ref="F88:F101" si="7">(G88*100%)/$G$102</f>
        <v>8.2666666666666666E-2</v>
      </c>
      <c r="G88" s="86">
        <v>1420371.0613333334</v>
      </c>
      <c r="H88" s="12"/>
      <c r="I88" s="12"/>
    </row>
    <row r="89" spans="2:9" x14ac:dyDescent="0.3">
      <c r="B89" s="116"/>
      <c r="C89" s="118"/>
      <c r="D89" s="120"/>
      <c r="E89" s="66" t="s">
        <v>31</v>
      </c>
      <c r="F89" s="85">
        <f t="shared" si="7"/>
        <v>0.10628571428571429</v>
      </c>
      <c r="G89" s="86">
        <v>1826191.3645714286</v>
      </c>
      <c r="H89" s="12"/>
      <c r="I89" s="12"/>
    </row>
    <row r="90" spans="2:9" x14ac:dyDescent="0.3">
      <c r="B90" s="116"/>
      <c r="C90" s="118"/>
      <c r="D90" s="120"/>
      <c r="E90" s="66" t="s">
        <v>32</v>
      </c>
      <c r="F90" s="85">
        <f t="shared" si="7"/>
        <v>8.2666666666666666E-2</v>
      </c>
      <c r="G90" s="86">
        <v>1420371.0613333334</v>
      </c>
      <c r="H90" s="12"/>
      <c r="I90" s="12"/>
    </row>
    <row r="91" spans="2:9" x14ac:dyDescent="0.3">
      <c r="B91" s="116"/>
      <c r="C91" s="118"/>
      <c r="D91" s="120"/>
      <c r="E91" s="66" t="s">
        <v>27</v>
      </c>
      <c r="F91" s="85">
        <f t="shared" si="7"/>
        <v>9.4476190476190477E-2</v>
      </c>
      <c r="G91" s="86">
        <v>1623281.212952381</v>
      </c>
      <c r="H91" s="12"/>
      <c r="I91" s="12"/>
    </row>
    <row r="92" spans="2:9" x14ac:dyDescent="0.3">
      <c r="B92" s="116"/>
      <c r="C92" s="118"/>
      <c r="D92" s="120"/>
      <c r="E92" s="66" t="s">
        <v>33</v>
      </c>
      <c r="F92" s="85">
        <f t="shared" si="7"/>
        <v>9.4476190476190477E-2</v>
      </c>
      <c r="G92" s="86">
        <v>1623281.212952381</v>
      </c>
      <c r="H92" s="12"/>
      <c r="I92" s="12"/>
    </row>
    <row r="93" spans="2:9" x14ac:dyDescent="0.3">
      <c r="B93" s="116"/>
      <c r="C93" s="118"/>
      <c r="D93" s="120"/>
      <c r="E93" s="66" t="s">
        <v>66</v>
      </c>
      <c r="F93" s="85">
        <f t="shared" si="7"/>
        <v>0.10628571428571429</v>
      </c>
      <c r="G93" s="86">
        <v>1826191.3645714286</v>
      </c>
      <c r="H93" s="12"/>
      <c r="I93" s="12"/>
    </row>
    <row r="94" spans="2:9" x14ac:dyDescent="0.3">
      <c r="B94" s="116"/>
      <c r="C94" s="118"/>
      <c r="D94" s="120"/>
      <c r="E94" s="66" t="s">
        <v>67</v>
      </c>
      <c r="F94" s="85">
        <f t="shared" si="7"/>
        <v>4.7619047619047623E-2</v>
      </c>
      <c r="G94" s="86">
        <v>818186.09523809527</v>
      </c>
      <c r="H94" s="12"/>
      <c r="I94" s="12"/>
    </row>
    <row r="95" spans="2:9" x14ac:dyDescent="0.3">
      <c r="B95" s="116"/>
      <c r="C95" s="118"/>
      <c r="D95" s="120"/>
      <c r="E95" s="66" t="s">
        <v>34</v>
      </c>
      <c r="F95" s="85">
        <f t="shared" si="7"/>
        <v>2.3619047619047619E-2</v>
      </c>
      <c r="G95" s="86">
        <v>405820.30323809525</v>
      </c>
      <c r="H95" s="12"/>
      <c r="I95" s="12"/>
    </row>
    <row r="96" spans="2:9" x14ac:dyDescent="0.3">
      <c r="B96" s="116"/>
      <c r="C96" s="118"/>
      <c r="D96" s="120"/>
      <c r="E96" s="66" t="s">
        <v>35</v>
      </c>
      <c r="F96" s="85">
        <f t="shared" si="7"/>
        <v>0.10628571428571429</v>
      </c>
      <c r="G96" s="86">
        <v>1826191.3645714286</v>
      </c>
      <c r="H96" s="12"/>
      <c r="I96" s="12"/>
    </row>
    <row r="97" spans="2:9" x14ac:dyDescent="0.3">
      <c r="B97" s="116"/>
      <c r="C97" s="118"/>
      <c r="D97" s="120"/>
      <c r="E97" s="66" t="s">
        <v>68</v>
      </c>
      <c r="F97" s="85">
        <f t="shared" si="7"/>
        <v>7.0857142857142855E-2</v>
      </c>
      <c r="G97" s="86">
        <v>1217460.9097142857</v>
      </c>
      <c r="H97" s="12"/>
      <c r="I97" s="12"/>
    </row>
    <row r="98" spans="2:9" x14ac:dyDescent="0.3">
      <c r="B98" s="116"/>
      <c r="C98" s="118"/>
      <c r="D98" s="120"/>
      <c r="E98" s="66" t="s">
        <v>36</v>
      </c>
      <c r="F98" s="85">
        <f t="shared" si="7"/>
        <v>1.2190476190476191E-2</v>
      </c>
      <c r="G98" s="86">
        <v>209455.64038095239</v>
      </c>
      <c r="H98" s="12"/>
      <c r="I98" s="12"/>
    </row>
    <row r="99" spans="2:9" x14ac:dyDescent="0.3">
      <c r="B99" s="116"/>
      <c r="C99" s="118"/>
      <c r="D99" s="120"/>
      <c r="E99" s="66" t="s">
        <v>37</v>
      </c>
      <c r="F99" s="85">
        <f t="shared" si="7"/>
        <v>4.5714285714285718E-3</v>
      </c>
      <c r="G99" s="86">
        <v>78545.865142857147</v>
      </c>
      <c r="H99" s="12"/>
      <c r="I99" s="12"/>
    </row>
    <row r="100" spans="2:9" x14ac:dyDescent="0.3">
      <c r="B100" s="116"/>
      <c r="C100" s="118"/>
      <c r="D100" s="120"/>
      <c r="E100" s="66" t="s">
        <v>69</v>
      </c>
      <c r="F100" s="85">
        <f t="shared" si="7"/>
        <v>7.0857142857142855E-2</v>
      </c>
      <c r="G100" s="86">
        <v>1217460.9097142857</v>
      </c>
      <c r="H100" s="12"/>
      <c r="I100" s="12"/>
    </row>
    <row r="101" spans="2:9" x14ac:dyDescent="0.3">
      <c r="B101" s="116"/>
      <c r="C101" s="118"/>
      <c r="D101" s="120"/>
      <c r="E101" s="66" t="s">
        <v>38</v>
      </c>
      <c r="F101" s="85">
        <f t="shared" si="7"/>
        <v>7.0857142857142855E-2</v>
      </c>
      <c r="G101" s="86">
        <v>1217460.9097142857</v>
      </c>
      <c r="H101" s="12"/>
      <c r="I101" s="12"/>
    </row>
    <row r="102" spans="2:9" x14ac:dyDescent="0.3">
      <c r="B102" s="114" t="s">
        <v>75</v>
      </c>
      <c r="C102" s="114"/>
      <c r="D102" s="114"/>
      <c r="E102" s="114"/>
      <c r="F102" s="84">
        <f>SUM(F87:F101)</f>
        <v>1.0000000000000002</v>
      </c>
      <c r="G102" s="81">
        <f>SUM(G87:G101)</f>
        <v>17181908</v>
      </c>
      <c r="H102" s="72">
        <f>SUM(H87:H101)</f>
        <v>0</v>
      </c>
      <c r="I102" s="72">
        <f>SUM(I87:I101)</f>
        <v>0</v>
      </c>
    </row>
    <row r="104" spans="2:9" ht="49.5" x14ac:dyDescent="0.3">
      <c r="B104" s="79" t="s">
        <v>11</v>
      </c>
      <c r="C104" s="79" t="s">
        <v>5</v>
      </c>
      <c r="D104" s="79" t="s">
        <v>6</v>
      </c>
      <c r="E104" s="79" t="s">
        <v>7</v>
      </c>
      <c r="F104" s="79" t="s">
        <v>52</v>
      </c>
      <c r="G104" s="81" t="s">
        <v>8</v>
      </c>
      <c r="H104" s="54" t="s">
        <v>9</v>
      </c>
      <c r="I104" s="54" t="s">
        <v>10</v>
      </c>
    </row>
    <row r="105" spans="2:9" x14ac:dyDescent="0.3">
      <c r="B105" s="115" t="s">
        <v>39</v>
      </c>
      <c r="C105" s="117">
        <v>10</v>
      </c>
      <c r="D105" s="119" t="s">
        <v>40</v>
      </c>
      <c r="E105" s="66" t="s">
        <v>29</v>
      </c>
      <c r="F105" s="85">
        <f>(G105*100%)/$G$120</f>
        <v>2.6285714285714284E-2</v>
      </c>
      <c r="G105" s="86">
        <v>2014359.2411428571</v>
      </c>
      <c r="H105" s="12"/>
      <c r="I105" s="12"/>
    </row>
    <row r="106" spans="2:9" x14ac:dyDescent="0.3">
      <c r="B106" s="116"/>
      <c r="C106" s="118"/>
      <c r="D106" s="120"/>
      <c r="E106" s="66" t="s">
        <v>30</v>
      </c>
      <c r="F106" s="85">
        <f t="shared" ref="F106:F119" si="8">(G106*100%)/$G$120</f>
        <v>8.2666666666666666E-2</v>
      </c>
      <c r="G106" s="86">
        <v>6335013.8453333331</v>
      </c>
      <c r="H106" s="12"/>
      <c r="I106" s="12"/>
    </row>
    <row r="107" spans="2:9" x14ac:dyDescent="0.3">
      <c r="B107" s="116"/>
      <c r="C107" s="118"/>
      <c r="D107" s="120"/>
      <c r="E107" s="66" t="s">
        <v>31</v>
      </c>
      <c r="F107" s="85">
        <f t="shared" si="8"/>
        <v>0.10628571428571428</v>
      </c>
      <c r="G107" s="86">
        <v>8145017.8011428565</v>
      </c>
      <c r="H107" s="12"/>
      <c r="I107" s="12"/>
    </row>
    <row r="108" spans="2:9" x14ac:dyDescent="0.3">
      <c r="B108" s="116"/>
      <c r="C108" s="118"/>
      <c r="D108" s="120"/>
      <c r="E108" s="66" t="s">
        <v>32</v>
      </c>
      <c r="F108" s="85">
        <f t="shared" si="8"/>
        <v>8.2666666666666666E-2</v>
      </c>
      <c r="G108" s="86">
        <v>6335013.8453333331</v>
      </c>
      <c r="H108" s="12"/>
      <c r="I108" s="12"/>
    </row>
    <row r="109" spans="2:9" x14ac:dyDescent="0.3">
      <c r="B109" s="116"/>
      <c r="C109" s="118"/>
      <c r="D109" s="120"/>
      <c r="E109" s="66" t="s">
        <v>27</v>
      </c>
      <c r="F109" s="85">
        <f t="shared" si="8"/>
        <v>9.4476190476190477E-2</v>
      </c>
      <c r="G109" s="86">
        <v>7240015.8232380953</v>
      </c>
      <c r="H109" s="12"/>
      <c r="I109" s="12"/>
    </row>
    <row r="110" spans="2:9" x14ac:dyDescent="0.3">
      <c r="B110" s="116"/>
      <c r="C110" s="118"/>
      <c r="D110" s="120"/>
      <c r="E110" s="66" t="s">
        <v>33</v>
      </c>
      <c r="F110" s="85">
        <f t="shared" si="8"/>
        <v>9.4476190476190477E-2</v>
      </c>
      <c r="G110" s="86">
        <v>7240015.8232380953</v>
      </c>
      <c r="H110" s="12"/>
      <c r="I110" s="12"/>
    </row>
    <row r="111" spans="2:9" x14ac:dyDescent="0.3">
      <c r="B111" s="116"/>
      <c r="C111" s="118"/>
      <c r="D111" s="120"/>
      <c r="E111" s="66" t="s">
        <v>66</v>
      </c>
      <c r="F111" s="85">
        <f t="shared" si="8"/>
        <v>0.10628571428571428</v>
      </c>
      <c r="G111" s="86">
        <v>8145017.8011428565</v>
      </c>
      <c r="H111" s="12"/>
      <c r="I111" s="12"/>
    </row>
    <row r="112" spans="2:9" x14ac:dyDescent="0.3">
      <c r="B112" s="116"/>
      <c r="C112" s="118"/>
      <c r="D112" s="120"/>
      <c r="E112" s="66" t="s">
        <v>67</v>
      </c>
      <c r="F112" s="85">
        <f t="shared" si="8"/>
        <v>4.7619047619047616E-2</v>
      </c>
      <c r="G112" s="86">
        <v>3649201.5238095238</v>
      </c>
      <c r="H112" s="12"/>
      <c r="I112" s="12"/>
    </row>
    <row r="113" spans="2:9" x14ac:dyDescent="0.3">
      <c r="B113" s="116"/>
      <c r="C113" s="118"/>
      <c r="D113" s="120"/>
      <c r="E113" s="66" t="s">
        <v>34</v>
      </c>
      <c r="F113" s="85">
        <f t="shared" si="8"/>
        <v>2.3619047619047619E-2</v>
      </c>
      <c r="G113" s="86">
        <v>1810003.9558095238</v>
      </c>
      <c r="H113" s="12"/>
      <c r="I113" s="12"/>
    </row>
    <row r="114" spans="2:9" x14ac:dyDescent="0.3">
      <c r="B114" s="116"/>
      <c r="C114" s="118"/>
      <c r="D114" s="120"/>
      <c r="E114" s="66" t="s">
        <v>35</v>
      </c>
      <c r="F114" s="85">
        <f t="shared" si="8"/>
        <v>0.10628571428571428</v>
      </c>
      <c r="G114" s="86">
        <v>8145017.8011428565</v>
      </c>
      <c r="H114" s="12"/>
      <c r="I114" s="12"/>
    </row>
    <row r="115" spans="2:9" x14ac:dyDescent="0.3">
      <c r="B115" s="116"/>
      <c r="C115" s="118"/>
      <c r="D115" s="120"/>
      <c r="E115" s="66" t="s">
        <v>68</v>
      </c>
      <c r="F115" s="85">
        <f t="shared" si="8"/>
        <v>7.0857142857142855E-2</v>
      </c>
      <c r="G115" s="86">
        <v>5430011.867428571</v>
      </c>
      <c r="H115" s="12"/>
      <c r="I115" s="12"/>
    </row>
    <row r="116" spans="2:9" x14ac:dyDescent="0.3">
      <c r="B116" s="116"/>
      <c r="C116" s="118"/>
      <c r="D116" s="120"/>
      <c r="E116" s="66" t="s">
        <v>36</v>
      </c>
      <c r="F116" s="85">
        <f t="shared" si="8"/>
        <v>1.2190476190476191E-2</v>
      </c>
      <c r="G116" s="86">
        <v>934195.59009523806</v>
      </c>
      <c r="H116" s="12"/>
      <c r="I116" s="12"/>
    </row>
    <row r="117" spans="2:9" x14ac:dyDescent="0.3">
      <c r="B117" s="116"/>
      <c r="C117" s="118"/>
      <c r="D117" s="120"/>
      <c r="E117" s="66" t="s">
        <v>37</v>
      </c>
      <c r="F117" s="85">
        <f t="shared" si="8"/>
        <v>4.5714285714285718E-3</v>
      </c>
      <c r="G117" s="86">
        <v>350323.3462857143</v>
      </c>
      <c r="H117" s="12"/>
      <c r="I117" s="12"/>
    </row>
    <row r="118" spans="2:9" x14ac:dyDescent="0.3">
      <c r="B118" s="116"/>
      <c r="C118" s="118"/>
      <c r="D118" s="120"/>
      <c r="E118" s="66" t="s">
        <v>69</v>
      </c>
      <c r="F118" s="85">
        <f t="shared" si="8"/>
        <v>7.0857142857142855E-2</v>
      </c>
      <c r="G118" s="86">
        <v>5430011.867428571</v>
      </c>
      <c r="H118" s="12"/>
      <c r="I118" s="12"/>
    </row>
    <row r="119" spans="2:9" x14ac:dyDescent="0.3">
      <c r="B119" s="116"/>
      <c r="C119" s="118"/>
      <c r="D119" s="120"/>
      <c r="E119" s="66" t="s">
        <v>38</v>
      </c>
      <c r="F119" s="85">
        <f t="shared" si="8"/>
        <v>7.0857142857142855E-2</v>
      </c>
      <c r="G119" s="86">
        <v>5430011.867428571</v>
      </c>
      <c r="H119" s="12"/>
      <c r="I119" s="12"/>
    </row>
    <row r="120" spans="2:9" x14ac:dyDescent="0.3">
      <c r="B120" s="114" t="s">
        <v>76</v>
      </c>
      <c r="C120" s="114"/>
      <c r="D120" s="114"/>
      <c r="E120" s="114"/>
      <c r="F120" s="84">
        <f>SUM(F105:F119)</f>
        <v>1.0000000000000002</v>
      </c>
      <c r="G120" s="81">
        <f>SUM(G105:G119)</f>
        <v>76633232</v>
      </c>
      <c r="H120" s="72">
        <f>SUM(H105:H119)</f>
        <v>0</v>
      </c>
      <c r="I120" s="72">
        <f>SUM(I105:I119)</f>
        <v>0</v>
      </c>
    </row>
    <row r="122" spans="2:9" ht="49.5" x14ac:dyDescent="0.3">
      <c r="B122" s="79" t="s">
        <v>11</v>
      </c>
      <c r="C122" s="79" t="s">
        <v>5</v>
      </c>
      <c r="D122" s="79" t="s">
        <v>6</v>
      </c>
      <c r="E122" s="79" t="s">
        <v>7</v>
      </c>
      <c r="F122" s="79" t="s">
        <v>52</v>
      </c>
      <c r="G122" s="81" t="s">
        <v>8</v>
      </c>
      <c r="H122" s="54" t="s">
        <v>9</v>
      </c>
      <c r="I122" s="54" t="s">
        <v>10</v>
      </c>
    </row>
    <row r="123" spans="2:9" x14ac:dyDescent="0.3">
      <c r="B123" s="115" t="s">
        <v>41</v>
      </c>
      <c r="C123" s="117">
        <v>10</v>
      </c>
      <c r="D123" s="119" t="s">
        <v>42</v>
      </c>
      <c r="E123" s="66" t="s">
        <v>29</v>
      </c>
      <c r="F123" s="85">
        <f>G123/$G$138</f>
        <v>2.6285714285714291E-2</v>
      </c>
      <c r="G123" s="86">
        <v>280686.848</v>
      </c>
      <c r="H123" s="12"/>
      <c r="I123" s="12"/>
    </row>
    <row r="124" spans="2:9" x14ac:dyDescent="0.3">
      <c r="B124" s="116"/>
      <c r="C124" s="118"/>
      <c r="D124" s="120"/>
      <c r="E124" s="66" t="s">
        <v>30</v>
      </c>
      <c r="F124" s="85">
        <f t="shared" ref="F124:F137" si="9">G124/$G$138</f>
        <v>8.266666666666668E-2</v>
      </c>
      <c r="G124" s="86">
        <v>882739.79733333329</v>
      </c>
      <c r="H124" s="12"/>
      <c r="I124" s="12"/>
    </row>
    <row r="125" spans="2:9" x14ac:dyDescent="0.3">
      <c r="B125" s="116"/>
      <c r="C125" s="118"/>
      <c r="D125" s="120"/>
      <c r="E125" s="66" t="s">
        <v>31</v>
      </c>
      <c r="F125" s="85">
        <f t="shared" si="9"/>
        <v>0.10628571428571429</v>
      </c>
      <c r="G125" s="86">
        <v>1134951.1679999998</v>
      </c>
      <c r="H125" s="12"/>
      <c r="I125" s="12"/>
    </row>
    <row r="126" spans="2:9" x14ac:dyDescent="0.3">
      <c r="B126" s="116"/>
      <c r="C126" s="118"/>
      <c r="D126" s="120"/>
      <c r="E126" s="66" t="s">
        <v>32</v>
      </c>
      <c r="F126" s="85">
        <f t="shared" si="9"/>
        <v>8.266666666666668E-2</v>
      </c>
      <c r="G126" s="86">
        <v>882739.79733333329</v>
      </c>
      <c r="H126" s="12"/>
      <c r="I126" s="12"/>
    </row>
    <row r="127" spans="2:9" x14ac:dyDescent="0.3">
      <c r="B127" s="116"/>
      <c r="C127" s="118"/>
      <c r="D127" s="120"/>
      <c r="E127" s="66" t="s">
        <v>27</v>
      </c>
      <c r="F127" s="85">
        <f t="shared" si="9"/>
        <v>9.4476190476190491E-2</v>
      </c>
      <c r="G127" s="86">
        <v>1008845.4826666666</v>
      </c>
      <c r="H127" s="12"/>
      <c r="I127" s="12"/>
    </row>
    <row r="128" spans="2:9" x14ac:dyDescent="0.3">
      <c r="B128" s="116"/>
      <c r="C128" s="118"/>
      <c r="D128" s="120"/>
      <c r="E128" s="66" t="s">
        <v>33</v>
      </c>
      <c r="F128" s="85">
        <f t="shared" si="9"/>
        <v>9.4476190476190491E-2</v>
      </c>
      <c r="G128" s="86">
        <v>1008845.4826666666</v>
      </c>
      <c r="H128" s="12"/>
      <c r="I128" s="12"/>
    </row>
    <row r="129" spans="2:9" x14ac:dyDescent="0.3">
      <c r="B129" s="116"/>
      <c r="C129" s="118"/>
      <c r="D129" s="120"/>
      <c r="E129" s="66" t="s">
        <v>66</v>
      </c>
      <c r="F129" s="85">
        <f t="shared" si="9"/>
        <v>0.10628571428571429</v>
      </c>
      <c r="G129" s="86">
        <v>1134951.1679999998</v>
      </c>
      <c r="H129" s="12"/>
      <c r="I129" s="12"/>
    </row>
    <row r="130" spans="2:9" x14ac:dyDescent="0.3">
      <c r="B130" s="116"/>
      <c r="C130" s="118"/>
      <c r="D130" s="120"/>
      <c r="E130" s="66" t="s">
        <v>67</v>
      </c>
      <c r="F130" s="85">
        <f t="shared" si="9"/>
        <v>4.7619047619047623E-2</v>
      </c>
      <c r="G130" s="86">
        <v>508490.66666666663</v>
      </c>
      <c r="H130" s="12"/>
      <c r="I130" s="12"/>
    </row>
    <row r="131" spans="2:9" x14ac:dyDescent="0.3">
      <c r="B131" s="116"/>
      <c r="C131" s="118"/>
      <c r="D131" s="120"/>
      <c r="E131" s="66" t="s">
        <v>34</v>
      </c>
      <c r="F131" s="85">
        <f t="shared" si="9"/>
        <v>2.3619047619047623E-2</v>
      </c>
      <c r="G131" s="86">
        <v>252211.37066666665</v>
      </c>
      <c r="H131" s="12"/>
      <c r="I131" s="12"/>
    </row>
    <row r="132" spans="2:9" x14ac:dyDescent="0.3">
      <c r="B132" s="116"/>
      <c r="C132" s="118"/>
      <c r="D132" s="120"/>
      <c r="E132" s="66" t="s">
        <v>35</v>
      </c>
      <c r="F132" s="85">
        <f t="shared" si="9"/>
        <v>0.10628571428571429</v>
      </c>
      <c r="G132" s="86">
        <v>1134951.1679999998</v>
      </c>
      <c r="H132" s="12"/>
      <c r="I132" s="12"/>
    </row>
    <row r="133" spans="2:9" x14ac:dyDescent="0.3">
      <c r="B133" s="116"/>
      <c r="C133" s="118"/>
      <c r="D133" s="120"/>
      <c r="E133" s="66" t="s">
        <v>68</v>
      </c>
      <c r="F133" s="85">
        <f t="shared" si="9"/>
        <v>7.0857142857142869E-2</v>
      </c>
      <c r="G133" s="86">
        <v>756634.11199999996</v>
      </c>
      <c r="H133" s="12"/>
      <c r="I133" s="12"/>
    </row>
    <row r="134" spans="2:9" x14ac:dyDescent="0.3">
      <c r="B134" s="116"/>
      <c r="C134" s="118"/>
      <c r="D134" s="120"/>
      <c r="E134" s="66" t="s">
        <v>36</v>
      </c>
      <c r="F134" s="85">
        <f t="shared" si="9"/>
        <v>1.2190476190476193E-2</v>
      </c>
      <c r="G134" s="86">
        <v>130173.61066666666</v>
      </c>
      <c r="H134" s="12"/>
      <c r="I134" s="12"/>
    </row>
    <row r="135" spans="2:9" x14ac:dyDescent="0.3">
      <c r="B135" s="116"/>
      <c r="C135" s="118"/>
      <c r="D135" s="120"/>
      <c r="E135" s="66" t="s">
        <v>37</v>
      </c>
      <c r="F135" s="85">
        <f t="shared" si="9"/>
        <v>4.5714285714285718E-3</v>
      </c>
      <c r="G135" s="86">
        <v>48815.103999999999</v>
      </c>
      <c r="H135" s="12"/>
      <c r="I135" s="12"/>
    </row>
    <row r="136" spans="2:9" x14ac:dyDescent="0.3">
      <c r="B136" s="116"/>
      <c r="C136" s="118"/>
      <c r="D136" s="120"/>
      <c r="E136" s="66" t="s">
        <v>69</v>
      </c>
      <c r="F136" s="85">
        <f t="shared" si="9"/>
        <v>7.0857142857142869E-2</v>
      </c>
      <c r="G136" s="86">
        <v>756634.11199999996</v>
      </c>
      <c r="H136" s="12"/>
      <c r="I136" s="12"/>
    </row>
    <row r="137" spans="2:9" x14ac:dyDescent="0.3">
      <c r="B137" s="116"/>
      <c r="C137" s="118"/>
      <c r="D137" s="120"/>
      <c r="E137" s="66" t="s">
        <v>38</v>
      </c>
      <c r="F137" s="85">
        <f t="shared" si="9"/>
        <v>7.0857142857142869E-2</v>
      </c>
      <c r="G137" s="86">
        <v>756634.11199999996</v>
      </c>
      <c r="H137" s="12"/>
      <c r="I137" s="12"/>
    </row>
    <row r="138" spans="2:9" x14ac:dyDescent="0.3">
      <c r="B138" s="114" t="s">
        <v>73</v>
      </c>
      <c r="C138" s="114"/>
      <c r="D138" s="114"/>
      <c r="E138" s="114"/>
      <c r="F138" s="84">
        <f>SUM(F123:F137)</f>
        <v>1.0000000000000002</v>
      </c>
      <c r="G138" s="81">
        <f>SUM(G123:G137)</f>
        <v>10678303.999999998</v>
      </c>
      <c r="H138" s="72">
        <f>SUM(H123:H137)</f>
        <v>0</v>
      </c>
      <c r="I138" s="72">
        <f>SUM(I123:I137)</f>
        <v>0</v>
      </c>
    </row>
    <row r="140" spans="2:9" ht="49.5" x14ac:dyDescent="0.3">
      <c r="B140" s="79" t="s">
        <v>11</v>
      </c>
      <c r="C140" s="79" t="s">
        <v>5</v>
      </c>
      <c r="D140" s="79" t="s">
        <v>6</v>
      </c>
      <c r="E140" s="79" t="s">
        <v>7</v>
      </c>
      <c r="F140" s="79" t="s">
        <v>52</v>
      </c>
      <c r="G140" s="81" t="s">
        <v>8</v>
      </c>
      <c r="H140" s="54" t="s">
        <v>9</v>
      </c>
      <c r="I140" s="54" t="s">
        <v>10</v>
      </c>
    </row>
    <row r="141" spans="2:9" x14ac:dyDescent="0.3">
      <c r="B141" s="115" t="s">
        <v>43</v>
      </c>
      <c r="C141" s="117">
        <v>10</v>
      </c>
      <c r="D141" s="119" t="s">
        <v>44</v>
      </c>
      <c r="E141" s="66" t="s">
        <v>29</v>
      </c>
      <c r="F141" s="85">
        <f>G141/$G$156</f>
        <v>2.6285714285714287E-2</v>
      </c>
      <c r="G141" s="86">
        <v>562100.86400000006</v>
      </c>
      <c r="H141" s="12"/>
      <c r="I141" s="12"/>
    </row>
    <row r="142" spans="2:9" x14ac:dyDescent="0.3">
      <c r="B142" s="116"/>
      <c r="C142" s="118"/>
      <c r="D142" s="120"/>
      <c r="E142" s="66" t="s">
        <v>30</v>
      </c>
      <c r="F142" s="85">
        <f t="shared" ref="F142:F155" si="10">G142/$G$156</f>
        <v>8.266666666666668E-2</v>
      </c>
      <c r="G142" s="86">
        <v>1767766.4853333335</v>
      </c>
      <c r="H142" s="12"/>
      <c r="I142" s="12"/>
    </row>
    <row r="143" spans="2:9" x14ac:dyDescent="0.3">
      <c r="B143" s="116"/>
      <c r="C143" s="118"/>
      <c r="D143" s="120"/>
      <c r="E143" s="66" t="s">
        <v>31</v>
      </c>
      <c r="F143" s="85">
        <f t="shared" si="10"/>
        <v>0.10628571428571428</v>
      </c>
      <c r="G143" s="86">
        <v>2272842.6239999998</v>
      </c>
      <c r="H143" s="12"/>
      <c r="I143" s="12"/>
    </row>
    <row r="144" spans="2:9" x14ac:dyDescent="0.3">
      <c r="B144" s="116"/>
      <c r="C144" s="118"/>
      <c r="D144" s="120"/>
      <c r="E144" s="66" t="s">
        <v>32</v>
      </c>
      <c r="F144" s="85">
        <f t="shared" si="10"/>
        <v>8.266666666666668E-2</v>
      </c>
      <c r="G144" s="86">
        <v>1767766.4853333335</v>
      </c>
      <c r="H144" s="12"/>
      <c r="I144" s="12"/>
    </row>
    <row r="145" spans="2:9" x14ac:dyDescent="0.3">
      <c r="B145" s="116"/>
      <c r="C145" s="118"/>
      <c r="D145" s="120"/>
      <c r="E145" s="66" t="s">
        <v>27</v>
      </c>
      <c r="F145" s="85">
        <f t="shared" si="10"/>
        <v>9.4476190476190477E-2</v>
      </c>
      <c r="G145" s="86">
        <v>2020304.5546666668</v>
      </c>
      <c r="H145" s="12"/>
      <c r="I145" s="12"/>
    </row>
    <row r="146" spans="2:9" x14ac:dyDescent="0.3">
      <c r="B146" s="116"/>
      <c r="C146" s="118"/>
      <c r="D146" s="120"/>
      <c r="E146" s="66" t="s">
        <v>33</v>
      </c>
      <c r="F146" s="85">
        <f t="shared" si="10"/>
        <v>9.4476190476190477E-2</v>
      </c>
      <c r="G146" s="86">
        <v>2020304.5546666668</v>
      </c>
      <c r="H146" s="12"/>
      <c r="I146" s="12"/>
    </row>
    <row r="147" spans="2:9" x14ac:dyDescent="0.3">
      <c r="B147" s="116"/>
      <c r="C147" s="118"/>
      <c r="D147" s="120"/>
      <c r="E147" s="66" t="s">
        <v>66</v>
      </c>
      <c r="F147" s="85">
        <f t="shared" si="10"/>
        <v>0.10628571428571428</v>
      </c>
      <c r="G147" s="86">
        <v>2272842.6239999998</v>
      </c>
      <c r="H147" s="12"/>
      <c r="I147" s="12"/>
    </row>
    <row r="148" spans="2:9" x14ac:dyDescent="0.3">
      <c r="B148" s="116"/>
      <c r="C148" s="118"/>
      <c r="D148" s="120"/>
      <c r="E148" s="66" t="s">
        <v>67</v>
      </c>
      <c r="F148" s="85">
        <f t="shared" si="10"/>
        <v>4.7619047619047623E-2</v>
      </c>
      <c r="G148" s="86">
        <v>1018298.6666666667</v>
      </c>
      <c r="H148" s="12"/>
      <c r="I148" s="12"/>
    </row>
    <row r="149" spans="2:9" x14ac:dyDescent="0.3">
      <c r="B149" s="116"/>
      <c r="C149" s="118"/>
      <c r="D149" s="120"/>
      <c r="E149" s="66" t="s">
        <v>34</v>
      </c>
      <c r="F149" s="85">
        <f t="shared" si="10"/>
        <v>2.3619047619047619E-2</v>
      </c>
      <c r="G149" s="86">
        <v>505076.13866666669</v>
      </c>
      <c r="H149" s="12"/>
      <c r="I149" s="12"/>
    </row>
    <row r="150" spans="2:9" x14ac:dyDescent="0.3">
      <c r="B150" s="116"/>
      <c r="C150" s="118"/>
      <c r="D150" s="120"/>
      <c r="E150" s="66" t="s">
        <v>35</v>
      </c>
      <c r="F150" s="85">
        <f t="shared" si="10"/>
        <v>0.10628571428571428</v>
      </c>
      <c r="G150" s="86">
        <v>2272842.6239999998</v>
      </c>
      <c r="H150" s="12"/>
      <c r="I150" s="12"/>
    </row>
    <row r="151" spans="2:9" x14ac:dyDescent="0.3">
      <c r="B151" s="116"/>
      <c r="C151" s="118"/>
      <c r="D151" s="120"/>
      <c r="E151" s="66" t="s">
        <v>68</v>
      </c>
      <c r="F151" s="85">
        <f t="shared" si="10"/>
        <v>7.0857142857142855E-2</v>
      </c>
      <c r="G151" s="86">
        <v>1515228.416</v>
      </c>
      <c r="H151" s="12"/>
      <c r="I151" s="12"/>
    </row>
    <row r="152" spans="2:9" x14ac:dyDescent="0.3">
      <c r="B152" s="116"/>
      <c r="C152" s="118"/>
      <c r="D152" s="120"/>
      <c r="E152" s="66" t="s">
        <v>36</v>
      </c>
      <c r="F152" s="85">
        <f t="shared" si="10"/>
        <v>1.2190476190476191E-2</v>
      </c>
      <c r="G152" s="86">
        <v>260684.45866666667</v>
      </c>
      <c r="H152" s="12"/>
      <c r="I152" s="12"/>
    </row>
    <row r="153" spans="2:9" x14ac:dyDescent="0.3">
      <c r="B153" s="116"/>
      <c r="C153" s="118"/>
      <c r="D153" s="120"/>
      <c r="E153" s="66" t="s">
        <v>37</v>
      </c>
      <c r="F153" s="85">
        <f t="shared" si="10"/>
        <v>4.5714285714285718E-3</v>
      </c>
      <c r="G153" s="86">
        <v>97756.672000000006</v>
      </c>
      <c r="H153" s="12"/>
      <c r="I153" s="12"/>
    </row>
    <row r="154" spans="2:9" x14ac:dyDescent="0.3">
      <c r="B154" s="116"/>
      <c r="C154" s="118"/>
      <c r="D154" s="120"/>
      <c r="E154" s="66" t="s">
        <v>69</v>
      </c>
      <c r="F154" s="85">
        <f t="shared" si="10"/>
        <v>7.0857142857142855E-2</v>
      </c>
      <c r="G154" s="86">
        <v>1515228.416</v>
      </c>
      <c r="H154" s="12"/>
      <c r="I154" s="12"/>
    </row>
    <row r="155" spans="2:9" x14ac:dyDescent="0.3">
      <c r="B155" s="116"/>
      <c r="C155" s="118"/>
      <c r="D155" s="120"/>
      <c r="E155" s="66" t="s">
        <v>38</v>
      </c>
      <c r="F155" s="85">
        <f t="shared" si="10"/>
        <v>7.0857142857142855E-2</v>
      </c>
      <c r="G155" s="86">
        <v>1515228.416</v>
      </c>
      <c r="H155" s="12"/>
      <c r="I155" s="12"/>
    </row>
    <row r="156" spans="2:9" x14ac:dyDescent="0.3">
      <c r="B156" s="114" t="s">
        <v>77</v>
      </c>
      <c r="C156" s="114"/>
      <c r="D156" s="114"/>
      <c r="E156" s="114"/>
      <c r="F156" s="84">
        <f>SUM(F141:F155)</f>
        <v>1.0000000000000002</v>
      </c>
      <c r="G156" s="81">
        <f>SUM(G141:G155)</f>
        <v>21384272</v>
      </c>
      <c r="H156" s="72">
        <f>SUM(H141:H155)</f>
        <v>0</v>
      </c>
      <c r="I156" s="72">
        <f>SUM(I141:I155)</f>
        <v>0</v>
      </c>
    </row>
    <row r="158" spans="2:9" ht="49.5" x14ac:dyDescent="0.3">
      <c r="B158" s="79" t="s">
        <v>11</v>
      </c>
      <c r="C158" s="79" t="s">
        <v>5</v>
      </c>
      <c r="D158" s="79" t="s">
        <v>6</v>
      </c>
      <c r="E158" s="79" t="s">
        <v>7</v>
      </c>
      <c r="F158" s="79" t="s">
        <v>52</v>
      </c>
      <c r="G158" s="81" t="s">
        <v>8</v>
      </c>
      <c r="H158" s="54" t="s">
        <v>9</v>
      </c>
      <c r="I158" s="54" t="s">
        <v>10</v>
      </c>
    </row>
    <row r="159" spans="2:9" x14ac:dyDescent="0.3">
      <c r="B159" s="115" t="s">
        <v>60</v>
      </c>
      <c r="C159" s="117">
        <v>10</v>
      </c>
      <c r="D159" s="119" t="s">
        <v>61</v>
      </c>
      <c r="E159" s="66" t="s">
        <v>29</v>
      </c>
      <c r="F159" s="85">
        <f>G159/$G$174</f>
        <v>2.628571428571428E-2</v>
      </c>
      <c r="G159" s="86">
        <v>1344689.4537142857</v>
      </c>
      <c r="H159" s="12"/>
      <c r="I159" s="12"/>
    </row>
    <row r="160" spans="2:9" x14ac:dyDescent="0.3">
      <c r="B160" s="116"/>
      <c r="C160" s="118"/>
      <c r="D160" s="120"/>
      <c r="E160" s="66" t="s">
        <v>30</v>
      </c>
      <c r="F160" s="85">
        <f t="shared" ref="F160:F173" si="11">G160/$G$174</f>
        <v>8.2666666666666652E-2</v>
      </c>
      <c r="G160" s="86">
        <v>4228950.8906666674</v>
      </c>
      <c r="H160" s="12"/>
      <c r="I160" s="12"/>
    </row>
    <row r="161" spans="2:9" x14ac:dyDescent="0.3">
      <c r="B161" s="116"/>
      <c r="C161" s="118"/>
      <c r="D161" s="120"/>
      <c r="E161" s="66" t="s">
        <v>31</v>
      </c>
      <c r="F161" s="85">
        <f t="shared" si="11"/>
        <v>0.10628571428571426</v>
      </c>
      <c r="G161" s="86">
        <v>5437222.5737142861</v>
      </c>
      <c r="H161" s="12"/>
      <c r="I161" s="12"/>
    </row>
    <row r="162" spans="2:9" x14ac:dyDescent="0.3">
      <c r="B162" s="116"/>
      <c r="C162" s="118"/>
      <c r="D162" s="120"/>
      <c r="E162" s="66" t="s">
        <v>32</v>
      </c>
      <c r="F162" s="85">
        <f t="shared" si="11"/>
        <v>8.2666666666666652E-2</v>
      </c>
      <c r="G162" s="86">
        <v>4228950.8906666674</v>
      </c>
      <c r="H162" s="12"/>
      <c r="I162" s="12"/>
    </row>
    <row r="163" spans="2:9" x14ac:dyDescent="0.3">
      <c r="B163" s="116"/>
      <c r="C163" s="118"/>
      <c r="D163" s="120"/>
      <c r="E163" s="66" t="s">
        <v>27</v>
      </c>
      <c r="F163" s="85">
        <f t="shared" si="11"/>
        <v>9.4476190476190464E-2</v>
      </c>
      <c r="G163" s="86">
        <v>4833086.7321904767</v>
      </c>
      <c r="H163" s="12"/>
      <c r="I163" s="12"/>
    </row>
    <row r="164" spans="2:9" x14ac:dyDescent="0.3">
      <c r="B164" s="116"/>
      <c r="C164" s="118"/>
      <c r="D164" s="120"/>
      <c r="E164" s="66" t="s">
        <v>33</v>
      </c>
      <c r="F164" s="85">
        <f t="shared" si="11"/>
        <v>9.4476190476190464E-2</v>
      </c>
      <c r="G164" s="86">
        <v>4833086.7321904767</v>
      </c>
      <c r="H164" s="12"/>
      <c r="I164" s="12"/>
    </row>
    <row r="165" spans="2:9" x14ac:dyDescent="0.3">
      <c r="B165" s="116"/>
      <c r="C165" s="118"/>
      <c r="D165" s="120"/>
      <c r="E165" s="66" t="s">
        <v>66</v>
      </c>
      <c r="F165" s="85">
        <f t="shared" si="11"/>
        <v>0.10628571428571426</v>
      </c>
      <c r="G165" s="86">
        <v>5437222.5737142861</v>
      </c>
      <c r="H165" s="12"/>
      <c r="I165" s="12"/>
    </row>
    <row r="166" spans="2:9" x14ac:dyDescent="0.3">
      <c r="B166" s="116"/>
      <c r="C166" s="118"/>
      <c r="D166" s="120"/>
      <c r="E166" s="66" t="s">
        <v>67</v>
      </c>
      <c r="F166" s="85">
        <f t="shared" si="11"/>
        <v>4.7619047619047609E-2</v>
      </c>
      <c r="G166" s="86">
        <v>2436031.6190476194</v>
      </c>
      <c r="H166" s="12"/>
      <c r="I166" s="12"/>
    </row>
    <row r="167" spans="2:9" x14ac:dyDescent="0.3">
      <c r="B167" s="116"/>
      <c r="C167" s="118"/>
      <c r="D167" s="120"/>
      <c r="E167" s="66" t="s">
        <v>34</v>
      </c>
      <c r="F167" s="85">
        <f t="shared" si="11"/>
        <v>2.3619047619047616E-2</v>
      </c>
      <c r="G167" s="86">
        <v>1208271.6830476192</v>
      </c>
      <c r="H167" s="12"/>
      <c r="I167" s="12"/>
    </row>
    <row r="168" spans="2:9" x14ac:dyDescent="0.3">
      <c r="B168" s="116"/>
      <c r="C168" s="118"/>
      <c r="D168" s="120"/>
      <c r="E168" s="66" t="s">
        <v>35</v>
      </c>
      <c r="F168" s="85">
        <f t="shared" si="11"/>
        <v>0.10628571428571426</v>
      </c>
      <c r="G168" s="86">
        <v>5437222.5737142861</v>
      </c>
      <c r="H168" s="12"/>
      <c r="I168" s="12"/>
    </row>
    <row r="169" spans="2:9" x14ac:dyDescent="0.3">
      <c r="B169" s="116"/>
      <c r="C169" s="118"/>
      <c r="D169" s="120"/>
      <c r="E169" s="66" t="s">
        <v>68</v>
      </c>
      <c r="F169" s="85">
        <f t="shared" si="11"/>
        <v>7.0857142857142841E-2</v>
      </c>
      <c r="G169" s="86">
        <v>3624815.0491428575</v>
      </c>
      <c r="H169" s="12"/>
      <c r="I169" s="12"/>
    </row>
    <row r="170" spans="2:9" x14ac:dyDescent="0.3">
      <c r="B170" s="116"/>
      <c r="C170" s="118"/>
      <c r="D170" s="120"/>
      <c r="E170" s="66" t="s">
        <v>36</v>
      </c>
      <c r="F170" s="85">
        <f t="shared" si="11"/>
        <v>1.2190476190476187E-2</v>
      </c>
      <c r="G170" s="86">
        <v>623624.09447619051</v>
      </c>
      <c r="H170" s="12"/>
      <c r="I170" s="12"/>
    </row>
    <row r="171" spans="2:9" x14ac:dyDescent="0.3">
      <c r="B171" s="116"/>
      <c r="C171" s="118"/>
      <c r="D171" s="120"/>
      <c r="E171" s="66" t="s">
        <v>37</v>
      </c>
      <c r="F171" s="85">
        <f t="shared" si="11"/>
        <v>4.5714285714285709E-3</v>
      </c>
      <c r="G171" s="86">
        <v>233859.03542857146</v>
      </c>
      <c r="H171" s="12"/>
      <c r="I171" s="12"/>
    </row>
    <row r="172" spans="2:9" x14ac:dyDescent="0.3">
      <c r="B172" s="116"/>
      <c r="C172" s="118"/>
      <c r="D172" s="120"/>
      <c r="E172" s="66" t="s">
        <v>69</v>
      </c>
      <c r="F172" s="85">
        <f t="shared" si="11"/>
        <v>7.0857142857142841E-2</v>
      </c>
      <c r="G172" s="86">
        <v>3624815.0491428575</v>
      </c>
      <c r="H172" s="12"/>
      <c r="I172" s="12"/>
    </row>
    <row r="173" spans="2:9" x14ac:dyDescent="0.3">
      <c r="B173" s="116"/>
      <c r="C173" s="118"/>
      <c r="D173" s="120"/>
      <c r="E173" s="66" t="s">
        <v>38</v>
      </c>
      <c r="F173" s="85">
        <f t="shared" si="11"/>
        <v>7.0857142857142841E-2</v>
      </c>
      <c r="G173" s="86">
        <v>3624815.0491428575</v>
      </c>
      <c r="H173" s="12"/>
      <c r="I173" s="12"/>
    </row>
    <row r="174" spans="2:9" x14ac:dyDescent="0.3">
      <c r="B174" s="114" t="s">
        <v>74</v>
      </c>
      <c r="C174" s="114"/>
      <c r="D174" s="114"/>
      <c r="E174" s="114"/>
      <c r="F174" s="84">
        <f>SUM(F159:F173)</f>
        <v>0.99999999999999967</v>
      </c>
      <c r="G174" s="81">
        <f>SUM(G159:G173)</f>
        <v>51156664.000000015</v>
      </c>
      <c r="H174" s="81">
        <f>SUM(H159:H173)</f>
        <v>0</v>
      </c>
      <c r="I174" s="81">
        <f>SUM(I159:I173)</f>
        <v>0</v>
      </c>
    </row>
    <row r="176" spans="2:9" ht="15.75" customHeight="1" x14ac:dyDescent="0.3">
      <c r="H176" s="18"/>
      <c r="I176" s="18"/>
    </row>
  </sheetData>
  <mergeCells count="36">
    <mergeCell ref="C22:C28"/>
    <mergeCell ref="B29:E29"/>
    <mergeCell ref="B20:G20"/>
    <mergeCell ref="B51:B65"/>
    <mergeCell ref="C51:C65"/>
    <mergeCell ref="D51:D65"/>
    <mergeCell ref="C33:C47"/>
    <mergeCell ref="B33:B47"/>
    <mergeCell ref="B48:E48"/>
    <mergeCell ref="B31:G31"/>
    <mergeCell ref="D33:D47"/>
    <mergeCell ref="B66:E66"/>
    <mergeCell ref="B69:B83"/>
    <mergeCell ref="C69:C83"/>
    <mergeCell ref="D69:D83"/>
    <mergeCell ref="B84:E84"/>
    <mergeCell ref="B87:B101"/>
    <mergeCell ref="C87:C101"/>
    <mergeCell ref="D87:D101"/>
    <mergeCell ref="B102:E102"/>
    <mergeCell ref="B105:B119"/>
    <mergeCell ref="C105:C119"/>
    <mergeCell ref="D105:D119"/>
    <mergeCell ref="B120:E120"/>
    <mergeCell ref="B123:B137"/>
    <mergeCell ref="C123:C137"/>
    <mergeCell ref="D123:D137"/>
    <mergeCell ref="B138:E138"/>
    <mergeCell ref="B174:E174"/>
    <mergeCell ref="B141:B155"/>
    <mergeCell ref="C141:C155"/>
    <mergeCell ref="D141:D155"/>
    <mergeCell ref="B156:E156"/>
    <mergeCell ref="B159:B173"/>
    <mergeCell ref="C159:C173"/>
    <mergeCell ref="D159:D173"/>
  </mergeCells>
  <pageMargins left="0.7" right="0.7" top="0.75" bottom="0.75" header="0.3" footer="0.3"/>
  <pageSetup paperSize="9" orientation="portrait" horizontalDpi="1200" verticalDpi="1200" r:id="rId1"/>
  <ignoredErrors>
    <ignoredError sqref="F33:G48 F51:G17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CL91"/>
  <sheetViews>
    <sheetView showGridLines="0" tabSelected="1" topLeftCell="E1" zoomScale="85" zoomScaleNormal="85" workbookViewId="0">
      <selection activeCell="F13" sqref="F13"/>
    </sheetView>
  </sheetViews>
  <sheetFormatPr baseColWidth="10" defaultRowHeight="16.5" x14ac:dyDescent="0.3"/>
  <cols>
    <col min="1" max="1" width="4.140625" customWidth="1"/>
    <col min="2" max="2" width="7" style="2" customWidth="1"/>
    <col min="3" max="3" width="12.42578125" style="2" hidden="1" customWidth="1"/>
    <col min="4" max="4" width="35" style="36" customWidth="1"/>
    <col min="5" max="5" width="13.42578125" style="2" customWidth="1"/>
    <col min="6" max="6" width="20.7109375" style="2" customWidth="1"/>
    <col min="7" max="8" width="12.42578125" style="2" customWidth="1"/>
    <col min="9" max="9" width="19.140625" style="2" customWidth="1"/>
    <col min="10" max="10" width="12" style="2" customWidth="1"/>
    <col min="11" max="25" width="4.28515625" style="2" customWidth="1"/>
    <col min="26" max="26" width="13.42578125" style="2" customWidth="1"/>
    <col min="27" max="27" width="9" style="2" customWidth="1"/>
    <col min="28" max="28" width="14.140625" style="2" customWidth="1"/>
    <col min="29" max="29" width="16.28515625" style="2" customWidth="1"/>
    <col min="30" max="32" width="8.28515625" style="9" customWidth="1"/>
    <col min="33" max="33" width="16.140625" style="9" customWidth="1"/>
    <col min="34" max="36" width="6.85546875" style="9" customWidth="1"/>
    <col min="37" max="37" width="14.85546875" style="9" customWidth="1"/>
    <col min="38" max="40" width="5" style="9" customWidth="1"/>
    <col min="41" max="41" width="13.85546875" style="9" customWidth="1"/>
    <col min="42" max="44" width="5.5703125" style="9" customWidth="1"/>
    <col min="45" max="45" width="13.85546875" style="9" customWidth="1"/>
    <col min="46" max="48" width="6" style="9" customWidth="1"/>
    <col min="49" max="49" width="13.85546875" style="9" customWidth="1"/>
    <col min="50" max="52" width="7" style="9" customWidth="1"/>
    <col min="53" max="53" width="13.85546875" style="9" customWidth="1"/>
    <col min="54" max="56" width="6.28515625" style="9" customWidth="1"/>
    <col min="57" max="57" width="13.85546875" style="9" customWidth="1"/>
    <col min="58" max="60" width="6.7109375" style="9" customWidth="1"/>
    <col min="61" max="61" width="13.85546875" style="9" customWidth="1"/>
    <col min="62" max="64" width="6.85546875" style="9" customWidth="1"/>
    <col min="65" max="65" width="13.85546875" style="9" customWidth="1"/>
    <col min="66" max="68" width="7.28515625" style="9" customWidth="1"/>
    <col min="69" max="69" width="13.85546875" style="9" customWidth="1"/>
    <col min="70" max="72" width="6.85546875" style="9" customWidth="1"/>
    <col min="73" max="73" width="13.85546875" style="9" customWidth="1"/>
    <col min="74" max="74" width="7.42578125" style="9" customWidth="1"/>
    <col min="75" max="75" width="3.85546875" style="9" customWidth="1"/>
    <col min="76" max="76" width="8.85546875" style="9" customWidth="1"/>
    <col min="77" max="77" width="13.85546875" style="9" customWidth="1"/>
    <col min="78" max="80" width="6.7109375" style="9" customWidth="1"/>
    <col min="81" max="81" width="12.85546875" style="9" customWidth="1"/>
    <col min="82" max="84" width="6.7109375" style="9" customWidth="1"/>
    <col min="85" max="85" width="16.140625" style="9" customWidth="1"/>
    <col min="86" max="88" width="6.85546875" style="9" customWidth="1"/>
    <col min="89" max="89" width="18.140625" style="9" customWidth="1"/>
    <col min="90" max="90" width="17.85546875" bestFit="1" customWidth="1"/>
  </cols>
  <sheetData>
    <row r="1" spans="2:89" s="2" customFormat="1" x14ac:dyDescent="0.3">
      <c r="D1" s="36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</row>
    <row r="2" spans="2:89" s="2" customFormat="1" ht="16.5" customHeight="1" x14ac:dyDescent="0.3">
      <c r="B2" s="159" t="s">
        <v>146</v>
      </c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</row>
    <row r="3" spans="2:89" s="11" customFormat="1" ht="28.5" customHeight="1" x14ac:dyDescent="0.25">
      <c r="B3" s="161" t="str">
        <f>'PLAN DE NECESIDADES'!B4</f>
        <v>ÍTEM</v>
      </c>
      <c r="C3" s="161" t="str">
        <f>'PLAN DE NECESIDADES'!C4</f>
        <v>CÓDIGO DANE</v>
      </c>
      <c r="D3" s="161" t="str">
        <f>'PLAN DE NECESIDADES'!D4</f>
        <v xml:space="preserve">DESCRIPCIÓN DEL BIEN Y/O SERVICIO </v>
      </c>
      <c r="E3" s="161" t="str">
        <f>'PLAN DE NECESIDADES'!E4</f>
        <v>UNIDAD MEDIDA</v>
      </c>
      <c r="F3" s="161" t="str">
        <f>'PLAN DE NECESIDADES'!F4</f>
        <v>EXISTENCIAS (STOCK - INVENTARIOS)</v>
      </c>
      <c r="G3" s="161" t="str">
        <f>'PLAN DE NECESIDADES'!H4</f>
        <v>UNSPSC (CCE)</v>
      </c>
      <c r="H3" s="161" t="str">
        <f>'PLAN DE NECESIDADES'!I4</f>
        <v xml:space="preserve">CÓDIGO MATERIAL SAP </v>
      </c>
      <c r="I3" s="161" t="str">
        <f>'PLAN DE NECESIDADES'!J4</f>
        <v xml:space="preserve">CÓDIGO OTAN - NOC </v>
      </c>
      <c r="J3" s="161" t="s">
        <v>155</v>
      </c>
      <c r="K3" s="139" t="str">
        <f>AD3</f>
        <v>BAABS3</v>
      </c>
      <c r="L3" s="139" t="str">
        <f>AH3</f>
        <v>BAACA10</v>
      </c>
      <c r="M3" s="139" t="str">
        <f>AL3</f>
        <v>BAACA2</v>
      </c>
      <c r="N3" s="139" t="str">
        <f>AP3</f>
        <v>BAADA1</v>
      </c>
      <c r="O3" s="139" t="str">
        <f>AT3</f>
        <v>BAEEV2</v>
      </c>
      <c r="P3" s="139" t="str">
        <f>AX3</f>
        <v>BAEEV3</v>
      </c>
      <c r="Q3" s="139" t="str">
        <f>BB3</f>
        <v>BAMMA7</v>
      </c>
      <c r="R3" s="139" t="str">
        <f>BF3</f>
        <v>BASPC10</v>
      </c>
      <c r="S3" s="139" t="str">
        <f>BJ3</f>
        <v>BASAC</v>
      </c>
      <c r="T3" s="139" t="str">
        <f>BN3</f>
        <v>BICAR</v>
      </c>
      <c r="U3" s="139" t="str">
        <f>BR3</f>
        <v>BIMOC70</v>
      </c>
      <c r="V3" s="139" t="str">
        <f>BV3</f>
        <v>BITER10</v>
      </c>
      <c r="W3" s="139" t="str">
        <f>BZ3</f>
        <v>DIM15</v>
      </c>
      <c r="X3" s="139" t="str">
        <f>CD3</f>
        <v>GMMAT</v>
      </c>
      <c r="Y3" s="139" t="str">
        <f>CH3</f>
        <v>GMRON</v>
      </c>
      <c r="Z3" s="141" t="s">
        <v>13</v>
      </c>
      <c r="AA3" s="141" t="s">
        <v>14</v>
      </c>
      <c r="AB3" s="141" t="s">
        <v>12</v>
      </c>
      <c r="AC3" s="141" t="s">
        <v>4</v>
      </c>
      <c r="AD3" s="144" t="str">
        <f>PRESUPUESTO!E33</f>
        <v>BAABS3</v>
      </c>
      <c r="AE3" s="145"/>
      <c r="AF3" s="145"/>
      <c r="AG3" s="146"/>
      <c r="AH3" s="147" t="s">
        <v>30</v>
      </c>
      <c r="AI3" s="148"/>
      <c r="AJ3" s="148"/>
      <c r="AK3" s="149"/>
      <c r="AL3" s="150" t="s">
        <v>31</v>
      </c>
      <c r="AM3" s="151"/>
      <c r="AN3" s="151"/>
      <c r="AO3" s="152"/>
      <c r="AP3" s="153" t="s">
        <v>32</v>
      </c>
      <c r="AQ3" s="154"/>
      <c r="AR3" s="154"/>
      <c r="AS3" s="155"/>
      <c r="AT3" s="144" t="s">
        <v>27</v>
      </c>
      <c r="AU3" s="145"/>
      <c r="AV3" s="145"/>
      <c r="AW3" s="146"/>
      <c r="AX3" s="147" t="s">
        <v>33</v>
      </c>
      <c r="AY3" s="148"/>
      <c r="AZ3" s="148"/>
      <c r="BA3" s="149"/>
      <c r="BB3" s="150" t="s">
        <v>66</v>
      </c>
      <c r="BC3" s="151"/>
      <c r="BD3" s="151"/>
      <c r="BE3" s="152"/>
      <c r="BF3" s="153" t="s">
        <v>67</v>
      </c>
      <c r="BG3" s="154"/>
      <c r="BH3" s="154"/>
      <c r="BI3" s="155"/>
      <c r="BJ3" s="144" t="s">
        <v>34</v>
      </c>
      <c r="BK3" s="145"/>
      <c r="BL3" s="145"/>
      <c r="BM3" s="146"/>
      <c r="BN3" s="147" t="s">
        <v>35</v>
      </c>
      <c r="BO3" s="148"/>
      <c r="BP3" s="148"/>
      <c r="BQ3" s="149"/>
      <c r="BR3" s="150" t="s">
        <v>68</v>
      </c>
      <c r="BS3" s="151"/>
      <c r="BT3" s="151"/>
      <c r="BU3" s="152"/>
      <c r="BV3" s="153" t="s">
        <v>36</v>
      </c>
      <c r="BW3" s="154"/>
      <c r="BX3" s="154"/>
      <c r="BY3" s="155"/>
      <c r="BZ3" s="144" t="s">
        <v>37</v>
      </c>
      <c r="CA3" s="145"/>
      <c r="CB3" s="145"/>
      <c r="CC3" s="146"/>
      <c r="CD3" s="147" t="s">
        <v>69</v>
      </c>
      <c r="CE3" s="148"/>
      <c r="CF3" s="148"/>
      <c r="CG3" s="149"/>
      <c r="CH3" s="150" t="s">
        <v>38</v>
      </c>
      <c r="CI3" s="151"/>
      <c r="CJ3" s="151"/>
      <c r="CK3" s="152"/>
    </row>
    <row r="4" spans="2:89" s="6" customFormat="1" ht="28.5" customHeight="1" x14ac:dyDescent="0.25">
      <c r="B4" s="162"/>
      <c r="C4" s="162"/>
      <c r="D4" s="162"/>
      <c r="E4" s="162"/>
      <c r="F4" s="162"/>
      <c r="G4" s="162"/>
      <c r="H4" s="162"/>
      <c r="I4" s="162"/>
      <c r="J4" s="162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2"/>
      <c r="AA4" s="142"/>
      <c r="AB4" s="142"/>
      <c r="AC4" s="142"/>
      <c r="AD4" s="20" t="s">
        <v>15</v>
      </c>
      <c r="AE4" s="21" t="s">
        <v>16</v>
      </c>
      <c r="AF4" s="22" t="s">
        <v>17</v>
      </c>
      <c r="AG4" s="20" t="s">
        <v>20</v>
      </c>
      <c r="AH4" s="3" t="s">
        <v>15</v>
      </c>
      <c r="AI4" s="4" t="s">
        <v>16</v>
      </c>
      <c r="AJ4" s="5" t="s">
        <v>17</v>
      </c>
      <c r="AK4" s="3" t="s">
        <v>20</v>
      </c>
      <c r="AL4" s="53" t="s">
        <v>15</v>
      </c>
      <c r="AM4" s="23" t="s">
        <v>16</v>
      </c>
      <c r="AN4" s="24" t="s">
        <v>17</v>
      </c>
      <c r="AO4" s="53" t="s">
        <v>20</v>
      </c>
      <c r="AP4" s="25" t="s">
        <v>15</v>
      </c>
      <c r="AQ4" s="26" t="s">
        <v>16</v>
      </c>
      <c r="AR4" s="27" t="s">
        <v>17</v>
      </c>
      <c r="AS4" s="25" t="s">
        <v>20</v>
      </c>
      <c r="AT4" s="20" t="s">
        <v>15</v>
      </c>
      <c r="AU4" s="21" t="s">
        <v>16</v>
      </c>
      <c r="AV4" s="22" t="s">
        <v>17</v>
      </c>
      <c r="AW4" s="20" t="s">
        <v>20</v>
      </c>
      <c r="AX4" s="3" t="s">
        <v>15</v>
      </c>
      <c r="AY4" s="4" t="s">
        <v>16</v>
      </c>
      <c r="AZ4" s="5" t="s">
        <v>17</v>
      </c>
      <c r="BA4" s="3" t="s">
        <v>20</v>
      </c>
      <c r="BB4" s="53" t="s">
        <v>15</v>
      </c>
      <c r="BC4" s="23" t="s">
        <v>16</v>
      </c>
      <c r="BD4" s="24" t="s">
        <v>17</v>
      </c>
      <c r="BE4" s="53" t="s">
        <v>20</v>
      </c>
      <c r="BF4" s="25" t="s">
        <v>15</v>
      </c>
      <c r="BG4" s="26" t="s">
        <v>16</v>
      </c>
      <c r="BH4" s="27" t="s">
        <v>17</v>
      </c>
      <c r="BI4" s="25" t="s">
        <v>20</v>
      </c>
      <c r="BJ4" s="20" t="s">
        <v>15</v>
      </c>
      <c r="BK4" s="21" t="s">
        <v>16</v>
      </c>
      <c r="BL4" s="22" t="s">
        <v>17</v>
      </c>
      <c r="BM4" s="20" t="s">
        <v>20</v>
      </c>
      <c r="BN4" s="3" t="s">
        <v>15</v>
      </c>
      <c r="BO4" s="4" t="s">
        <v>16</v>
      </c>
      <c r="BP4" s="5" t="s">
        <v>17</v>
      </c>
      <c r="BQ4" s="3" t="s">
        <v>20</v>
      </c>
      <c r="BR4" s="53" t="s">
        <v>15</v>
      </c>
      <c r="BS4" s="23" t="s">
        <v>16</v>
      </c>
      <c r="BT4" s="24" t="s">
        <v>17</v>
      </c>
      <c r="BU4" s="53" t="s">
        <v>20</v>
      </c>
      <c r="BV4" s="25" t="s">
        <v>15</v>
      </c>
      <c r="BW4" s="26" t="s">
        <v>16</v>
      </c>
      <c r="BX4" s="27" t="s">
        <v>17</v>
      </c>
      <c r="BY4" s="25" t="s">
        <v>20</v>
      </c>
      <c r="BZ4" s="20" t="s">
        <v>15</v>
      </c>
      <c r="CA4" s="21" t="s">
        <v>16</v>
      </c>
      <c r="CB4" s="22" t="s">
        <v>17</v>
      </c>
      <c r="CC4" s="20" t="s">
        <v>20</v>
      </c>
      <c r="CD4" s="3" t="s">
        <v>15</v>
      </c>
      <c r="CE4" s="4" t="s">
        <v>16</v>
      </c>
      <c r="CF4" s="5" t="s">
        <v>17</v>
      </c>
      <c r="CG4" s="3" t="s">
        <v>20</v>
      </c>
      <c r="CH4" s="53" t="s">
        <v>15</v>
      </c>
      <c r="CI4" s="23" t="s">
        <v>16</v>
      </c>
      <c r="CJ4" s="24" t="s">
        <v>17</v>
      </c>
      <c r="CK4" s="53" t="s">
        <v>20</v>
      </c>
    </row>
    <row r="5" spans="2:89" s="2" customFormat="1" x14ac:dyDescent="0.3">
      <c r="B5" s="7">
        <f>'PLAN DE NECESIDADES'!B5</f>
        <v>1</v>
      </c>
      <c r="C5" s="7">
        <f>'PLAN DE NECESIDADES'!C5</f>
        <v>2791301</v>
      </c>
      <c r="D5" s="62" t="str">
        <f>'PLAN DE NECESIDADES'!D5</f>
        <v>PARCHE DE IDENTIFICACIÓN PERSONAL: 
ESPECIFICACIONES  TÉCNICAS DE ACUERDO NORMA TÉCNICA KIT DE DOTACIÓN NO. NTMD-0356 - A2</v>
      </c>
      <c r="E5" s="7" t="str">
        <f>'PLAN DE NECESIDADES'!E5</f>
        <v>UNIDAD</v>
      </c>
      <c r="F5" s="7">
        <f>'PLAN DE NECESIDADES'!F5</f>
        <v>0</v>
      </c>
      <c r="G5" s="7">
        <f>'PLAN DE NECESIDADES'!H5</f>
        <v>11161701</v>
      </c>
      <c r="H5" s="7">
        <f>'PLAN DE NECESIDADES'!I5</f>
        <v>1047066</v>
      </c>
      <c r="I5" s="7" t="str">
        <f>'PLAN DE NECESIDADES'!J5</f>
        <v>SIN CREAR</v>
      </c>
      <c r="J5" s="7">
        <v>4</v>
      </c>
      <c r="K5" s="89">
        <v>69</v>
      </c>
      <c r="L5" s="89">
        <v>217</v>
      </c>
      <c r="M5" s="89">
        <v>279</v>
      </c>
      <c r="N5" s="89">
        <v>217</v>
      </c>
      <c r="O5" s="89">
        <v>248</v>
      </c>
      <c r="P5" s="89">
        <v>248</v>
      </c>
      <c r="Q5" s="89">
        <v>279</v>
      </c>
      <c r="R5" s="89">
        <v>125</v>
      </c>
      <c r="S5" s="89">
        <v>62</v>
      </c>
      <c r="T5" s="89">
        <v>279</v>
      </c>
      <c r="U5" s="89">
        <v>186</v>
      </c>
      <c r="V5" s="89">
        <v>32</v>
      </c>
      <c r="W5" s="89">
        <v>12</v>
      </c>
      <c r="X5" s="87">
        <v>186</v>
      </c>
      <c r="Y5" s="87">
        <v>186</v>
      </c>
      <c r="Z5" s="87">
        <f>SUM(AD5,AH5,AL5,AP5,AT5,AX5,BB5,BF5,BJ5,BN5,BR5,BV5,BZ5,CD5,CH5)</f>
        <v>10624</v>
      </c>
      <c r="AA5" s="7">
        <f>SUM(AE5,AI5,AM5,AQ5,AU5,AY5,BC5,BG5,BK5,BO5,BS5,BW5,CA5,CE5,CI5)</f>
        <v>5080</v>
      </c>
      <c r="AB5" s="7">
        <f>SUM(AF5,AJ5,AN5,AR5,AV5,AZ5,BD5,BH5,BL5,BP5,BT5,BX5,CB5,CF5,CJ5)</f>
        <v>5544</v>
      </c>
      <c r="AC5" s="13">
        <v>3100</v>
      </c>
      <c r="AD5" s="7">
        <f>K5*J5</f>
        <v>276</v>
      </c>
      <c r="AE5" s="7">
        <f>J5*34</f>
        <v>136</v>
      </c>
      <c r="AF5" s="8">
        <f t="shared" ref="AF5" si="0">AD5-AE5</f>
        <v>140</v>
      </c>
      <c r="AG5" s="14">
        <f>AC5*AE5</f>
        <v>421600</v>
      </c>
      <c r="AH5" s="7">
        <f>L5*J5</f>
        <v>868</v>
      </c>
      <c r="AI5" s="7">
        <f>J5*105</f>
        <v>420</v>
      </c>
      <c r="AJ5" s="8">
        <f>AH5-AI5</f>
        <v>448</v>
      </c>
      <c r="AK5" s="14">
        <f>AC5*AI5</f>
        <v>1302000</v>
      </c>
      <c r="AL5" s="7">
        <f t="shared" ref="AL5:AL14" si="1">M5*J5</f>
        <v>1116</v>
      </c>
      <c r="AM5" s="7">
        <f>J5*135</f>
        <v>540</v>
      </c>
      <c r="AN5" s="8">
        <f>AL5-AM5</f>
        <v>576</v>
      </c>
      <c r="AO5" s="14">
        <f>AC5*AM5</f>
        <v>1674000</v>
      </c>
      <c r="AP5" s="7">
        <f>N5*J5</f>
        <v>868</v>
      </c>
      <c r="AQ5" s="7">
        <f>J5*105</f>
        <v>420</v>
      </c>
      <c r="AR5" s="8">
        <f t="shared" ref="AR5" si="2">AP5-AQ5</f>
        <v>448</v>
      </c>
      <c r="AS5" s="14">
        <f t="shared" ref="AS5" si="3">AC5*AQ5</f>
        <v>1302000</v>
      </c>
      <c r="AT5" s="7">
        <f>M5*J5</f>
        <v>1116</v>
      </c>
      <c r="AU5" s="7">
        <f t="shared" ref="AU5:AU14" si="4">J5*120</f>
        <v>480</v>
      </c>
      <c r="AV5" s="8">
        <f>AT5-AU5</f>
        <v>636</v>
      </c>
      <c r="AW5" s="14">
        <f t="shared" ref="AW5" si="5">AU5*AC5</f>
        <v>1488000</v>
      </c>
      <c r="AX5" s="7">
        <f>P5*J5</f>
        <v>992</v>
      </c>
      <c r="AY5" s="7">
        <f>J5*120</f>
        <v>480</v>
      </c>
      <c r="AZ5" s="8">
        <f>AX5-AY5</f>
        <v>512</v>
      </c>
      <c r="BA5" s="14">
        <f>AC5*AY5</f>
        <v>1488000</v>
      </c>
      <c r="BB5" s="7">
        <f>Q5*J5</f>
        <v>1116</v>
      </c>
      <c r="BC5" s="7">
        <f>J5*135</f>
        <v>540</v>
      </c>
      <c r="BD5" s="8">
        <f>BB5-BC5</f>
        <v>576</v>
      </c>
      <c r="BE5" s="14">
        <f t="shared" ref="BE5" si="6">BC5*AC5</f>
        <v>1674000</v>
      </c>
      <c r="BF5" s="7">
        <f>R5*J5</f>
        <v>500</v>
      </c>
      <c r="BG5" s="7">
        <f>J5*59</f>
        <v>236</v>
      </c>
      <c r="BH5" s="8">
        <f>BF5-BG5</f>
        <v>264</v>
      </c>
      <c r="BI5" s="14">
        <f>BG5*AC5</f>
        <v>731600</v>
      </c>
      <c r="BJ5" s="7">
        <f>S5*J5</f>
        <v>248</v>
      </c>
      <c r="BK5" s="7">
        <f>J5*30</f>
        <v>120</v>
      </c>
      <c r="BL5" s="8">
        <f>BJ5-BK5</f>
        <v>128</v>
      </c>
      <c r="BM5" s="14">
        <f>BK5*AC5</f>
        <v>372000</v>
      </c>
      <c r="BN5" s="7">
        <f>T5*J5</f>
        <v>1116</v>
      </c>
      <c r="BO5" s="7">
        <f>J5*135</f>
        <v>540</v>
      </c>
      <c r="BP5" s="8">
        <f>BN5-BO5</f>
        <v>576</v>
      </c>
      <c r="BQ5" s="14">
        <f t="shared" ref="BQ5" si="7">BO5*AC5</f>
        <v>1674000</v>
      </c>
      <c r="BR5" s="7">
        <f>U5*J5</f>
        <v>744</v>
      </c>
      <c r="BS5" s="7">
        <f>J5*90</f>
        <v>360</v>
      </c>
      <c r="BT5" s="8">
        <f>BR5-BS5</f>
        <v>384</v>
      </c>
      <c r="BU5" s="14">
        <f t="shared" ref="BU5" si="8">BS5*AC5</f>
        <v>1116000</v>
      </c>
      <c r="BV5" s="7">
        <f>V5*J5</f>
        <v>128</v>
      </c>
      <c r="BW5" s="7">
        <f>J5*16</f>
        <v>64</v>
      </c>
      <c r="BX5" s="8">
        <f>BV5-BW5</f>
        <v>64</v>
      </c>
      <c r="BY5" s="14">
        <f t="shared" ref="BY5" si="9">BW5*AC5</f>
        <v>198400</v>
      </c>
      <c r="BZ5" s="7">
        <f>W5*J5</f>
        <v>48</v>
      </c>
      <c r="CA5" s="7">
        <f>J5*6</f>
        <v>24</v>
      </c>
      <c r="CB5" s="8">
        <f>BZ5-CA5</f>
        <v>24</v>
      </c>
      <c r="CC5" s="14">
        <f t="shared" ref="CC5" si="10">CA5*AC5</f>
        <v>74400</v>
      </c>
      <c r="CD5" s="7">
        <f>X5*J5</f>
        <v>744</v>
      </c>
      <c r="CE5" s="7">
        <f>J5*90</f>
        <v>360</v>
      </c>
      <c r="CF5" s="8">
        <f>CD5-CE5</f>
        <v>384</v>
      </c>
      <c r="CG5" s="14">
        <f t="shared" ref="CG5" si="11">CE5*AC5</f>
        <v>1116000</v>
      </c>
      <c r="CH5" s="7">
        <f>Y5*J5</f>
        <v>744</v>
      </c>
      <c r="CI5" s="7">
        <f>J5*90</f>
        <v>360</v>
      </c>
      <c r="CJ5" s="8">
        <f>CH5-CI5</f>
        <v>384</v>
      </c>
      <c r="CK5" s="14">
        <f t="shared" ref="CK5" si="12">CI5*AC5</f>
        <v>1116000</v>
      </c>
    </row>
    <row r="6" spans="2:89" s="2" customFormat="1" x14ac:dyDescent="0.3">
      <c r="B6" s="7">
        <f>'PLAN DE NECESIDADES'!B6</f>
        <v>2</v>
      </c>
      <c r="C6" s="7">
        <f>'PLAN DE NECESIDADES'!C6</f>
        <v>2791301</v>
      </c>
      <c r="D6" s="62" t="str">
        <f>'PLAN DE NECESIDADES'!D6</f>
        <v>PARCHE DE EJÉRCITO: 
ESPECIFICACIONES  TÉCNICAS   DE  ACUERDO A LA NORMA TÉCNICA KIT DE DOTACIÓN. NO. NTMD-0356 - A2.</v>
      </c>
      <c r="E6" s="7" t="str">
        <f>'PLAN DE NECESIDADES'!E6</f>
        <v>UNIDAD</v>
      </c>
      <c r="F6" s="7">
        <f>'PLAN DE NECESIDADES'!F6</f>
        <v>0</v>
      </c>
      <c r="G6" s="7">
        <f>'PLAN DE NECESIDADES'!H6</f>
        <v>11161701</v>
      </c>
      <c r="H6" s="7">
        <f>'PLAN DE NECESIDADES'!I6</f>
        <v>1898472</v>
      </c>
      <c r="I6" s="7" t="str">
        <f>'PLAN DE NECESIDADES'!J6</f>
        <v>SIN CREAR</v>
      </c>
      <c r="J6" s="7">
        <v>2</v>
      </c>
      <c r="K6" s="89">
        <v>69</v>
      </c>
      <c r="L6" s="89">
        <v>217</v>
      </c>
      <c r="M6" s="89">
        <v>279</v>
      </c>
      <c r="N6" s="89">
        <v>217</v>
      </c>
      <c r="O6" s="89">
        <v>248</v>
      </c>
      <c r="P6" s="89">
        <v>248</v>
      </c>
      <c r="Q6" s="89">
        <v>279</v>
      </c>
      <c r="R6" s="89">
        <v>125</v>
      </c>
      <c r="S6" s="89">
        <v>62</v>
      </c>
      <c r="T6" s="89">
        <v>279</v>
      </c>
      <c r="U6" s="89">
        <v>186</v>
      </c>
      <c r="V6" s="89">
        <v>32</v>
      </c>
      <c r="W6" s="89">
        <v>12</v>
      </c>
      <c r="X6" s="87">
        <v>186</v>
      </c>
      <c r="Y6" s="87">
        <v>186</v>
      </c>
      <c r="Z6" s="87">
        <f t="shared" ref="Z6:Z16" si="13">SUM(AD6,AH6,AL6,AP6,AT6,AX6,BB6,BF6,BJ6,BN6,BR6,BV6,BZ6,CD6,CH6)</f>
        <v>5312</v>
      </c>
      <c r="AA6" s="7">
        <f t="shared" ref="AA6:AA16" si="14">SUM(AE6,AI6,AM6,AQ6,AU6,AY6,BC6,BG6,BK6,BO6,BS6,BW6,CA6,CE6,CI6)</f>
        <v>2538</v>
      </c>
      <c r="AB6" s="7">
        <f t="shared" ref="AB6:AB16" si="15">SUM(AF6,AJ6,AN6,AR6,AV6,AZ6,BD6,BH6,BL6,BP6,BT6,BX6,CB6,CF6,CJ6)</f>
        <v>2774</v>
      </c>
      <c r="AC6" s="13">
        <v>3900</v>
      </c>
      <c r="AD6" s="7">
        <f t="shared" ref="AD6:AD15" si="16">K6*J6</f>
        <v>138</v>
      </c>
      <c r="AE6" s="7">
        <f>J6*34</f>
        <v>68</v>
      </c>
      <c r="AF6" s="8">
        <f t="shared" ref="AF6:AF15" si="17">AD6-AE6</f>
        <v>70</v>
      </c>
      <c r="AG6" s="14">
        <f t="shared" ref="AG6:AG15" si="18">AC6*AE6</f>
        <v>265200</v>
      </c>
      <c r="AH6" s="7">
        <f t="shared" ref="AH6:AH15" si="19">L6*J6</f>
        <v>434</v>
      </c>
      <c r="AI6" s="7">
        <f t="shared" ref="AI6:AI15" si="20">J6*105</f>
        <v>210</v>
      </c>
      <c r="AJ6" s="8">
        <f t="shared" ref="AJ6:AJ15" si="21">AH6-AI6</f>
        <v>224</v>
      </c>
      <c r="AK6" s="14">
        <f t="shared" ref="AK6:AK15" si="22">AC6*AI6</f>
        <v>819000</v>
      </c>
      <c r="AL6" s="7">
        <f t="shared" si="1"/>
        <v>558</v>
      </c>
      <c r="AM6" s="7">
        <f t="shared" ref="AM6:AM7" si="23">J6*135</f>
        <v>270</v>
      </c>
      <c r="AN6" s="8">
        <f>AL6-AM6</f>
        <v>288</v>
      </c>
      <c r="AO6" s="14">
        <f t="shared" ref="AO6:AO15" si="24">AC6*AM6</f>
        <v>1053000</v>
      </c>
      <c r="AP6" s="7">
        <f t="shared" ref="AP6:AP15" si="25">N6*J6</f>
        <v>434</v>
      </c>
      <c r="AQ6" s="7">
        <f t="shared" ref="AQ6:AQ12" si="26">J6*105</f>
        <v>210</v>
      </c>
      <c r="AR6" s="8">
        <f t="shared" ref="AR6:AR15" si="27">AP6-AQ6</f>
        <v>224</v>
      </c>
      <c r="AS6" s="14">
        <f t="shared" ref="AS6:AS15" si="28">AC6*AQ6</f>
        <v>819000</v>
      </c>
      <c r="AT6" s="7">
        <f t="shared" ref="AT6:AT15" si="29">M6*J6</f>
        <v>558</v>
      </c>
      <c r="AU6" s="7">
        <f t="shared" si="4"/>
        <v>240</v>
      </c>
      <c r="AV6" s="8">
        <f t="shared" ref="AV6:AV15" si="30">AT6-AU6</f>
        <v>318</v>
      </c>
      <c r="AW6" s="14">
        <f t="shared" ref="AW6:AW15" si="31">AU6*AC6</f>
        <v>936000</v>
      </c>
      <c r="AX6" s="7">
        <f t="shared" ref="AX6:AX15" si="32">P6*J6</f>
        <v>496</v>
      </c>
      <c r="AY6" s="7">
        <f t="shared" ref="AY6:AY15" si="33">J6*120</f>
        <v>240</v>
      </c>
      <c r="AZ6" s="8">
        <f t="shared" ref="AZ6:AZ15" si="34">AX6-AY6</f>
        <v>256</v>
      </c>
      <c r="BA6" s="14">
        <f t="shared" ref="BA6:BA15" si="35">AC6*AY6</f>
        <v>936000</v>
      </c>
      <c r="BB6" s="7">
        <f t="shared" ref="BB6:BB15" si="36">Q6*J6</f>
        <v>558</v>
      </c>
      <c r="BC6" s="7">
        <f t="shared" ref="BC6:BC15" si="37">J6*135</f>
        <v>270</v>
      </c>
      <c r="BD6" s="8">
        <f t="shared" ref="BD6:BD15" si="38">BB6-BC6</f>
        <v>288</v>
      </c>
      <c r="BE6" s="14">
        <f t="shared" ref="BE6:BE15" si="39">BC6*AC6</f>
        <v>1053000</v>
      </c>
      <c r="BF6" s="7">
        <f t="shared" ref="BF6:BF15" si="40">R6*J6</f>
        <v>250</v>
      </c>
      <c r="BG6" s="7">
        <f t="shared" ref="BG6:BG15" si="41">J6*58</f>
        <v>116</v>
      </c>
      <c r="BH6" s="8">
        <f t="shared" ref="BH6:BH15" si="42">BF6-BG6</f>
        <v>134</v>
      </c>
      <c r="BI6" s="14">
        <f t="shared" ref="BI6:BI15" si="43">BG6*AC6</f>
        <v>452400</v>
      </c>
      <c r="BJ6" s="7">
        <f t="shared" ref="BJ6:BJ15" si="44">S6*J6</f>
        <v>124</v>
      </c>
      <c r="BK6" s="7">
        <f t="shared" ref="BK6:BK15" si="45">J6*30</f>
        <v>60</v>
      </c>
      <c r="BL6" s="8">
        <f t="shared" ref="BL6:BL15" si="46">BJ6-BK6</f>
        <v>64</v>
      </c>
      <c r="BM6" s="14">
        <f t="shared" ref="BM6:BM15" si="47">BK6*AC6</f>
        <v>234000</v>
      </c>
      <c r="BN6" s="7">
        <f t="shared" ref="BN6:BN15" si="48">T6*J6</f>
        <v>558</v>
      </c>
      <c r="BO6" s="7">
        <f t="shared" ref="BO6:BO14" si="49">J6*135</f>
        <v>270</v>
      </c>
      <c r="BP6" s="8">
        <f t="shared" ref="BP6:BP15" si="50">BN6-BO6</f>
        <v>288</v>
      </c>
      <c r="BQ6" s="14">
        <f t="shared" ref="BQ6:BQ15" si="51">BO6*AC6</f>
        <v>1053000</v>
      </c>
      <c r="BR6" s="7">
        <f t="shared" ref="BR6:BR15" si="52">U6*J6</f>
        <v>372</v>
      </c>
      <c r="BS6" s="7">
        <f t="shared" ref="BS6:BS15" si="53">J6*90</f>
        <v>180</v>
      </c>
      <c r="BT6" s="8">
        <f t="shared" ref="BT6:BT15" si="54">BR6-BS6</f>
        <v>192</v>
      </c>
      <c r="BU6" s="14">
        <f t="shared" ref="BU6:BU15" si="55">BS6*AC6</f>
        <v>702000</v>
      </c>
      <c r="BV6" s="7">
        <f t="shared" ref="BV6:BV15" si="56">V6*J6</f>
        <v>64</v>
      </c>
      <c r="BW6" s="7">
        <f>J6*16</f>
        <v>32</v>
      </c>
      <c r="BX6" s="8">
        <f t="shared" ref="BX6:BX15" si="57">BV6-BW6</f>
        <v>32</v>
      </c>
      <c r="BY6" s="14">
        <f t="shared" ref="BY6:BY15" si="58">BW6*AC6</f>
        <v>124800</v>
      </c>
      <c r="BZ6" s="7">
        <f t="shared" ref="BZ6:BZ15" si="59">W6*J6</f>
        <v>24</v>
      </c>
      <c r="CA6" s="7">
        <f t="shared" ref="CA6:CA14" si="60">J6*6</f>
        <v>12</v>
      </c>
      <c r="CB6" s="8">
        <f t="shared" ref="CB6:CB15" si="61">BZ6-CA6</f>
        <v>12</v>
      </c>
      <c r="CC6" s="14">
        <f t="shared" ref="CC6:CC15" si="62">CA6*AC6</f>
        <v>46800</v>
      </c>
      <c r="CD6" s="7">
        <f t="shared" ref="CD6:CD15" si="63">X6*J6</f>
        <v>372</v>
      </c>
      <c r="CE6" s="7">
        <f t="shared" ref="CE6:CE15" si="64">J6*90</f>
        <v>180</v>
      </c>
      <c r="CF6" s="8">
        <f t="shared" ref="CF6:CF15" si="65">CD6-CE6</f>
        <v>192</v>
      </c>
      <c r="CG6" s="14">
        <f t="shared" ref="CG6:CG15" si="66">CE6*AC6</f>
        <v>702000</v>
      </c>
      <c r="CH6" s="7">
        <f t="shared" ref="CH6:CH15" si="67">Y6*J6</f>
        <v>372</v>
      </c>
      <c r="CI6" s="7">
        <f t="shared" ref="CI6:CI15" si="68">J6*90</f>
        <v>180</v>
      </c>
      <c r="CJ6" s="8">
        <f t="shared" ref="CJ6:CJ15" si="69">CH6-CI6</f>
        <v>192</v>
      </c>
      <c r="CK6" s="14">
        <f t="shared" ref="CK6:CK15" si="70">CI6*AC6</f>
        <v>702000</v>
      </c>
    </row>
    <row r="7" spans="2:89" s="2" customFormat="1" x14ac:dyDescent="0.3">
      <c r="B7" s="7">
        <f>'PLAN DE NECESIDADES'!B7</f>
        <v>3</v>
      </c>
      <c r="C7" s="7">
        <f>'PLAN DE NECESIDADES'!C7</f>
        <v>2791301</v>
      </c>
      <c r="D7" s="62" t="str">
        <f>'PLAN DE NECESIDADES'!D7</f>
        <v>PARCHES DE LA UNIDAD SUPERIOR Y SUBALTERNA:
ESPECIFICACIONES  TÉCNICAS   DE  ACUERDO A LA NORMA TÉCNICA KIT DE DOTACIÓN N°. NTMD-0356 - A2.</v>
      </c>
      <c r="E7" s="7" t="str">
        <f>'PLAN DE NECESIDADES'!E7</f>
        <v>UNIDAD</v>
      </c>
      <c r="F7" s="7">
        <f>'PLAN DE NECESIDADES'!F7</f>
        <v>0</v>
      </c>
      <c r="G7" s="7">
        <f>'PLAN DE NECESIDADES'!H7</f>
        <v>11161701</v>
      </c>
      <c r="H7" s="7">
        <f>'PLAN DE NECESIDADES'!I7</f>
        <v>1343999</v>
      </c>
      <c r="I7" s="7" t="str">
        <f>'PLAN DE NECESIDADES'!J7</f>
        <v>SIN CREAR</v>
      </c>
      <c r="J7" s="7">
        <v>4</v>
      </c>
      <c r="K7" s="89">
        <v>69</v>
      </c>
      <c r="L7" s="89">
        <v>217</v>
      </c>
      <c r="M7" s="89">
        <v>279</v>
      </c>
      <c r="N7" s="89">
        <v>217</v>
      </c>
      <c r="O7" s="89">
        <v>248</v>
      </c>
      <c r="P7" s="89">
        <v>248</v>
      </c>
      <c r="Q7" s="89">
        <v>279</v>
      </c>
      <c r="R7" s="89">
        <v>125</v>
      </c>
      <c r="S7" s="89">
        <v>62</v>
      </c>
      <c r="T7" s="89">
        <v>279</v>
      </c>
      <c r="U7" s="89">
        <v>186</v>
      </c>
      <c r="V7" s="89">
        <v>32</v>
      </c>
      <c r="W7" s="89">
        <v>12</v>
      </c>
      <c r="X7" s="87">
        <v>186</v>
      </c>
      <c r="Y7" s="87">
        <v>186</v>
      </c>
      <c r="Z7" s="87">
        <f t="shared" si="13"/>
        <v>10624</v>
      </c>
      <c r="AA7" s="7">
        <f t="shared" si="14"/>
        <v>5076</v>
      </c>
      <c r="AB7" s="7">
        <f t="shared" si="15"/>
        <v>5548</v>
      </c>
      <c r="AC7" s="13">
        <v>4100</v>
      </c>
      <c r="AD7" s="7">
        <f t="shared" si="16"/>
        <v>276</v>
      </c>
      <c r="AE7" s="7">
        <f>J7*34</f>
        <v>136</v>
      </c>
      <c r="AF7" s="8">
        <f t="shared" si="17"/>
        <v>140</v>
      </c>
      <c r="AG7" s="14">
        <f t="shared" si="18"/>
        <v>557600</v>
      </c>
      <c r="AH7" s="7">
        <f t="shared" si="19"/>
        <v>868</v>
      </c>
      <c r="AI7" s="7">
        <f t="shared" si="20"/>
        <v>420</v>
      </c>
      <c r="AJ7" s="8">
        <f t="shared" si="21"/>
        <v>448</v>
      </c>
      <c r="AK7" s="14">
        <f t="shared" si="22"/>
        <v>1722000</v>
      </c>
      <c r="AL7" s="7">
        <f t="shared" si="1"/>
        <v>1116</v>
      </c>
      <c r="AM7" s="7">
        <f t="shared" si="23"/>
        <v>540</v>
      </c>
      <c r="AN7" s="8">
        <f t="shared" ref="AN7:AN15" si="71">AL7-AM7</f>
        <v>576</v>
      </c>
      <c r="AO7" s="14">
        <f t="shared" si="24"/>
        <v>2214000</v>
      </c>
      <c r="AP7" s="7">
        <f t="shared" si="25"/>
        <v>868</v>
      </c>
      <c r="AQ7" s="7">
        <f t="shared" si="26"/>
        <v>420</v>
      </c>
      <c r="AR7" s="8">
        <f t="shared" si="27"/>
        <v>448</v>
      </c>
      <c r="AS7" s="14">
        <f t="shared" si="28"/>
        <v>1722000</v>
      </c>
      <c r="AT7" s="7">
        <f t="shared" si="29"/>
        <v>1116</v>
      </c>
      <c r="AU7" s="7">
        <f t="shared" si="4"/>
        <v>480</v>
      </c>
      <c r="AV7" s="8">
        <f t="shared" si="30"/>
        <v>636</v>
      </c>
      <c r="AW7" s="14">
        <f t="shared" si="31"/>
        <v>1968000</v>
      </c>
      <c r="AX7" s="7">
        <f t="shared" si="32"/>
        <v>992</v>
      </c>
      <c r="AY7" s="7">
        <f t="shared" si="33"/>
        <v>480</v>
      </c>
      <c r="AZ7" s="8">
        <f t="shared" si="34"/>
        <v>512</v>
      </c>
      <c r="BA7" s="14">
        <f t="shared" si="35"/>
        <v>1968000</v>
      </c>
      <c r="BB7" s="7">
        <f t="shared" si="36"/>
        <v>1116</v>
      </c>
      <c r="BC7" s="7">
        <f t="shared" si="37"/>
        <v>540</v>
      </c>
      <c r="BD7" s="8">
        <f t="shared" si="38"/>
        <v>576</v>
      </c>
      <c r="BE7" s="14">
        <f t="shared" si="39"/>
        <v>2214000</v>
      </c>
      <c r="BF7" s="7">
        <f t="shared" si="40"/>
        <v>500</v>
      </c>
      <c r="BG7" s="7">
        <f t="shared" si="41"/>
        <v>232</v>
      </c>
      <c r="BH7" s="8">
        <f t="shared" si="42"/>
        <v>268</v>
      </c>
      <c r="BI7" s="14">
        <f t="shared" si="43"/>
        <v>951200</v>
      </c>
      <c r="BJ7" s="7">
        <f t="shared" si="44"/>
        <v>248</v>
      </c>
      <c r="BK7" s="7">
        <f t="shared" si="45"/>
        <v>120</v>
      </c>
      <c r="BL7" s="8">
        <f t="shared" si="46"/>
        <v>128</v>
      </c>
      <c r="BM7" s="14">
        <f t="shared" si="47"/>
        <v>492000</v>
      </c>
      <c r="BN7" s="7">
        <f t="shared" si="48"/>
        <v>1116</v>
      </c>
      <c r="BO7" s="7">
        <f t="shared" si="49"/>
        <v>540</v>
      </c>
      <c r="BP7" s="8">
        <f t="shared" si="50"/>
        <v>576</v>
      </c>
      <c r="BQ7" s="14">
        <f t="shared" si="51"/>
        <v>2214000</v>
      </c>
      <c r="BR7" s="7">
        <f t="shared" si="52"/>
        <v>744</v>
      </c>
      <c r="BS7" s="7">
        <f t="shared" si="53"/>
        <v>360</v>
      </c>
      <c r="BT7" s="8">
        <f t="shared" si="54"/>
        <v>384</v>
      </c>
      <c r="BU7" s="14">
        <f t="shared" si="55"/>
        <v>1476000</v>
      </c>
      <c r="BV7" s="7">
        <f t="shared" si="56"/>
        <v>128</v>
      </c>
      <c r="BW7" s="7">
        <f>J7*16</f>
        <v>64</v>
      </c>
      <c r="BX7" s="8">
        <f t="shared" si="57"/>
        <v>64</v>
      </c>
      <c r="BY7" s="14">
        <f t="shared" si="58"/>
        <v>262400</v>
      </c>
      <c r="BZ7" s="7">
        <f t="shared" si="59"/>
        <v>48</v>
      </c>
      <c r="CA7" s="7">
        <f t="shared" si="60"/>
        <v>24</v>
      </c>
      <c r="CB7" s="8">
        <f t="shared" si="61"/>
        <v>24</v>
      </c>
      <c r="CC7" s="14">
        <f t="shared" si="62"/>
        <v>98400</v>
      </c>
      <c r="CD7" s="7">
        <f t="shared" si="63"/>
        <v>744</v>
      </c>
      <c r="CE7" s="7">
        <f t="shared" si="64"/>
        <v>360</v>
      </c>
      <c r="CF7" s="8">
        <f t="shared" si="65"/>
        <v>384</v>
      </c>
      <c r="CG7" s="14">
        <f t="shared" si="66"/>
        <v>1476000</v>
      </c>
      <c r="CH7" s="7">
        <f t="shared" si="67"/>
        <v>744</v>
      </c>
      <c r="CI7" s="7">
        <f t="shared" si="68"/>
        <v>360</v>
      </c>
      <c r="CJ7" s="8">
        <f t="shared" si="69"/>
        <v>384</v>
      </c>
      <c r="CK7" s="14">
        <f t="shared" si="70"/>
        <v>1476000</v>
      </c>
    </row>
    <row r="8" spans="2:89" s="2" customFormat="1" x14ac:dyDescent="0.3">
      <c r="B8" s="7">
        <f>'PLAN DE NECESIDADES'!B8</f>
        <v>4</v>
      </c>
      <c r="C8" s="7">
        <f>'PLAN DE NECESIDADES'!C8</f>
        <v>2791301</v>
      </c>
      <c r="D8" s="62" t="str">
        <f>'PLAN DE NECESIDADES'!D8</f>
        <v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v>
      </c>
      <c r="E8" s="7" t="str">
        <f>'PLAN DE NECESIDADES'!E8</f>
        <v>UNIDAD</v>
      </c>
      <c r="F8" s="7">
        <f>'PLAN DE NECESIDADES'!F8</f>
        <v>0</v>
      </c>
      <c r="G8" s="7">
        <f>'PLAN DE NECESIDADES'!H8</f>
        <v>11161701</v>
      </c>
      <c r="H8" s="7">
        <f>'PLAN DE NECESIDADES'!I8</f>
        <v>1347326</v>
      </c>
      <c r="I8" s="7" t="str">
        <f>'PLAN DE NECESIDADES'!J8</f>
        <v>SIN CREAR</v>
      </c>
      <c r="J8" s="7">
        <v>2</v>
      </c>
      <c r="K8" s="89">
        <v>69</v>
      </c>
      <c r="L8" s="89">
        <v>217</v>
      </c>
      <c r="M8" s="89">
        <v>279</v>
      </c>
      <c r="N8" s="89">
        <v>217</v>
      </c>
      <c r="O8" s="89">
        <v>248</v>
      </c>
      <c r="P8" s="89">
        <v>248</v>
      </c>
      <c r="Q8" s="89">
        <v>279</v>
      </c>
      <c r="R8" s="89">
        <v>125</v>
      </c>
      <c r="S8" s="89">
        <v>62</v>
      </c>
      <c r="T8" s="89">
        <v>279</v>
      </c>
      <c r="U8" s="89">
        <v>186</v>
      </c>
      <c r="V8" s="89">
        <v>32</v>
      </c>
      <c r="W8" s="89">
        <v>12</v>
      </c>
      <c r="X8" s="87">
        <v>186</v>
      </c>
      <c r="Y8" s="87">
        <v>186</v>
      </c>
      <c r="Z8" s="87">
        <f t="shared" si="13"/>
        <v>5312</v>
      </c>
      <c r="AA8" s="7">
        <f t="shared" si="14"/>
        <v>2536</v>
      </c>
      <c r="AB8" s="7">
        <f t="shared" si="15"/>
        <v>2776</v>
      </c>
      <c r="AC8" s="13">
        <v>5300</v>
      </c>
      <c r="AD8" s="7">
        <f t="shared" si="16"/>
        <v>138</v>
      </c>
      <c r="AE8" s="7">
        <f t="shared" ref="AE8:AE15" si="72">J8*33</f>
        <v>66</v>
      </c>
      <c r="AF8" s="8">
        <f t="shared" si="17"/>
        <v>72</v>
      </c>
      <c r="AG8" s="14">
        <f t="shared" si="18"/>
        <v>349800</v>
      </c>
      <c r="AH8" s="7">
        <f t="shared" si="19"/>
        <v>434</v>
      </c>
      <c r="AI8" s="7">
        <f t="shared" si="20"/>
        <v>210</v>
      </c>
      <c r="AJ8" s="8">
        <f t="shared" si="21"/>
        <v>224</v>
      </c>
      <c r="AK8" s="14">
        <f t="shared" si="22"/>
        <v>1113000</v>
      </c>
      <c r="AL8" s="7">
        <f t="shared" si="1"/>
        <v>558</v>
      </c>
      <c r="AM8" s="7">
        <f t="shared" ref="AM8:AM15" si="73">J8*135</f>
        <v>270</v>
      </c>
      <c r="AN8" s="8">
        <f t="shared" si="71"/>
        <v>288</v>
      </c>
      <c r="AO8" s="14">
        <f t="shared" si="24"/>
        <v>1431000</v>
      </c>
      <c r="AP8" s="7">
        <f t="shared" si="25"/>
        <v>434</v>
      </c>
      <c r="AQ8" s="7">
        <f t="shared" si="26"/>
        <v>210</v>
      </c>
      <c r="AR8" s="8">
        <f t="shared" si="27"/>
        <v>224</v>
      </c>
      <c r="AS8" s="14">
        <f t="shared" si="28"/>
        <v>1113000</v>
      </c>
      <c r="AT8" s="7">
        <f t="shared" si="29"/>
        <v>558</v>
      </c>
      <c r="AU8" s="7">
        <f t="shared" si="4"/>
        <v>240</v>
      </c>
      <c r="AV8" s="8">
        <f t="shared" si="30"/>
        <v>318</v>
      </c>
      <c r="AW8" s="14">
        <f t="shared" si="31"/>
        <v>1272000</v>
      </c>
      <c r="AX8" s="7">
        <f t="shared" si="32"/>
        <v>496</v>
      </c>
      <c r="AY8" s="7">
        <f t="shared" si="33"/>
        <v>240</v>
      </c>
      <c r="AZ8" s="8">
        <f t="shared" si="34"/>
        <v>256</v>
      </c>
      <c r="BA8" s="14">
        <f t="shared" si="35"/>
        <v>1272000</v>
      </c>
      <c r="BB8" s="7">
        <f t="shared" si="36"/>
        <v>558</v>
      </c>
      <c r="BC8" s="7">
        <f t="shared" si="37"/>
        <v>270</v>
      </c>
      <c r="BD8" s="8">
        <f t="shared" si="38"/>
        <v>288</v>
      </c>
      <c r="BE8" s="14">
        <f t="shared" si="39"/>
        <v>1431000</v>
      </c>
      <c r="BF8" s="7">
        <f t="shared" si="40"/>
        <v>250</v>
      </c>
      <c r="BG8" s="7">
        <f t="shared" si="41"/>
        <v>116</v>
      </c>
      <c r="BH8" s="8">
        <f t="shared" si="42"/>
        <v>134</v>
      </c>
      <c r="BI8" s="14">
        <f t="shared" si="43"/>
        <v>614800</v>
      </c>
      <c r="BJ8" s="7">
        <f t="shared" si="44"/>
        <v>124</v>
      </c>
      <c r="BK8" s="7">
        <f t="shared" si="45"/>
        <v>60</v>
      </c>
      <c r="BL8" s="8">
        <f t="shared" si="46"/>
        <v>64</v>
      </c>
      <c r="BM8" s="14">
        <f t="shared" si="47"/>
        <v>318000</v>
      </c>
      <c r="BN8" s="7">
        <f t="shared" si="48"/>
        <v>558</v>
      </c>
      <c r="BO8" s="7">
        <f t="shared" si="49"/>
        <v>270</v>
      </c>
      <c r="BP8" s="8">
        <f t="shared" si="50"/>
        <v>288</v>
      </c>
      <c r="BQ8" s="14">
        <f t="shared" si="51"/>
        <v>1431000</v>
      </c>
      <c r="BR8" s="7">
        <f t="shared" si="52"/>
        <v>372</v>
      </c>
      <c r="BS8" s="7">
        <f t="shared" si="53"/>
        <v>180</v>
      </c>
      <c r="BT8" s="8">
        <f t="shared" si="54"/>
        <v>192</v>
      </c>
      <c r="BU8" s="14">
        <f t="shared" si="55"/>
        <v>954000</v>
      </c>
      <c r="BV8" s="7">
        <f t="shared" si="56"/>
        <v>64</v>
      </c>
      <c r="BW8" s="7">
        <f>J8*16</f>
        <v>32</v>
      </c>
      <c r="BX8" s="8">
        <f t="shared" si="57"/>
        <v>32</v>
      </c>
      <c r="BY8" s="14">
        <f t="shared" si="58"/>
        <v>169600</v>
      </c>
      <c r="BZ8" s="7">
        <f t="shared" si="59"/>
        <v>24</v>
      </c>
      <c r="CA8" s="7">
        <f t="shared" si="60"/>
        <v>12</v>
      </c>
      <c r="CB8" s="8">
        <f t="shared" si="61"/>
        <v>12</v>
      </c>
      <c r="CC8" s="14">
        <f t="shared" si="62"/>
        <v>63600</v>
      </c>
      <c r="CD8" s="7">
        <f t="shared" si="63"/>
        <v>372</v>
      </c>
      <c r="CE8" s="7">
        <f t="shared" si="64"/>
        <v>180</v>
      </c>
      <c r="CF8" s="8">
        <f t="shared" si="65"/>
        <v>192</v>
      </c>
      <c r="CG8" s="14">
        <f t="shared" si="66"/>
        <v>954000</v>
      </c>
      <c r="CH8" s="7">
        <f t="shared" si="67"/>
        <v>372</v>
      </c>
      <c r="CI8" s="7">
        <f t="shared" si="68"/>
        <v>180</v>
      </c>
      <c r="CJ8" s="8">
        <f t="shared" si="69"/>
        <v>192</v>
      </c>
      <c r="CK8" s="14">
        <f t="shared" si="70"/>
        <v>954000</v>
      </c>
    </row>
    <row r="9" spans="2:89" s="2" customFormat="1" x14ac:dyDescent="0.3">
      <c r="B9" s="7">
        <f>'PLAN DE NECESIDADES'!B9</f>
        <v>5</v>
      </c>
      <c r="C9" s="7">
        <f>'PLAN DE NECESIDADES'!C9</f>
        <v>2791301</v>
      </c>
      <c r="D9" s="62" t="str">
        <f>'PLAN DE NECESIDADES'!D9</f>
        <v>PARCHE PARA IDENTIFICACIÓN GRUPO SANGUÍNEO:
ESPECIFICACIONES  TÉCNICAS   DE  ACUERDO A LA NORMA TÉCNICA KIT DE DOTACIÓN N°. NTMD-0356 - A2.</v>
      </c>
      <c r="E9" s="7" t="str">
        <f>'PLAN DE NECESIDADES'!E9</f>
        <v>UNIDAD</v>
      </c>
      <c r="F9" s="7">
        <f>'PLAN DE NECESIDADES'!F9</f>
        <v>0</v>
      </c>
      <c r="G9" s="7">
        <f>'PLAN DE NECESIDADES'!H9</f>
        <v>11161701</v>
      </c>
      <c r="H9" s="7">
        <f>'PLAN DE NECESIDADES'!I9</f>
        <v>1143174</v>
      </c>
      <c r="I9" s="7" t="str">
        <f>'PLAN DE NECESIDADES'!J9</f>
        <v>SIN CREAR</v>
      </c>
      <c r="J9" s="7">
        <v>2</v>
      </c>
      <c r="K9" s="89">
        <v>69</v>
      </c>
      <c r="L9" s="89">
        <v>217</v>
      </c>
      <c r="M9" s="89">
        <v>279</v>
      </c>
      <c r="N9" s="89">
        <v>217</v>
      </c>
      <c r="O9" s="89">
        <v>248</v>
      </c>
      <c r="P9" s="89">
        <v>248</v>
      </c>
      <c r="Q9" s="89">
        <v>279</v>
      </c>
      <c r="R9" s="89">
        <v>125</v>
      </c>
      <c r="S9" s="89">
        <v>62</v>
      </c>
      <c r="T9" s="89">
        <v>279</v>
      </c>
      <c r="U9" s="89">
        <v>186</v>
      </c>
      <c r="V9" s="89">
        <v>32</v>
      </c>
      <c r="W9" s="89">
        <v>12</v>
      </c>
      <c r="X9" s="87">
        <v>186</v>
      </c>
      <c r="Y9" s="87">
        <v>186</v>
      </c>
      <c r="Z9" s="87">
        <f t="shared" si="13"/>
        <v>5312</v>
      </c>
      <c r="AA9" s="7">
        <f t="shared" si="14"/>
        <v>2534</v>
      </c>
      <c r="AB9" s="7">
        <f t="shared" si="15"/>
        <v>2778</v>
      </c>
      <c r="AC9" s="13">
        <v>3700</v>
      </c>
      <c r="AD9" s="7">
        <f t="shared" si="16"/>
        <v>138</v>
      </c>
      <c r="AE9" s="7">
        <f t="shared" si="72"/>
        <v>66</v>
      </c>
      <c r="AF9" s="8">
        <f t="shared" si="17"/>
        <v>72</v>
      </c>
      <c r="AG9" s="14">
        <f t="shared" si="18"/>
        <v>244200</v>
      </c>
      <c r="AH9" s="7">
        <f t="shared" si="19"/>
        <v>434</v>
      </c>
      <c r="AI9" s="7">
        <f>J9*104</f>
        <v>208</v>
      </c>
      <c r="AJ9" s="8">
        <f t="shared" si="21"/>
        <v>226</v>
      </c>
      <c r="AK9" s="14">
        <f t="shared" si="22"/>
        <v>769600</v>
      </c>
      <c r="AL9" s="7">
        <f t="shared" si="1"/>
        <v>558</v>
      </c>
      <c r="AM9" s="7">
        <f t="shared" si="73"/>
        <v>270</v>
      </c>
      <c r="AN9" s="8">
        <f t="shared" si="71"/>
        <v>288</v>
      </c>
      <c r="AO9" s="14">
        <f t="shared" si="24"/>
        <v>999000</v>
      </c>
      <c r="AP9" s="7">
        <f t="shared" si="25"/>
        <v>434</v>
      </c>
      <c r="AQ9" s="7">
        <f t="shared" si="26"/>
        <v>210</v>
      </c>
      <c r="AR9" s="8">
        <f t="shared" si="27"/>
        <v>224</v>
      </c>
      <c r="AS9" s="14">
        <f t="shared" si="28"/>
        <v>777000</v>
      </c>
      <c r="AT9" s="7">
        <f t="shared" si="29"/>
        <v>558</v>
      </c>
      <c r="AU9" s="7">
        <f t="shared" si="4"/>
        <v>240</v>
      </c>
      <c r="AV9" s="8">
        <f t="shared" si="30"/>
        <v>318</v>
      </c>
      <c r="AW9" s="14">
        <f t="shared" si="31"/>
        <v>888000</v>
      </c>
      <c r="AX9" s="7">
        <f t="shared" si="32"/>
        <v>496</v>
      </c>
      <c r="AY9" s="7">
        <f t="shared" si="33"/>
        <v>240</v>
      </c>
      <c r="AZ9" s="8">
        <f t="shared" si="34"/>
        <v>256</v>
      </c>
      <c r="BA9" s="14">
        <f t="shared" si="35"/>
        <v>888000</v>
      </c>
      <c r="BB9" s="7">
        <f t="shared" si="36"/>
        <v>558</v>
      </c>
      <c r="BC9" s="7">
        <f t="shared" si="37"/>
        <v>270</v>
      </c>
      <c r="BD9" s="8">
        <f t="shared" si="38"/>
        <v>288</v>
      </c>
      <c r="BE9" s="14">
        <f t="shared" si="39"/>
        <v>999000</v>
      </c>
      <c r="BF9" s="7">
        <f t="shared" si="40"/>
        <v>250</v>
      </c>
      <c r="BG9" s="7">
        <f t="shared" si="41"/>
        <v>116</v>
      </c>
      <c r="BH9" s="8">
        <f t="shared" si="42"/>
        <v>134</v>
      </c>
      <c r="BI9" s="14">
        <f t="shared" si="43"/>
        <v>429200</v>
      </c>
      <c r="BJ9" s="7">
        <f t="shared" si="44"/>
        <v>124</v>
      </c>
      <c r="BK9" s="7">
        <f t="shared" si="45"/>
        <v>60</v>
      </c>
      <c r="BL9" s="8">
        <f t="shared" si="46"/>
        <v>64</v>
      </c>
      <c r="BM9" s="14">
        <f t="shared" si="47"/>
        <v>222000</v>
      </c>
      <c r="BN9" s="7">
        <f t="shared" si="48"/>
        <v>558</v>
      </c>
      <c r="BO9" s="7">
        <f t="shared" si="49"/>
        <v>270</v>
      </c>
      <c r="BP9" s="8">
        <f t="shared" si="50"/>
        <v>288</v>
      </c>
      <c r="BQ9" s="14">
        <f t="shared" si="51"/>
        <v>999000</v>
      </c>
      <c r="BR9" s="7">
        <f t="shared" si="52"/>
        <v>372</v>
      </c>
      <c r="BS9" s="7">
        <f t="shared" si="53"/>
        <v>180</v>
      </c>
      <c r="BT9" s="8">
        <f t="shared" si="54"/>
        <v>192</v>
      </c>
      <c r="BU9" s="14">
        <f t="shared" si="55"/>
        <v>666000</v>
      </c>
      <c r="BV9" s="7">
        <f t="shared" si="56"/>
        <v>64</v>
      </c>
      <c r="BW9" s="7">
        <f>J9*16</f>
        <v>32</v>
      </c>
      <c r="BX9" s="8">
        <f t="shared" si="57"/>
        <v>32</v>
      </c>
      <c r="BY9" s="14">
        <f t="shared" si="58"/>
        <v>118400</v>
      </c>
      <c r="BZ9" s="7">
        <f t="shared" si="59"/>
        <v>24</v>
      </c>
      <c r="CA9" s="7">
        <f t="shared" si="60"/>
        <v>12</v>
      </c>
      <c r="CB9" s="8">
        <f t="shared" si="61"/>
        <v>12</v>
      </c>
      <c r="CC9" s="14">
        <f t="shared" si="62"/>
        <v>44400</v>
      </c>
      <c r="CD9" s="7">
        <f t="shared" si="63"/>
        <v>372</v>
      </c>
      <c r="CE9" s="7">
        <f t="shared" si="64"/>
        <v>180</v>
      </c>
      <c r="CF9" s="8">
        <f t="shared" si="65"/>
        <v>192</v>
      </c>
      <c r="CG9" s="14">
        <f t="shared" si="66"/>
        <v>666000</v>
      </c>
      <c r="CH9" s="7">
        <f t="shared" si="67"/>
        <v>372</v>
      </c>
      <c r="CI9" s="7">
        <f t="shared" si="68"/>
        <v>180</v>
      </c>
      <c r="CJ9" s="8">
        <f t="shared" si="69"/>
        <v>192</v>
      </c>
      <c r="CK9" s="14">
        <f t="shared" si="70"/>
        <v>666000</v>
      </c>
    </row>
    <row r="10" spans="2:89" s="2" customFormat="1" x14ac:dyDescent="0.3">
      <c r="B10" s="7">
        <f>'PLAN DE NECESIDADES'!B10</f>
        <v>6</v>
      </c>
      <c r="C10" s="7">
        <f>'PLAN DE NECESIDADES'!C10</f>
        <v>2791301</v>
      </c>
      <c r="D10" s="62" t="str">
        <f>'PLAN DE NECESIDADES'!D10</f>
        <v>INSIGNIA DEL GRADO SOLDADO:
ESPECIFICACIONES  TÉCNICAS   DE  ACUERDO A LA NORMA TÉCNICA KIT DE DOTACIÓN N°. NTMD-0356 - A2.</v>
      </c>
      <c r="E10" s="7" t="str">
        <f>'PLAN DE NECESIDADES'!E10</f>
        <v>JUEGO</v>
      </c>
      <c r="F10" s="7">
        <f>'PLAN DE NECESIDADES'!F10</f>
        <v>0</v>
      </c>
      <c r="G10" s="7">
        <f>'PLAN DE NECESIDADES'!H10</f>
        <v>11161701</v>
      </c>
      <c r="H10" s="7">
        <f>'PLAN DE NECESIDADES'!I10</f>
        <v>1047424</v>
      </c>
      <c r="I10" s="7" t="str">
        <f>'PLAN DE NECESIDADES'!J10</f>
        <v>SIN CREAR</v>
      </c>
      <c r="J10" s="7">
        <v>2</v>
      </c>
      <c r="K10" s="89">
        <v>69</v>
      </c>
      <c r="L10" s="89">
        <v>217</v>
      </c>
      <c r="M10" s="89">
        <v>279</v>
      </c>
      <c r="N10" s="89">
        <v>217</v>
      </c>
      <c r="O10" s="89">
        <v>248</v>
      </c>
      <c r="P10" s="89">
        <v>248</v>
      </c>
      <c r="Q10" s="89">
        <v>279</v>
      </c>
      <c r="R10" s="89">
        <v>125</v>
      </c>
      <c r="S10" s="89">
        <v>62</v>
      </c>
      <c r="T10" s="89">
        <v>279</v>
      </c>
      <c r="U10" s="89">
        <v>186</v>
      </c>
      <c r="V10" s="89">
        <v>32</v>
      </c>
      <c r="W10" s="89">
        <v>12</v>
      </c>
      <c r="X10" s="87">
        <v>186</v>
      </c>
      <c r="Y10" s="87">
        <v>186</v>
      </c>
      <c r="Z10" s="87">
        <f t="shared" si="13"/>
        <v>5312</v>
      </c>
      <c r="AA10" s="7">
        <f t="shared" si="14"/>
        <v>2534</v>
      </c>
      <c r="AB10" s="7">
        <f t="shared" si="15"/>
        <v>2778</v>
      </c>
      <c r="AC10" s="13">
        <v>14900</v>
      </c>
      <c r="AD10" s="7">
        <f t="shared" si="16"/>
        <v>138</v>
      </c>
      <c r="AE10" s="7">
        <f t="shared" si="72"/>
        <v>66</v>
      </c>
      <c r="AF10" s="8">
        <f t="shared" si="17"/>
        <v>72</v>
      </c>
      <c r="AG10" s="14">
        <f t="shared" si="18"/>
        <v>983400</v>
      </c>
      <c r="AH10" s="7">
        <f t="shared" si="19"/>
        <v>434</v>
      </c>
      <c r="AI10" s="7">
        <f t="shared" si="20"/>
        <v>210</v>
      </c>
      <c r="AJ10" s="8">
        <f t="shared" si="21"/>
        <v>224</v>
      </c>
      <c r="AK10" s="14">
        <f t="shared" si="22"/>
        <v>3129000</v>
      </c>
      <c r="AL10" s="7">
        <f t="shared" si="1"/>
        <v>558</v>
      </c>
      <c r="AM10" s="7">
        <f t="shared" si="73"/>
        <v>270</v>
      </c>
      <c r="AN10" s="8">
        <f t="shared" si="71"/>
        <v>288</v>
      </c>
      <c r="AO10" s="14">
        <f t="shared" si="24"/>
        <v>4023000</v>
      </c>
      <c r="AP10" s="7">
        <f t="shared" si="25"/>
        <v>434</v>
      </c>
      <c r="AQ10" s="7">
        <f t="shared" si="26"/>
        <v>210</v>
      </c>
      <c r="AR10" s="8">
        <f t="shared" si="27"/>
        <v>224</v>
      </c>
      <c r="AS10" s="14">
        <f t="shared" si="28"/>
        <v>3129000</v>
      </c>
      <c r="AT10" s="7">
        <f t="shared" si="29"/>
        <v>558</v>
      </c>
      <c r="AU10" s="7">
        <f t="shared" si="4"/>
        <v>240</v>
      </c>
      <c r="AV10" s="8">
        <f t="shared" si="30"/>
        <v>318</v>
      </c>
      <c r="AW10" s="14">
        <f t="shared" si="31"/>
        <v>3576000</v>
      </c>
      <c r="AX10" s="7">
        <f t="shared" si="32"/>
        <v>496</v>
      </c>
      <c r="AY10" s="7">
        <f t="shared" si="33"/>
        <v>240</v>
      </c>
      <c r="AZ10" s="8">
        <f t="shared" si="34"/>
        <v>256</v>
      </c>
      <c r="BA10" s="14">
        <f t="shared" si="35"/>
        <v>3576000</v>
      </c>
      <c r="BB10" s="7">
        <f t="shared" si="36"/>
        <v>558</v>
      </c>
      <c r="BC10" s="7">
        <f t="shared" si="37"/>
        <v>270</v>
      </c>
      <c r="BD10" s="8">
        <f t="shared" si="38"/>
        <v>288</v>
      </c>
      <c r="BE10" s="14">
        <f t="shared" si="39"/>
        <v>4023000</v>
      </c>
      <c r="BF10" s="7">
        <f t="shared" si="40"/>
        <v>250</v>
      </c>
      <c r="BG10" s="7">
        <f t="shared" si="41"/>
        <v>116</v>
      </c>
      <c r="BH10" s="8">
        <f t="shared" si="42"/>
        <v>134</v>
      </c>
      <c r="BI10" s="14">
        <f t="shared" si="43"/>
        <v>1728400</v>
      </c>
      <c r="BJ10" s="7">
        <f t="shared" si="44"/>
        <v>124</v>
      </c>
      <c r="BK10" s="7">
        <f t="shared" si="45"/>
        <v>60</v>
      </c>
      <c r="BL10" s="8">
        <f t="shared" si="46"/>
        <v>64</v>
      </c>
      <c r="BM10" s="14">
        <f t="shared" si="47"/>
        <v>894000</v>
      </c>
      <c r="BN10" s="7">
        <f t="shared" si="48"/>
        <v>558</v>
      </c>
      <c r="BO10" s="7">
        <f t="shared" si="49"/>
        <v>270</v>
      </c>
      <c r="BP10" s="8">
        <f t="shared" si="50"/>
        <v>288</v>
      </c>
      <c r="BQ10" s="14">
        <f t="shared" si="51"/>
        <v>4023000</v>
      </c>
      <c r="BR10" s="7">
        <f t="shared" si="52"/>
        <v>372</v>
      </c>
      <c r="BS10" s="7">
        <f t="shared" si="53"/>
        <v>180</v>
      </c>
      <c r="BT10" s="8">
        <f t="shared" si="54"/>
        <v>192</v>
      </c>
      <c r="BU10" s="14">
        <f t="shared" si="55"/>
        <v>2682000</v>
      </c>
      <c r="BV10" s="7">
        <f t="shared" si="56"/>
        <v>64</v>
      </c>
      <c r="BW10" s="7">
        <f t="shared" ref="BW10:BW15" si="74">J10*15</f>
        <v>30</v>
      </c>
      <c r="BX10" s="8">
        <f t="shared" si="57"/>
        <v>34</v>
      </c>
      <c r="BY10" s="14">
        <f t="shared" si="58"/>
        <v>447000</v>
      </c>
      <c r="BZ10" s="7">
        <f t="shared" si="59"/>
        <v>24</v>
      </c>
      <c r="CA10" s="7">
        <f t="shared" si="60"/>
        <v>12</v>
      </c>
      <c r="CB10" s="8">
        <f t="shared" si="61"/>
        <v>12</v>
      </c>
      <c r="CC10" s="14">
        <f t="shared" si="62"/>
        <v>178800</v>
      </c>
      <c r="CD10" s="7">
        <f t="shared" si="63"/>
        <v>372</v>
      </c>
      <c r="CE10" s="7">
        <f t="shared" si="64"/>
        <v>180</v>
      </c>
      <c r="CF10" s="8">
        <f t="shared" si="65"/>
        <v>192</v>
      </c>
      <c r="CG10" s="14">
        <f t="shared" si="66"/>
        <v>2682000</v>
      </c>
      <c r="CH10" s="7">
        <f t="shared" si="67"/>
        <v>372</v>
      </c>
      <c r="CI10" s="7">
        <f t="shared" si="68"/>
        <v>180</v>
      </c>
      <c r="CJ10" s="8">
        <f t="shared" si="69"/>
        <v>192</v>
      </c>
      <c r="CK10" s="14">
        <f t="shared" si="70"/>
        <v>2682000</v>
      </c>
    </row>
    <row r="11" spans="2:89" s="2" customFormat="1" x14ac:dyDescent="0.3">
      <c r="B11" s="7">
        <f>'PLAN DE NECESIDADES'!B11</f>
        <v>7</v>
      </c>
      <c r="C11" s="7">
        <f>'PLAN DE NECESIDADES'!C11</f>
        <v>2791301</v>
      </c>
      <c r="D11" s="62" t="str">
        <f>'PLAN DE NECESIDADES'!D11</f>
        <v>BRAZALETES TÁCTICOS X JUEGO DE 4:
ESPECIFICACIONES  TÉCNICAS   DE  ACUERDO A LA NORMA TÉCNICA KIT DE DOTACIÓN N°. NTMD-0356 - A2.</v>
      </c>
      <c r="E11" s="7" t="str">
        <f>'PLAN DE NECESIDADES'!E11</f>
        <v>JUEGO</v>
      </c>
      <c r="F11" s="7">
        <f>'PLAN DE NECESIDADES'!F11</f>
        <v>0</v>
      </c>
      <c r="G11" s="7">
        <f>'PLAN DE NECESIDADES'!H11</f>
        <v>11161701</v>
      </c>
      <c r="H11" s="7">
        <f>'PLAN DE NECESIDADES'!I11</f>
        <v>1248964</v>
      </c>
      <c r="I11" s="7" t="str">
        <f>'PLAN DE NECESIDADES'!J11</f>
        <v>8455-80-0011302</v>
      </c>
      <c r="J11" s="7">
        <v>1</v>
      </c>
      <c r="K11" s="89">
        <v>69</v>
      </c>
      <c r="L11" s="89">
        <v>217</v>
      </c>
      <c r="M11" s="89">
        <v>279</v>
      </c>
      <c r="N11" s="89">
        <v>217</v>
      </c>
      <c r="O11" s="89">
        <v>248</v>
      </c>
      <c r="P11" s="89">
        <v>248</v>
      </c>
      <c r="Q11" s="89">
        <v>279</v>
      </c>
      <c r="R11" s="89">
        <v>125</v>
      </c>
      <c r="S11" s="89">
        <v>62</v>
      </c>
      <c r="T11" s="89">
        <v>279</v>
      </c>
      <c r="U11" s="89">
        <v>186</v>
      </c>
      <c r="V11" s="89">
        <v>32</v>
      </c>
      <c r="W11" s="89">
        <v>12</v>
      </c>
      <c r="X11" s="87">
        <v>186</v>
      </c>
      <c r="Y11" s="87">
        <v>186</v>
      </c>
      <c r="Z11" s="87">
        <f t="shared" si="13"/>
        <v>2656</v>
      </c>
      <c r="AA11" s="7">
        <f t="shared" si="14"/>
        <v>1260</v>
      </c>
      <c r="AB11" s="7">
        <f t="shared" si="15"/>
        <v>1396</v>
      </c>
      <c r="AC11" s="13">
        <v>8200</v>
      </c>
      <c r="AD11" s="7">
        <f t="shared" si="16"/>
        <v>69</v>
      </c>
      <c r="AE11" s="7">
        <f t="shared" si="72"/>
        <v>33</v>
      </c>
      <c r="AF11" s="8">
        <f t="shared" si="17"/>
        <v>36</v>
      </c>
      <c r="AG11" s="14">
        <f t="shared" si="18"/>
        <v>270600</v>
      </c>
      <c r="AH11" s="7">
        <f t="shared" si="19"/>
        <v>217</v>
      </c>
      <c r="AI11" s="7">
        <f t="shared" si="20"/>
        <v>105</v>
      </c>
      <c r="AJ11" s="8">
        <f t="shared" si="21"/>
        <v>112</v>
      </c>
      <c r="AK11" s="14">
        <f t="shared" si="22"/>
        <v>861000</v>
      </c>
      <c r="AL11" s="7">
        <f t="shared" si="1"/>
        <v>279</v>
      </c>
      <c r="AM11" s="7">
        <f>J11*134</f>
        <v>134</v>
      </c>
      <c r="AN11" s="8">
        <f t="shared" si="71"/>
        <v>145</v>
      </c>
      <c r="AO11" s="14">
        <f t="shared" si="24"/>
        <v>1098800</v>
      </c>
      <c r="AP11" s="7">
        <f t="shared" si="25"/>
        <v>217</v>
      </c>
      <c r="AQ11" s="7">
        <f t="shared" si="26"/>
        <v>105</v>
      </c>
      <c r="AR11" s="8">
        <f t="shared" si="27"/>
        <v>112</v>
      </c>
      <c r="AS11" s="14">
        <f t="shared" si="28"/>
        <v>861000</v>
      </c>
      <c r="AT11" s="7">
        <f t="shared" si="29"/>
        <v>279</v>
      </c>
      <c r="AU11" s="7">
        <f t="shared" si="4"/>
        <v>120</v>
      </c>
      <c r="AV11" s="8">
        <f t="shared" si="30"/>
        <v>159</v>
      </c>
      <c r="AW11" s="14">
        <f t="shared" si="31"/>
        <v>984000</v>
      </c>
      <c r="AX11" s="7">
        <f t="shared" si="32"/>
        <v>248</v>
      </c>
      <c r="AY11" s="7">
        <f>J11*119</f>
        <v>119</v>
      </c>
      <c r="AZ11" s="8">
        <f t="shared" si="34"/>
        <v>129</v>
      </c>
      <c r="BA11" s="14">
        <f t="shared" si="35"/>
        <v>975800</v>
      </c>
      <c r="BB11" s="7">
        <f t="shared" si="36"/>
        <v>279</v>
      </c>
      <c r="BC11" s="7">
        <f>J11*134</f>
        <v>134</v>
      </c>
      <c r="BD11" s="8">
        <f t="shared" si="38"/>
        <v>145</v>
      </c>
      <c r="BE11" s="14">
        <f t="shared" si="39"/>
        <v>1098800</v>
      </c>
      <c r="BF11" s="7">
        <f t="shared" si="40"/>
        <v>125</v>
      </c>
      <c r="BG11" s="7">
        <f t="shared" si="41"/>
        <v>58</v>
      </c>
      <c r="BH11" s="8">
        <f t="shared" si="42"/>
        <v>67</v>
      </c>
      <c r="BI11" s="14">
        <f t="shared" si="43"/>
        <v>475600</v>
      </c>
      <c r="BJ11" s="7">
        <f t="shared" si="44"/>
        <v>62</v>
      </c>
      <c r="BK11" s="7">
        <f t="shared" si="45"/>
        <v>30</v>
      </c>
      <c r="BL11" s="8">
        <f t="shared" si="46"/>
        <v>32</v>
      </c>
      <c r="BM11" s="14">
        <f t="shared" si="47"/>
        <v>246000</v>
      </c>
      <c r="BN11" s="7">
        <f t="shared" si="48"/>
        <v>279</v>
      </c>
      <c r="BO11" s="7">
        <f t="shared" si="49"/>
        <v>135</v>
      </c>
      <c r="BP11" s="8">
        <f t="shared" si="50"/>
        <v>144</v>
      </c>
      <c r="BQ11" s="14">
        <f t="shared" si="51"/>
        <v>1107000</v>
      </c>
      <c r="BR11" s="7">
        <f t="shared" si="52"/>
        <v>186</v>
      </c>
      <c r="BS11" s="7">
        <f>J11*89</f>
        <v>89</v>
      </c>
      <c r="BT11" s="8">
        <f t="shared" si="54"/>
        <v>97</v>
      </c>
      <c r="BU11" s="14">
        <f t="shared" si="55"/>
        <v>729800</v>
      </c>
      <c r="BV11" s="7">
        <f t="shared" si="56"/>
        <v>32</v>
      </c>
      <c r="BW11" s="7">
        <f t="shared" si="74"/>
        <v>15</v>
      </c>
      <c r="BX11" s="8">
        <f t="shared" si="57"/>
        <v>17</v>
      </c>
      <c r="BY11" s="14">
        <f t="shared" si="58"/>
        <v>123000</v>
      </c>
      <c r="BZ11" s="7">
        <f t="shared" si="59"/>
        <v>12</v>
      </c>
      <c r="CA11" s="7">
        <f>J11*5</f>
        <v>5</v>
      </c>
      <c r="CB11" s="8">
        <f t="shared" si="61"/>
        <v>7</v>
      </c>
      <c r="CC11" s="14">
        <f t="shared" si="62"/>
        <v>41000</v>
      </c>
      <c r="CD11" s="7">
        <f t="shared" si="63"/>
        <v>186</v>
      </c>
      <c r="CE11" s="7">
        <f>J11*89</f>
        <v>89</v>
      </c>
      <c r="CF11" s="8">
        <f t="shared" si="65"/>
        <v>97</v>
      </c>
      <c r="CG11" s="14">
        <f t="shared" si="66"/>
        <v>729800</v>
      </c>
      <c r="CH11" s="7">
        <f t="shared" si="67"/>
        <v>186</v>
      </c>
      <c r="CI11" s="7">
        <f>J11*89</f>
        <v>89</v>
      </c>
      <c r="CJ11" s="8">
        <f t="shared" si="69"/>
        <v>97</v>
      </c>
      <c r="CK11" s="14">
        <f t="shared" si="70"/>
        <v>729800</v>
      </c>
    </row>
    <row r="12" spans="2:89" s="2" customFormat="1" x14ac:dyDescent="0.3">
      <c r="B12" s="7">
        <f>'PLAN DE NECESIDADES'!B12</f>
        <v>8</v>
      </c>
      <c r="C12" s="7">
        <f>'PLAN DE NECESIDADES'!C12</f>
        <v>2791301</v>
      </c>
      <c r="D12" s="62" t="str">
        <f>'PLAN DE NECESIDADES'!D12</f>
        <v>OJOS DE GATO:
ESPECIFICACIONES  TÉCNICAS   DE  ACUERDO A LA NORMA TÉCNICA KIT DE DOTACIÓN N°. NTMD-0356 - A2.</v>
      </c>
      <c r="E12" s="7" t="str">
        <f>'PLAN DE NECESIDADES'!E12</f>
        <v>UNIDAD</v>
      </c>
      <c r="F12" s="7">
        <f>'PLAN DE NECESIDADES'!F12</f>
        <v>0</v>
      </c>
      <c r="G12" s="7">
        <f>'PLAN DE NECESIDADES'!H12</f>
        <v>11161701</v>
      </c>
      <c r="H12" s="7">
        <f>'PLAN DE NECESIDADES'!I12</f>
        <v>1082391</v>
      </c>
      <c r="I12" s="7" t="str">
        <f>'PLAN DE NECESIDADES'!J12</f>
        <v>SIN CREAR</v>
      </c>
      <c r="J12" s="7">
        <v>2</v>
      </c>
      <c r="K12" s="89">
        <v>69</v>
      </c>
      <c r="L12" s="89">
        <v>217</v>
      </c>
      <c r="M12" s="89">
        <v>279</v>
      </c>
      <c r="N12" s="89">
        <v>217</v>
      </c>
      <c r="O12" s="89">
        <v>248</v>
      </c>
      <c r="P12" s="89">
        <v>248</v>
      </c>
      <c r="Q12" s="89">
        <v>279</v>
      </c>
      <c r="R12" s="89">
        <v>125</v>
      </c>
      <c r="S12" s="89">
        <v>62</v>
      </c>
      <c r="T12" s="89">
        <v>279</v>
      </c>
      <c r="U12" s="89">
        <v>186</v>
      </c>
      <c r="V12" s="89">
        <v>32</v>
      </c>
      <c r="W12" s="89">
        <v>12</v>
      </c>
      <c r="X12" s="87">
        <v>186</v>
      </c>
      <c r="Y12" s="87">
        <v>186</v>
      </c>
      <c r="Z12" s="87">
        <f t="shared" si="13"/>
        <v>5312</v>
      </c>
      <c r="AA12" s="7">
        <f t="shared" si="14"/>
        <v>2534</v>
      </c>
      <c r="AB12" s="7">
        <f t="shared" si="15"/>
        <v>2778</v>
      </c>
      <c r="AC12" s="13">
        <v>4100</v>
      </c>
      <c r="AD12" s="7">
        <f t="shared" si="16"/>
        <v>138</v>
      </c>
      <c r="AE12" s="7">
        <f t="shared" si="72"/>
        <v>66</v>
      </c>
      <c r="AF12" s="8">
        <f t="shared" si="17"/>
        <v>72</v>
      </c>
      <c r="AG12" s="14">
        <f t="shared" si="18"/>
        <v>270600</v>
      </c>
      <c r="AH12" s="7">
        <f t="shared" si="19"/>
        <v>434</v>
      </c>
      <c r="AI12" s="7">
        <f t="shared" si="20"/>
        <v>210</v>
      </c>
      <c r="AJ12" s="8">
        <f t="shared" si="21"/>
        <v>224</v>
      </c>
      <c r="AK12" s="14">
        <f t="shared" si="22"/>
        <v>861000</v>
      </c>
      <c r="AL12" s="7">
        <f t="shared" si="1"/>
        <v>558</v>
      </c>
      <c r="AM12" s="7">
        <f t="shared" si="73"/>
        <v>270</v>
      </c>
      <c r="AN12" s="8">
        <f t="shared" si="71"/>
        <v>288</v>
      </c>
      <c r="AO12" s="14">
        <f t="shared" si="24"/>
        <v>1107000</v>
      </c>
      <c r="AP12" s="7">
        <f t="shared" si="25"/>
        <v>434</v>
      </c>
      <c r="AQ12" s="7">
        <f t="shared" si="26"/>
        <v>210</v>
      </c>
      <c r="AR12" s="8">
        <f t="shared" si="27"/>
        <v>224</v>
      </c>
      <c r="AS12" s="14">
        <f t="shared" si="28"/>
        <v>861000</v>
      </c>
      <c r="AT12" s="7">
        <f t="shared" si="29"/>
        <v>558</v>
      </c>
      <c r="AU12" s="7">
        <f t="shared" si="4"/>
        <v>240</v>
      </c>
      <c r="AV12" s="8">
        <f t="shared" si="30"/>
        <v>318</v>
      </c>
      <c r="AW12" s="14">
        <f t="shared" si="31"/>
        <v>984000</v>
      </c>
      <c r="AX12" s="7">
        <f t="shared" si="32"/>
        <v>496</v>
      </c>
      <c r="AY12" s="7">
        <f t="shared" si="33"/>
        <v>240</v>
      </c>
      <c r="AZ12" s="8">
        <f t="shared" si="34"/>
        <v>256</v>
      </c>
      <c r="BA12" s="14">
        <f t="shared" si="35"/>
        <v>984000</v>
      </c>
      <c r="BB12" s="7">
        <f t="shared" si="36"/>
        <v>558</v>
      </c>
      <c r="BC12" s="7">
        <f t="shared" si="37"/>
        <v>270</v>
      </c>
      <c r="BD12" s="8">
        <f t="shared" si="38"/>
        <v>288</v>
      </c>
      <c r="BE12" s="14">
        <f t="shared" si="39"/>
        <v>1107000</v>
      </c>
      <c r="BF12" s="7">
        <f t="shared" si="40"/>
        <v>250</v>
      </c>
      <c r="BG12" s="7">
        <f t="shared" si="41"/>
        <v>116</v>
      </c>
      <c r="BH12" s="8">
        <f t="shared" si="42"/>
        <v>134</v>
      </c>
      <c r="BI12" s="14">
        <f t="shared" si="43"/>
        <v>475600</v>
      </c>
      <c r="BJ12" s="7">
        <f t="shared" si="44"/>
        <v>124</v>
      </c>
      <c r="BK12" s="7">
        <f t="shared" si="45"/>
        <v>60</v>
      </c>
      <c r="BL12" s="8">
        <f t="shared" si="46"/>
        <v>64</v>
      </c>
      <c r="BM12" s="14">
        <f t="shared" si="47"/>
        <v>246000</v>
      </c>
      <c r="BN12" s="7">
        <f t="shared" si="48"/>
        <v>558</v>
      </c>
      <c r="BO12" s="7">
        <f t="shared" si="49"/>
        <v>270</v>
      </c>
      <c r="BP12" s="8">
        <f t="shared" si="50"/>
        <v>288</v>
      </c>
      <c r="BQ12" s="14">
        <f t="shared" si="51"/>
        <v>1107000</v>
      </c>
      <c r="BR12" s="7">
        <f t="shared" si="52"/>
        <v>372</v>
      </c>
      <c r="BS12" s="7">
        <f t="shared" si="53"/>
        <v>180</v>
      </c>
      <c r="BT12" s="8">
        <f t="shared" si="54"/>
        <v>192</v>
      </c>
      <c r="BU12" s="14">
        <f t="shared" si="55"/>
        <v>738000</v>
      </c>
      <c r="BV12" s="7">
        <f t="shared" si="56"/>
        <v>64</v>
      </c>
      <c r="BW12" s="7">
        <f t="shared" si="74"/>
        <v>30</v>
      </c>
      <c r="BX12" s="8">
        <f t="shared" si="57"/>
        <v>34</v>
      </c>
      <c r="BY12" s="14">
        <f t="shared" si="58"/>
        <v>123000</v>
      </c>
      <c r="BZ12" s="7">
        <f t="shared" si="59"/>
        <v>24</v>
      </c>
      <c r="CA12" s="7">
        <f t="shared" si="60"/>
        <v>12</v>
      </c>
      <c r="CB12" s="8">
        <f t="shared" si="61"/>
        <v>12</v>
      </c>
      <c r="CC12" s="14">
        <f t="shared" si="62"/>
        <v>49200</v>
      </c>
      <c r="CD12" s="7">
        <f t="shared" si="63"/>
        <v>372</v>
      </c>
      <c r="CE12" s="7">
        <f t="shared" si="64"/>
        <v>180</v>
      </c>
      <c r="CF12" s="8">
        <f t="shared" si="65"/>
        <v>192</v>
      </c>
      <c r="CG12" s="14">
        <f t="shared" si="66"/>
        <v>738000</v>
      </c>
      <c r="CH12" s="7">
        <f t="shared" si="67"/>
        <v>372</v>
      </c>
      <c r="CI12" s="7">
        <f t="shared" si="68"/>
        <v>180</v>
      </c>
      <c r="CJ12" s="8">
        <f t="shared" si="69"/>
        <v>192</v>
      </c>
      <c r="CK12" s="14">
        <f t="shared" si="70"/>
        <v>738000</v>
      </c>
    </row>
    <row r="13" spans="2:89" s="2" customFormat="1" x14ac:dyDescent="0.3">
      <c r="B13" s="7">
        <f>'PLAN DE NECESIDADES'!B13</f>
        <v>9</v>
      </c>
      <c r="C13" s="7">
        <f>'PLAN DE NECESIDADES'!C13</f>
        <v>2792201</v>
      </c>
      <c r="D13" s="62" t="str">
        <f>'PLAN DE NECESIDADES'!D13</f>
        <v>LIGAS PARA BOTA MANGA PANTALÓN CAMUFLADO:
ESPECIFICACIONES  TÉCNICAS   DE  ACUERDO A LA NORMA TÉCNICA KIT DE DOTACIÓN N°. NTMD-0356 - A2.</v>
      </c>
      <c r="E13" s="7" t="str">
        <f>'PLAN DE NECESIDADES'!E13</f>
        <v>PAR</v>
      </c>
      <c r="F13" s="7">
        <f>'PLAN DE NECESIDADES'!F13</f>
        <v>0</v>
      </c>
      <c r="G13" s="7">
        <f>'PLAN DE NECESIDADES'!H13</f>
        <v>53102509</v>
      </c>
      <c r="H13" s="7">
        <f>'PLAN DE NECESIDADES'!I13</f>
        <v>1127360</v>
      </c>
      <c r="I13" s="7" t="str">
        <f>'PLAN DE NECESIDADES'!J13</f>
        <v>8440-80-0011394</v>
      </c>
      <c r="J13" s="7">
        <v>1</v>
      </c>
      <c r="K13" s="89">
        <v>69</v>
      </c>
      <c r="L13" s="89">
        <v>217</v>
      </c>
      <c r="M13" s="89">
        <v>279</v>
      </c>
      <c r="N13" s="89">
        <v>217</v>
      </c>
      <c r="O13" s="89">
        <v>248</v>
      </c>
      <c r="P13" s="89">
        <v>248</v>
      </c>
      <c r="Q13" s="89">
        <v>279</v>
      </c>
      <c r="R13" s="89">
        <v>125</v>
      </c>
      <c r="S13" s="89">
        <v>62</v>
      </c>
      <c r="T13" s="89">
        <v>279</v>
      </c>
      <c r="U13" s="89">
        <v>186</v>
      </c>
      <c r="V13" s="89">
        <v>32</v>
      </c>
      <c r="W13" s="89">
        <v>12</v>
      </c>
      <c r="X13" s="87">
        <v>186</v>
      </c>
      <c r="Y13" s="87">
        <v>186</v>
      </c>
      <c r="Z13" s="87">
        <f t="shared" si="13"/>
        <v>2656</v>
      </c>
      <c r="AA13" s="7">
        <f t="shared" si="14"/>
        <v>1258</v>
      </c>
      <c r="AB13" s="7">
        <f t="shared" si="15"/>
        <v>1398</v>
      </c>
      <c r="AC13" s="13">
        <v>3400</v>
      </c>
      <c r="AD13" s="7">
        <f t="shared" si="16"/>
        <v>69</v>
      </c>
      <c r="AE13" s="7">
        <f>J13*34</f>
        <v>34</v>
      </c>
      <c r="AF13" s="8">
        <f t="shared" si="17"/>
        <v>35</v>
      </c>
      <c r="AG13" s="14">
        <f t="shared" si="18"/>
        <v>115600</v>
      </c>
      <c r="AH13" s="7">
        <f t="shared" si="19"/>
        <v>217</v>
      </c>
      <c r="AI13" s="7">
        <f>J13*104</f>
        <v>104</v>
      </c>
      <c r="AJ13" s="8">
        <f t="shared" si="21"/>
        <v>113</v>
      </c>
      <c r="AK13" s="14">
        <f t="shared" si="22"/>
        <v>353600</v>
      </c>
      <c r="AL13" s="7">
        <f t="shared" si="1"/>
        <v>279</v>
      </c>
      <c r="AM13" s="7">
        <f>J13*134</f>
        <v>134</v>
      </c>
      <c r="AN13" s="8">
        <f t="shared" si="71"/>
        <v>145</v>
      </c>
      <c r="AO13" s="14">
        <f t="shared" si="24"/>
        <v>455600</v>
      </c>
      <c r="AP13" s="7">
        <f t="shared" si="25"/>
        <v>217</v>
      </c>
      <c r="AQ13" s="7">
        <f>J13*106</f>
        <v>106</v>
      </c>
      <c r="AR13" s="8">
        <f t="shared" si="27"/>
        <v>111</v>
      </c>
      <c r="AS13" s="14">
        <f t="shared" si="28"/>
        <v>360400</v>
      </c>
      <c r="AT13" s="7">
        <f t="shared" si="29"/>
        <v>279</v>
      </c>
      <c r="AU13" s="7">
        <f>J13*118</f>
        <v>118</v>
      </c>
      <c r="AV13" s="8">
        <f t="shared" si="30"/>
        <v>161</v>
      </c>
      <c r="AW13" s="14">
        <f t="shared" si="31"/>
        <v>401200</v>
      </c>
      <c r="AX13" s="7">
        <f t="shared" si="32"/>
        <v>248</v>
      </c>
      <c r="AY13" s="7">
        <f>J13*119</f>
        <v>119</v>
      </c>
      <c r="AZ13" s="8">
        <f t="shared" si="34"/>
        <v>129</v>
      </c>
      <c r="BA13" s="14">
        <f t="shared" si="35"/>
        <v>404600</v>
      </c>
      <c r="BB13" s="7">
        <f t="shared" si="36"/>
        <v>279</v>
      </c>
      <c r="BC13" s="7">
        <f>J13*134</f>
        <v>134</v>
      </c>
      <c r="BD13" s="8">
        <f t="shared" si="38"/>
        <v>145</v>
      </c>
      <c r="BE13" s="14">
        <f t="shared" si="39"/>
        <v>455600</v>
      </c>
      <c r="BF13" s="7">
        <f t="shared" si="40"/>
        <v>125</v>
      </c>
      <c r="BG13" s="7">
        <f t="shared" si="41"/>
        <v>58</v>
      </c>
      <c r="BH13" s="8">
        <f t="shared" si="42"/>
        <v>67</v>
      </c>
      <c r="BI13" s="14">
        <f t="shared" si="43"/>
        <v>197200</v>
      </c>
      <c r="BJ13" s="7">
        <f t="shared" si="44"/>
        <v>62</v>
      </c>
      <c r="BK13" s="7">
        <f>J13*29</f>
        <v>29</v>
      </c>
      <c r="BL13" s="8">
        <f t="shared" si="46"/>
        <v>33</v>
      </c>
      <c r="BM13" s="14">
        <f t="shared" si="47"/>
        <v>98600</v>
      </c>
      <c r="BN13" s="7">
        <f t="shared" si="48"/>
        <v>279</v>
      </c>
      <c r="BO13" s="7">
        <f>J13*133</f>
        <v>133</v>
      </c>
      <c r="BP13" s="8">
        <f t="shared" si="50"/>
        <v>146</v>
      </c>
      <c r="BQ13" s="14">
        <f t="shared" si="51"/>
        <v>452200</v>
      </c>
      <c r="BR13" s="7">
        <f t="shared" si="52"/>
        <v>186</v>
      </c>
      <c r="BS13" s="7">
        <f t="shared" si="53"/>
        <v>90</v>
      </c>
      <c r="BT13" s="8">
        <f t="shared" si="54"/>
        <v>96</v>
      </c>
      <c r="BU13" s="14">
        <f t="shared" si="55"/>
        <v>306000</v>
      </c>
      <c r="BV13" s="7">
        <f t="shared" si="56"/>
        <v>32</v>
      </c>
      <c r="BW13" s="7">
        <f t="shared" si="74"/>
        <v>15</v>
      </c>
      <c r="BX13" s="8">
        <f t="shared" si="57"/>
        <v>17</v>
      </c>
      <c r="BY13" s="14">
        <f t="shared" si="58"/>
        <v>51000</v>
      </c>
      <c r="BZ13" s="7">
        <f t="shared" si="59"/>
        <v>12</v>
      </c>
      <c r="CA13" s="7">
        <f>J13*4</f>
        <v>4</v>
      </c>
      <c r="CB13" s="8">
        <f t="shared" si="61"/>
        <v>8</v>
      </c>
      <c r="CC13" s="14">
        <f t="shared" si="62"/>
        <v>13600</v>
      </c>
      <c r="CD13" s="7">
        <f t="shared" si="63"/>
        <v>186</v>
      </c>
      <c r="CE13" s="7">
        <f t="shared" si="64"/>
        <v>90</v>
      </c>
      <c r="CF13" s="8">
        <f t="shared" si="65"/>
        <v>96</v>
      </c>
      <c r="CG13" s="14">
        <f t="shared" si="66"/>
        <v>306000</v>
      </c>
      <c r="CH13" s="7">
        <f t="shared" si="67"/>
        <v>186</v>
      </c>
      <c r="CI13" s="7">
        <f t="shared" si="68"/>
        <v>90</v>
      </c>
      <c r="CJ13" s="8">
        <f t="shared" si="69"/>
        <v>96</v>
      </c>
      <c r="CK13" s="14">
        <f t="shared" si="70"/>
        <v>306000</v>
      </c>
    </row>
    <row r="14" spans="2:89" s="2" customFormat="1" x14ac:dyDescent="0.3">
      <c r="B14" s="7">
        <f>'PLAN DE NECESIDADES'!B14</f>
        <v>10</v>
      </c>
      <c r="C14" s="7">
        <f>'PLAN DE NECESIDADES'!C14</f>
        <v>2712007</v>
      </c>
      <c r="D14" s="62" t="str">
        <f>'PLAN DE NECESIDADES'!D14</f>
        <v>PAÑUELO:
ESPECIFICACIONES  TÉCNICAS   DE  ACUERDO A LA NORMA TÉCNICA KIT DE DOTACIÓN N°. NTMD-0356 - A2.</v>
      </c>
      <c r="E14" s="7" t="str">
        <f>'PLAN DE NECESIDADES'!E14</f>
        <v>UNIDAD</v>
      </c>
      <c r="F14" s="7">
        <f>'PLAN DE NECESIDADES'!F14</f>
        <v>0</v>
      </c>
      <c r="G14" s="7">
        <f>'PLAN DE NECESIDADES'!H14</f>
        <v>53102512</v>
      </c>
      <c r="H14" s="7">
        <f>'PLAN DE NECESIDADES'!I14</f>
        <v>1316012</v>
      </c>
      <c r="I14" s="7" t="str">
        <f>'PLAN DE NECESIDADES'!J14</f>
        <v>8440-80-0011303</v>
      </c>
      <c r="J14" s="7">
        <v>2</v>
      </c>
      <c r="K14" s="89">
        <v>69</v>
      </c>
      <c r="L14" s="89">
        <v>217</v>
      </c>
      <c r="M14" s="89">
        <v>279</v>
      </c>
      <c r="N14" s="89">
        <v>217</v>
      </c>
      <c r="O14" s="89">
        <v>248</v>
      </c>
      <c r="P14" s="89">
        <v>248</v>
      </c>
      <c r="Q14" s="89">
        <v>279</v>
      </c>
      <c r="R14" s="89">
        <v>125</v>
      </c>
      <c r="S14" s="89">
        <v>62</v>
      </c>
      <c r="T14" s="89">
        <v>279</v>
      </c>
      <c r="U14" s="89">
        <v>186</v>
      </c>
      <c r="V14" s="89">
        <v>32</v>
      </c>
      <c r="W14" s="89">
        <v>12</v>
      </c>
      <c r="X14" s="87">
        <v>186</v>
      </c>
      <c r="Y14" s="87">
        <v>186</v>
      </c>
      <c r="Z14" s="87">
        <f t="shared" si="13"/>
        <v>5312</v>
      </c>
      <c r="AA14" s="7">
        <f t="shared" si="14"/>
        <v>2532</v>
      </c>
      <c r="AB14" s="7">
        <f t="shared" si="15"/>
        <v>2780</v>
      </c>
      <c r="AC14" s="13">
        <v>4000</v>
      </c>
      <c r="AD14" s="7">
        <f t="shared" si="16"/>
        <v>138</v>
      </c>
      <c r="AE14" s="7">
        <f t="shared" si="72"/>
        <v>66</v>
      </c>
      <c r="AF14" s="8">
        <f t="shared" si="17"/>
        <v>72</v>
      </c>
      <c r="AG14" s="14">
        <f t="shared" si="18"/>
        <v>264000</v>
      </c>
      <c r="AH14" s="7">
        <f t="shared" si="19"/>
        <v>434</v>
      </c>
      <c r="AI14" s="7">
        <f t="shared" si="20"/>
        <v>210</v>
      </c>
      <c r="AJ14" s="8">
        <f t="shared" si="21"/>
        <v>224</v>
      </c>
      <c r="AK14" s="14">
        <f t="shared" si="22"/>
        <v>840000</v>
      </c>
      <c r="AL14" s="7">
        <f t="shared" si="1"/>
        <v>558</v>
      </c>
      <c r="AM14" s="7">
        <f t="shared" si="73"/>
        <v>270</v>
      </c>
      <c r="AN14" s="8">
        <f t="shared" si="71"/>
        <v>288</v>
      </c>
      <c r="AO14" s="14">
        <f t="shared" si="24"/>
        <v>1080000</v>
      </c>
      <c r="AP14" s="7">
        <f t="shared" si="25"/>
        <v>434</v>
      </c>
      <c r="AQ14" s="7">
        <f>J14*104</f>
        <v>208</v>
      </c>
      <c r="AR14" s="8">
        <f t="shared" si="27"/>
        <v>226</v>
      </c>
      <c r="AS14" s="14">
        <f t="shared" si="28"/>
        <v>832000</v>
      </c>
      <c r="AT14" s="7">
        <f t="shared" si="29"/>
        <v>558</v>
      </c>
      <c r="AU14" s="7">
        <f t="shared" si="4"/>
        <v>240</v>
      </c>
      <c r="AV14" s="8">
        <f t="shared" si="30"/>
        <v>318</v>
      </c>
      <c r="AW14" s="14">
        <f t="shared" si="31"/>
        <v>960000</v>
      </c>
      <c r="AX14" s="7">
        <f t="shared" si="32"/>
        <v>496</v>
      </c>
      <c r="AY14" s="7">
        <f t="shared" si="33"/>
        <v>240</v>
      </c>
      <c r="AZ14" s="8">
        <f t="shared" si="34"/>
        <v>256</v>
      </c>
      <c r="BA14" s="14">
        <f t="shared" si="35"/>
        <v>960000</v>
      </c>
      <c r="BB14" s="7">
        <f t="shared" si="36"/>
        <v>558</v>
      </c>
      <c r="BC14" s="7">
        <f t="shared" si="37"/>
        <v>270</v>
      </c>
      <c r="BD14" s="8">
        <f t="shared" si="38"/>
        <v>288</v>
      </c>
      <c r="BE14" s="14">
        <f t="shared" si="39"/>
        <v>1080000</v>
      </c>
      <c r="BF14" s="7">
        <f t="shared" si="40"/>
        <v>250</v>
      </c>
      <c r="BG14" s="7">
        <f t="shared" si="41"/>
        <v>116</v>
      </c>
      <c r="BH14" s="8">
        <f t="shared" si="42"/>
        <v>134</v>
      </c>
      <c r="BI14" s="14">
        <f t="shared" si="43"/>
        <v>464000</v>
      </c>
      <c r="BJ14" s="7">
        <f t="shared" si="44"/>
        <v>124</v>
      </c>
      <c r="BK14" s="7">
        <f t="shared" si="45"/>
        <v>60</v>
      </c>
      <c r="BL14" s="8">
        <f t="shared" si="46"/>
        <v>64</v>
      </c>
      <c r="BM14" s="14">
        <f t="shared" si="47"/>
        <v>240000</v>
      </c>
      <c r="BN14" s="7">
        <f t="shared" si="48"/>
        <v>558</v>
      </c>
      <c r="BO14" s="7">
        <f t="shared" si="49"/>
        <v>270</v>
      </c>
      <c r="BP14" s="8">
        <f t="shared" si="50"/>
        <v>288</v>
      </c>
      <c r="BQ14" s="14">
        <f t="shared" si="51"/>
        <v>1080000</v>
      </c>
      <c r="BR14" s="7">
        <f t="shared" si="52"/>
        <v>372</v>
      </c>
      <c r="BS14" s="7">
        <f t="shared" si="53"/>
        <v>180</v>
      </c>
      <c r="BT14" s="8">
        <f t="shared" si="54"/>
        <v>192</v>
      </c>
      <c r="BU14" s="14">
        <f t="shared" si="55"/>
        <v>720000</v>
      </c>
      <c r="BV14" s="7">
        <f t="shared" si="56"/>
        <v>64</v>
      </c>
      <c r="BW14" s="7">
        <f t="shared" si="74"/>
        <v>30</v>
      </c>
      <c r="BX14" s="8">
        <f t="shared" si="57"/>
        <v>34</v>
      </c>
      <c r="BY14" s="14">
        <f t="shared" si="58"/>
        <v>120000</v>
      </c>
      <c r="BZ14" s="7">
        <f t="shared" si="59"/>
        <v>24</v>
      </c>
      <c r="CA14" s="7">
        <f t="shared" si="60"/>
        <v>12</v>
      </c>
      <c r="CB14" s="8">
        <f t="shared" si="61"/>
        <v>12</v>
      </c>
      <c r="CC14" s="14">
        <f t="shared" si="62"/>
        <v>48000</v>
      </c>
      <c r="CD14" s="7">
        <f t="shared" si="63"/>
        <v>372</v>
      </c>
      <c r="CE14" s="7">
        <f t="shared" si="64"/>
        <v>180</v>
      </c>
      <c r="CF14" s="8">
        <f t="shared" si="65"/>
        <v>192</v>
      </c>
      <c r="CG14" s="14">
        <f t="shared" si="66"/>
        <v>720000</v>
      </c>
      <c r="CH14" s="7">
        <f t="shared" si="67"/>
        <v>372</v>
      </c>
      <c r="CI14" s="7">
        <f t="shared" si="68"/>
        <v>180</v>
      </c>
      <c r="CJ14" s="8">
        <f t="shared" si="69"/>
        <v>192</v>
      </c>
      <c r="CK14" s="14">
        <f t="shared" si="70"/>
        <v>720000</v>
      </c>
    </row>
    <row r="15" spans="2:89" s="2" customFormat="1" x14ac:dyDescent="0.3">
      <c r="B15" s="7">
        <f>'PLAN DE NECESIDADES'!B15</f>
        <v>11</v>
      </c>
      <c r="C15" s="7">
        <f>'PLAN DE NECESIDADES'!C15</f>
        <v>2799701</v>
      </c>
      <c r="D15" s="62" t="str">
        <f>'PLAN DE NECESIDADES'!D15</f>
        <v>BOLSO PARA ÚTILES DE ASEO:
ESPECIFICACIONES  TÉCNICAS   DE  ACUERDO A LA NORMA TÉCNICA KIT DE DOTACIÓN N°. NTMD-0356 - A2.</v>
      </c>
      <c r="E15" s="7" t="str">
        <f>'PLAN DE NECESIDADES'!E15</f>
        <v>UNIDAD</v>
      </c>
      <c r="F15" s="7">
        <f>'PLAN DE NECESIDADES'!F15</f>
        <v>0</v>
      </c>
      <c r="G15" s="7">
        <f>'PLAN DE NECESIDADES'!H15</f>
        <v>53121503</v>
      </c>
      <c r="H15" s="7">
        <f>'PLAN DE NECESIDADES'!I15</f>
        <v>1082376</v>
      </c>
      <c r="I15" s="7" t="str">
        <f>'PLAN DE NECESIDADES'!J15</f>
        <v>SIN CREAR</v>
      </c>
      <c r="J15" s="7">
        <v>1</v>
      </c>
      <c r="K15" s="89">
        <v>69</v>
      </c>
      <c r="L15" s="89">
        <v>217</v>
      </c>
      <c r="M15" s="89">
        <v>279</v>
      </c>
      <c r="N15" s="89">
        <v>217</v>
      </c>
      <c r="O15" s="89">
        <v>248</v>
      </c>
      <c r="P15" s="89">
        <v>248</v>
      </c>
      <c r="Q15" s="89">
        <v>279</v>
      </c>
      <c r="R15" s="89">
        <v>125</v>
      </c>
      <c r="S15" s="89">
        <v>62</v>
      </c>
      <c r="T15" s="89">
        <v>279</v>
      </c>
      <c r="U15" s="89">
        <v>186</v>
      </c>
      <c r="V15" s="89">
        <v>32</v>
      </c>
      <c r="W15" s="89">
        <v>12</v>
      </c>
      <c r="X15" s="87">
        <v>186</v>
      </c>
      <c r="Y15" s="87">
        <v>186</v>
      </c>
      <c r="Z15" s="87">
        <f t="shared" si="13"/>
        <v>2656</v>
      </c>
      <c r="AA15" s="7">
        <f t="shared" si="14"/>
        <v>1262</v>
      </c>
      <c r="AB15" s="7">
        <f t="shared" si="15"/>
        <v>1394</v>
      </c>
      <c r="AC15" s="13">
        <v>5400</v>
      </c>
      <c r="AD15" s="7">
        <f t="shared" si="16"/>
        <v>69</v>
      </c>
      <c r="AE15" s="7">
        <f t="shared" si="72"/>
        <v>33</v>
      </c>
      <c r="AF15" s="8">
        <f t="shared" si="17"/>
        <v>36</v>
      </c>
      <c r="AG15" s="14">
        <f t="shared" si="18"/>
        <v>178200</v>
      </c>
      <c r="AH15" s="7">
        <f t="shared" si="19"/>
        <v>217</v>
      </c>
      <c r="AI15" s="7">
        <f t="shared" si="20"/>
        <v>105</v>
      </c>
      <c r="AJ15" s="8">
        <f t="shared" si="21"/>
        <v>112</v>
      </c>
      <c r="AK15" s="14">
        <f t="shared" si="22"/>
        <v>567000</v>
      </c>
      <c r="AL15" s="7">
        <f>M15*J15</f>
        <v>279</v>
      </c>
      <c r="AM15" s="7">
        <f t="shared" si="73"/>
        <v>135</v>
      </c>
      <c r="AN15" s="8">
        <f t="shared" si="71"/>
        <v>144</v>
      </c>
      <c r="AO15" s="14">
        <f t="shared" si="24"/>
        <v>729000</v>
      </c>
      <c r="AP15" s="7">
        <f t="shared" si="25"/>
        <v>217</v>
      </c>
      <c r="AQ15" s="7">
        <f>J15*104</f>
        <v>104</v>
      </c>
      <c r="AR15" s="8">
        <f t="shared" si="27"/>
        <v>113</v>
      </c>
      <c r="AS15" s="14">
        <f t="shared" si="28"/>
        <v>561600</v>
      </c>
      <c r="AT15" s="7">
        <f t="shared" si="29"/>
        <v>279</v>
      </c>
      <c r="AU15" s="7">
        <f>J15*119</f>
        <v>119</v>
      </c>
      <c r="AV15" s="8">
        <f t="shared" si="30"/>
        <v>160</v>
      </c>
      <c r="AW15" s="14">
        <f t="shared" si="31"/>
        <v>642600</v>
      </c>
      <c r="AX15" s="7">
        <f t="shared" si="32"/>
        <v>248</v>
      </c>
      <c r="AY15" s="7">
        <f t="shared" si="33"/>
        <v>120</v>
      </c>
      <c r="AZ15" s="8">
        <f t="shared" si="34"/>
        <v>128</v>
      </c>
      <c r="BA15" s="14">
        <f t="shared" si="35"/>
        <v>648000</v>
      </c>
      <c r="BB15" s="7">
        <f t="shared" si="36"/>
        <v>279</v>
      </c>
      <c r="BC15" s="7">
        <f t="shared" si="37"/>
        <v>135</v>
      </c>
      <c r="BD15" s="8">
        <f t="shared" si="38"/>
        <v>144</v>
      </c>
      <c r="BE15" s="14">
        <f t="shared" si="39"/>
        <v>729000</v>
      </c>
      <c r="BF15" s="7">
        <f t="shared" si="40"/>
        <v>125</v>
      </c>
      <c r="BG15" s="7">
        <f t="shared" si="41"/>
        <v>58</v>
      </c>
      <c r="BH15" s="8">
        <f t="shared" si="42"/>
        <v>67</v>
      </c>
      <c r="BI15" s="14">
        <f t="shared" si="43"/>
        <v>313200</v>
      </c>
      <c r="BJ15" s="7">
        <f t="shared" si="44"/>
        <v>62</v>
      </c>
      <c r="BK15" s="7">
        <f t="shared" si="45"/>
        <v>30</v>
      </c>
      <c r="BL15" s="8">
        <f t="shared" si="46"/>
        <v>32</v>
      </c>
      <c r="BM15" s="14">
        <f t="shared" si="47"/>
        <v>162000</v>
      </c>
      <c r="BN15" s="7">
        <f t="shared" si="48"/>
        <v>279</v>
      </c>
      <c r="BO15" s="7">
        <f>J15*134</f>
        <v>134</v>
      </c>
      <c r="BP15" s="8">
        <f t="shared" si="50"/>
        <v>145</v>
      </c>
      <c r="BQ15" s="14">
        <f t="shared" si="51"/>
        <v>723600</v>
      </c>
      <c r="BR15" s="7">
        <f t="shared" si="52"/>
        <v>186</v>
      </c>
      <c r="BS15" s="7">
        <f t="shared" si="53"/>
        <v>90</v>
      </c>
      <c r="BT15" s="8">
        <f t="shared" si="54"/>
        <v>96</v>
      </c>
      <c r="BU15" s="14">
        <f t="shared" si="55"/>
        <v>486000</v>
      </c>
      <c r="BV15" s="7">
        <f t="shared" si="56"/>
        <v>32</v>
      </c>
      <c r="BW15" s="7">
        <f t="shared" si="74"/>
        <v>15</v>
      </c>
      <c r="BX15" s="8">
        <f t="shared" si="57"/>
        <v>17</v>
      </c>
      <c r="BY15" s="14">
        <f t="shared" si="58"/>
        <v>81000</v>
      </c>
      <c r="BZ15" s="7">
        <f t="shared" si="59"/>
        <v>12</v>
      </c>
      <c r="CA15" s="7">
        <f>J15*4</f>
        <v>4</v>
      </c>
      <c r="CB15" s="8">
        <f t="shared" si="61"/>
        <v>8</v>
      </c>
      <c r="CC15" s="14">
        <f t="shared" si="62"/>
        <v>21600</v>
      </c>
      <c r="CD15" s="7">
        <f t="shared" si="63"/>
        <v>186</v>
      </c>
      <c r="CE15" s="7">
        <f t="shared" si="64"/>
        <v>90</v>
      </c>
      <c r="CF15" s="8">
        <f t="shared" si="65"/>
        <v>96</v>
      </c>
      <c r="CG15" s="14">
        <f t="shared" si="66"/>
        <v>486000</v>
      </c>
      <c r="CH15" s="7">
        <f t="shared" si="67"/>
        <v>186</v>
      </c>
      <c r="CI15" s="7">
        <f t="shared" si="68"/>
        <v>90</v>
      </c>
      <c r="CJ15" s="8">
        <f t="shared" si="69"/>
        <v>96</v>
      </c>
      <c r="CK15" s="14">
        <f t="shared" si="70"/>
        <v>486000</v>
      </c>
    </row>
    <row r="16" spans="2:89" s="2" customFormat="1" x14ac:dyDescent="0.3">
      <c r="B16" s="7">
        <f>'PLAN DE NECESIDADES'!B16</f>
        <v>12</v>
      </c>
      <c r="C16" s="7">
        <f>'PLAN DE NECESIDADES'!C16</f>
        <v>2732099</v>
      </c>
      <c r="D16" s="62" t="str">
        <f>'PLAN DE NECESIDADES'!D16</f>
        <v>MALLA PARA CABELLO COLOR NEGRO
DE ACUERDO A ESPECIFICACIONES TÉCNICAS JEMPP-CEDE4-DIETE-ET-04937/INT-0</v>
      </c>
      <c r="E16" s="7" t="str">
        <f>'PLAN DE NECESIDADES'!E16</f>
        <v>UNIDAD</v>
      </c>
      <c r="F16" s="7">
        <f>'PLAN DE NECESIDADES'!F16</f>
        <v>0</v>
      </c>
      <c r="G16" s="7">
        <f>'PLAN DE NECESIDADES'!H16</f>
        <v>53102513</v>
      </c>
      <c r="H16" s="7">
        <f>'PLAN DE NECESIDADES'!I16</f>
        <v>1893958</v>
      </c>
      <c r="I16" s="7" t="str">
        <f>'PLAN DE NECESIDADES'!J16</f>
        <v>SIN CREAR</v>
      </c>
      <c r="J16" s="7">
        <v>1</v>
      </c>
      <c r="K16" s="90"/>
      <c r="L16" s="90"/>
      <c r="M16" s="90"/>
      <c r="N16" s="90"/>
      <c r="O16" s="89"/>
      <c r="P16" s="90"/>
      <c r="Q16" s="89"/>
      <c r="R16" s="89">
        <v>125</v>
      </c>
      <c r="S16" s="90"/>
      <c r="T16" s="90"/>
      <c r="U16" s="90"/>
      <c r="V16" s="90"/>
      <c r="W16" s="90"/>
      <c r="X16" s="7"/>
      <c r="Y16" s="7"/>
      <c r="Z16" s="87">
        <f t="shared" si="13"/>
        <v>125</v>
      </c>
      <c r="AA16" s="7">
        <f t="shared" si="14"/>
        <v>58</v>
      </c>
      <c r="AB16" s="7">
        <f t="shared" si="15"/>
        <v>67</v>
      </c>
      <c r="AC16" s="13">
        <v>4700</v>
      </c>
      <c r="AD16" s="7"/>
      <c r="AE16" s="7"/>
      <c r="AF16" s="8"/>
      <c r="AG16" s="14"/>
      <c r="AH16" s="7"/>
      <c r="AI16" s="7"/>
      <c r="AJ16" s="8"/>
      <c r="AK16" s="14"/>
      <c r="AL16" s="7"/>
      <c r="AM16" s="7"/>
      <c r="AN16" s="8"/>
      <c r="AO16" s="14"/>
      <c r="AP16" s="7"/>
      <c r="AQ16" s="7"/>
      <c r="AR16" s="8"/>
      <c r="AS16" s="14"/>
      <c r="AT16" s="7"/>
      <c r="AU16" s="7"/>
      <c r="AV16" s="8"/>
      <c r="AW16" s="14"/>
      <c r="AX16" s="7"/>
      <c r="AY16" s="7"/>
      <c r="AZ16" s="8"/>
      <c r="BA16" s="14"/>
      <c r="BB16" s="7"/>
      <c r="BC16" s="7"/>
      <c r="BD16" s="8"/>
      <c r="BE16" s="14"/>
      <c r="BF16" s="7">
        <f t="shared" ref="BF16" si="75">R16*J16</f>
        <v>125</v>
      </c>
      <c r="BG16" s="7">
        <f>J16*58</f>
        <v>58</v>
      </c>
      <c r="BH16" s="8">
        <f t="shared" ref="BH16" si="76">BF16-BG16</f>
        <v>67</v>
      </c>
      <c r="BI16" s="14">
        <f t="shared" ref="BI16" si="77">BG16*AC16</f>
        <v>272600</v>
      </c>
      <c r="BJ16" s="7"/>
      <c r="BK16" s="7"/>
      <c r="BL16" s="8"/>
      <c r="BM16" s="14"/>
      <c r="BN16" s="7"/>
      <c r="BO16" s="7"/>
      <c r="BP16" s="8"/>
      <c r="BQ16" s="14"/>
      <c r="BR16" s="7"/>
      <c r="BS16" s="7"/>
      <c r="BT16" s="8"/>
      <c r="BU16" s="14"/>
      <c r="BV16" s="7"/>
      <c r="BW16" s="7"/>
      <c r="BX16" s="8"/>
      <c r="BY16" s="14"/>
      <c r="BZ16" s="7"/>
      <c r="CA16" s="7"/>
      <c r="CB16" s="8"/>
      <c r="CC16" s="14"/>
      <c r="CD16" s="7"/>
      <c r="CE16" s="7"/>
      <c r="CF16" s="8"/>
      <c r="CG16" s="14"/>
      <c r="CH16" s="7"/>
      <c r="CI16" s="7"/>
      <c r="CJ16" s="8"/>
      <c r="CK16" s="14"/>
    </row>
    <row r="17" spans="2:90" s="2" customFormat="1" x14ac:dyDescent="0.3">
      <c r="B17" s="170" t="s">
        <v>18</v>
      </c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  <c r="N17" s="170"/>
      <c r="O17" s="170"/>
      <c r="P17" s="170"/>
      <c r="Q17" s="170"/>
      <c r="R17" s="170"/>
      <c r="S17" s="170"/>
      <c r="T17" s="170"/>
      <c r="U17" s="170"/>
      <c r="V17" s="170"/>
      <c r="W17" s="170"/>
      <c r="X17" s="170"/>
      <c r="Y17" s="170"/>
      <c r="Z17" s="170"/>
      <c r="AA17" s="170"/>
      <c r="AB17" s="170"/>
      <c r="AC17" s="170"/>
      <c r="AD17" s="164">
        <f>SUM(AG5:AG16)</f>
        <v>3920800</v>
      </c>
      <c r="AE17" s="165"/>
      <c r="AF17" s="165"/>
      <c r="AG17" s="166"/>
      <c r="AH17" s="164">
        <f t="shared" ref="AH17" si="78">SUM(AK5:AK16)</f>
        <v>12337200</v>
      </c>
      <c r="AI17" s="165"/>
      <c r="AJ17" s="165"/>
      <c r="AK17" s="166"/>
      <c r="AL17" s="164">
        <f t="shared" ref="AL17" si="79">SUM(AO5:AO16)</f>
        <v>15864400</v>
      </c>
      <c r="AM17" s="165"/>
      <c r="AN17" s="165"/>
      <c r="AO17" s="166"/>
      <c r="AP17" s="164">
        <f t="shared" ref="AP17" si="80">SUM(AS5:AS16)</f>
        <v>12338000</v>
      </c>
      <c r="AQ17" s="165"/>
      <c r="AR17" s="165"/>
      <c r="AS17" s="166"/>
      <c r="AT17" s="164">
        <f t="shared" ref="AT17" si="81">SUM(AW5:AW16)</f>
        <v>14099800</v>
      </c>
      <c r="AU17" s="165"/>
      <c r="AV17" s="165"/>
      <c r="AW17" s="166"/>
      <c r="AX17" s="164">
        <f t="shared" ref="AX17" si="82">SUM(BA5:BA16)</f>
        <v>14100400</v>
      </c>
      <c r="AY17" s="165"/>
      <c r="AZ17" s="165"/>
      <c r="BA17" s="166"/>
      <c r="BB17" s="164">
        <f t="shared" ref="BB17" si="83">SUM(BE5:BE16)</f>
        <v>15864400</v>
      </c>
      <c r="BC17" s="165"/>
      <c r="BD17" s="165"/>
      <c r="BE17" s="166"/>
      <c r="BF17" s="164">
        <f t="shared" ref="BF17" si="84">SUM(BI5:BI16)</f>
        <v>7105800</v>
      </c>
      <c r="BG17" s="165"/>
      <c r="BH17" s="165"/>
      <c r="BI17" s="166"/>
      <c r="BJ17" s="164">
        <f t="shared" ref="BJ17" si="85">SUM(BM5:BM16)</f>
        <v>3524600</v>
      </c>
      <c r="BK17" s="165"/>
      <c r="BL17" s="165"/>
      <c r="BM17" s="166"/>
      <c r="BN17" s="164">
        <f t="shared" ref="BN17" si="86">SUM(BQ5:BQ16)</f>
        <v>15863800</v>
      </c>
      <c r="BO17" s="165"/>
      <c r="BP17" s="165"/>
      <c r="BQ17" s="166"/>
      <c r="BR17" s="164">
        <f t="shared" ref="BR17" si="87">SUM(BU5:BU16)</f>
        <v>10575800</v>
      </c>
      <c r="BS17" s="165"/>
      <c r="BT17" s="165"/>
      <c r="BU17" s="166"/>
      <c r="BV17" s="164">
        <f t="shared" ref="BV17" si="88">SUM(BY5:BY16)</f>
        <v>1818600</v>
      </c>
      <c r="BW17" s="165"/>
      <c r="BX17" s="165"/>
      <c r="BY17" s="166"/>
      <c r="BZ17" s="164">
        <f t="shared" ref="BZ17" si="89">SUM(CC5:CC16)</f>
        <v>679800</v>
      </c>
      <c r="CA17" s="165"/>
      <c r="CB17" s="165"/>
      <c r="CC17" s="166"/>
      <c r="CD17" s="164">
        <f t="shared" ref="CD17" si="90">SUM(CG5:CG16)</f>
        <v>10575800</v>
      </c>
      <c r="CE17" s="165"/>
      <c r="CF17" s="165"/>
      <c r="CG17" s="166"/>
      <c r="CH17" s="164">
        <f t="shared" ref="CH17" si="91">SUM(CK5:CK16)</f>
        <v>10575800</v>
      </c>
      <c r="CI17" s="165"/>
      <c r="CJ17" s="165"/>
      <c r="CK17" s="166"/>
    </row>
    <row r="18" spans="2:90" s="2" customFormat="1" x14ac:dyDescent="0.3">
      <c r="B18" s="170" t="s">
        <v>19</v>
      </c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64">
        <f>SUMIFS(PRESUPUESTO!$G$51:$G$65,PRESUPUESTO!$E$51:$E$65,AD3)</f>
        <v>3923522.8960000002</v>
      </c>
      <c r="AE18" s="165"/>
      <c r="AF18" s="165"/>
      <c r="AG18" s="166"/>
      <c r="AH18" s="164">
        <f>SUMIFS(PRESUPUESTO!$G$51:$G$65,PRESUPUESTO!$E$51:$E$65,AH3)</f>
        <v>12339195.194666667</v>
      </c>
      <c r="AI18" s="165"/>
      <c r="AJ18" s="165"/>
      <c r="AK18" s="166"/>
      <c r="AL18" s="164">
        <f>SUMIFS(PRESUPUESTO!$G$51:$G$65,PRESUPUESTO!$E$51:$E$65,AL3)</f>
        <v>15864679.536</v>
      </c>
      <c r="AM18" s="165"/>
      <c r="AN18" s="165"/>
      <c r="AO18" s="166"/>
      <c r="AP18" s="164">
        <f>SUMIFS(PRESUPUESTO!$G$51:$G$65,PRESUPUESTO!$E$51:$E$65,AP3)</f>
        <v>12339195.194666667</v>
      </c>
      <c r="AQ18" s="165"/>
      <c r="AR18" s="165"/>
      <c r="AS18" s="166"/>
      <c r="AT18" s="164">
        <f>SUMIFS(PRESUPUESTO!$G$51:$G$65,PRESUPUESTO!$E$51:$E$65,AT3)</f>
        <v>14101937.365333334</v>
      </c>
      <c r="AU18" s="165"/>
      <c r="AV18" s="165"/>
      <c r="AW18" s="166"/>
      <c r="AX18" s="164">
        <f>SUMIFS(PRESUPUESTO!$G$51:$G$65,PRESUPUESTO!$E$51:$E$65,AX3)</f>
        <v>14101937.365333334</v>
      </c>
      <c r="AY18" s="165"/>
      <c r="AZ18" s="165"/>
      <c r="BA18" s="166"/>
      <c r="BB18" s="164">
        <f>SUMIFS(PRESUPUESTO!$G$51:$G$65,PRESUPUESTO!$E$51:$E$65,BB3)</f>
        <v>15864679.536</v>
      </c>
      <c r="BC18" s="165"/>
      <c r="BD18" s="165"/>
      <c r="BE18" s="166"/>
      <c r="BF18" s="164">
        <f>SUMIFS(PRESUPUESTO!$G$51:$G$65,PRESUPUESTO!$E$51:$E$65,BF3)</f>
        <v>7107831.333333334</v>
      </c>
      <c r="BG18" s="165"/>
      <c r="BH18" s="165"/>
      <c r="BI18" s="166"/>
      <c r="BJ18" s="164">
        <f>SUMIFS(PRESUPUESTO!$G$51:$G$65,PRESUPUESTO!$E$51:$E$65,BJ3)</f>
        <v>3525484.3413333334</v>
      </c>
      <c r="BK18" s="165"/>
      <c r="BL18" s="165"/>
      <c r="BM18" s="166"/>
      <c r="BN18" s="164">
        <f>SUMIFS(PRESUPUESTO!$G$51:$G$65,PRESUPUESTO!$E$51:$E$65,BN3)</f>
        <v>15864679.536</v>
      </c>
      <c r="BO18" s="165"/>
      <c r="BP18" s="165"/>
      <c r="BQ18" s="166"/>
      <c r="BR18" s="164">
        <f>SUMIFS(PRESUPUESTO!$G$51:$G$65,PRESUPUESTO!$E$51:$E$65,BR3)</f>
        <v>10576453.024</v>
      </c>
      <c r="BS18" s="165"/>
      <c r="BT18" s="165"/>
      <c r="BU18" s="166"/>
      <c r="BV18" s="164">
        <f>SUMIFS(PRESUPUESTO!$G$51:$G$65,PRESUPUESTO!$E$51:$E$65,BV3)</f>
        <v>1819604.8213333334</v>
      </c>
      <c r="BW18" s="165"/>
      <c r="BX18" s="165"/>
      <c r="BY18" s="166"/>
      <c r="BZ18" s="164">
        <f>SUMIFS(PRESUPUESTO!$G$51:$G$65,PRESUPUESTO!$E$51:$E$65,BZ3)</f>
        <v>682351.80799999996</v>
      </c>
      <c r="CA18" s="165"/>
      <c r="CB18" s="165"/>
      <c r="CC18" s="166"/>
      <c r="CD18" s="164">
        <f>SUMIFS(PRESUPUESTO!$G$51:$G$65,PRESUPUESTO!$E$51:$E$65,CD3)</f>
        <v>10576453.024</v>
      </c>
      <c r="CE18" s="165"/>
      <c r="CF18" s="165"/>
      <c r="CG18" s="166"/>
      <c r="CH18" s="164">
        <f>SUMIFS(PRESUPUESTO!$G$51:$G$65,PRESUPUESTO!$E$51:$E$65,CH3)</f>
        <v>10576453.024</v>
      </c>
      <c r="CI18" s="165"/>
      <c r="CJ18" s="165"/>
      <c r="CK18" s="166"/>
      <c r="CL18" s="18">
        <f>SUM(AD18:CK18)</f>
        <v>149264457.99999997</v>
      </c>
    </row>
    <row r="19" spans="2:90" s="2" customFormat="1" x14ac:dyDescent="0.3">
      <c r="B19" s="170" t="s">
        <v>10</v>
      </c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Q19" s="170"/>
      <c r="R19" s="170"/>
      <c r="S19" s="170"/>
      <c r="T19" s="170"/>
      <c r="U19" s="170"/>
      <c r="V19" s="170"/>
      <c r="W19" s="170"/>
      <c r="X19" s="170"/>
      <c r="Y19" s="170"/>
      <c r="Z19" s="170"/>
      <c r="AA19" s="170"/>
      <c r="AB19" s="170"/>
      <c r="AC19" s="170"/>
      <c r="AD19" s="163">
        <f>AD18-AD17</f>
        <v>2722.8960000001825</v>
      </c>
      <c r="AE19" s="163"/>
      <c r="AF19" s="163"/>
      <c r="AG19" s="163"/>
      <c r="AH19" s="163">
        <f>AH18-AH17</f>
        <v>1995.1946666669101</v>
      </c>
      <c r="AI19" s="163"/>
      <c r="AJ19" s="163"/>
      <c r="AK19" s="163"/>
      <c r="AL19" s="163">
        <f>AL18-AL17</f>
        <v>279.53600000031292</v>
      </c>
      <c r="AM19" s="163"/>
      <c r="AN19" s="163"/>
      <c r="AO19" s="163"/>
      <c r="AP19" s="163">
        <f t="shared" ref="AP19" si="92">AP18-AP17</f>
        <v>1195.1946666669101</v>
      </c>
      <c r="AQ19" s="163"/>
      <c r="AR19" s="163"/>
      <c r="AS19" s="163"/>
      <c r="AT19" s="163">
        <f>AT18-AT17</f>
        <v>2137.3653333336115</v>
      </c>
      <c r="AU19" s="163"/>
      <c r="AV19" s="163"/>
      <c r="AW19" s="163"/>
      <c r="AX19" s="163">
        <f>AX18-AX17</f>
        <v>1537.3653333336115</v>
      </c>
      <c r="AY19" s="163"/>
      <c r="AZ19" s="163"/>
      <c r="BA19" s="163"/>
      <c r="BB19" s="163">
        <f>BB18-BB17</f>
        <v>279.53600000031292</v>
      </c>
      <c r="BC19" s="163"/>
      <c r="BD19" s="163"/>
      <c r="BE19" s="163"/>
      <c r="BF19" s="163">
        <f t="shared" ref="BF19" si="93">BF18-BF17</f>
        <v>2031.3333333339542</v>
      </c>
      <c r="BG19" s="163"/>
      <c r="BH19" s="163"/>
      <c r="BI19" s="163"/>
      <c r="BJ19" s="163">
        <f>BJ18-BJ17</f>
        <v>884.34133333340287</v>
      </c>
      <c r="BK19" s="163"/>
      <c r="BL19" s="163"/>
      <c r="BM19" s="163"/>
      <c r="BN19" s="163">
        <f>BN18-BN17</f>
        <v>879.53600000031292</v>
      </c>
      <c r="BO19" s="163"/>
      <c r="BP19" s="163"/>
      <c r="BQ19" s="163"/>
      <c r="BR19" s="163">
        <f>BR18-BR17</f>
        <v>653.02400000020862</v>
      </c>
      <c r="BS19" s="163"/>
      <c r="BT19" s="163"/>
      <c r="BU19" s="163"/>
      <c r="BV19" s="163">
        <f t="shared" ref="BV19" si="94">BV18-BV17</f>
        <v>1004.8213333333842</v>
      </c>
      <c r="BW19" s="163"/>
      <c r="BX19" s="163"/>
      <c r="BY19" s="163"/>
      <c r="BZ19" s="163">
        <f>BZ18-BZ17</f>
        <v>2551.8079999999609</v>
      </c>
      <c r="CA19" s="163"/>
      <c r="CB19" s="163"/>
      <c r="CC19" s="163"/>
      <c r="CD19" s="163">
        <f>CD18-CD17</f>
        <v>653.02400000020862</v>
      </c>
      <c r="CE19" s="163"/>
      <c r="CF19" s="163"/>
      <c r="CG19" s="163"/>
      <c r="CH19" s="163">
        <f>CH18-CH17</f>
        <v>653.02400000020862</v>
      </c>
      <c r="CI19" s="163"/>
      <c r="CJ19" s="163"/>
      <c r="CK19" s="163"/>
    </row>
    <row r="20" spans="2:90" s="31" customFormat="1" x14ac:dyDescent="0.3">
      <c r="B20" s="19"/>
      <c r="C20" s="19"/>
      <c r="D20" s="35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28"/>
      <c r="AD20" s="19"/>
      <c r="AE20" s="19"/>
      <c r="AF20" s="29"/>
      <c r="AG20" s="30"/>
      <c r="AH20" s="19"/>
      <c r="AI20" s="19"/>
      <c r="AJ20" s="29"/>
      <c r="AK20" s="30"/>
      <c r="AL20" s="19"/>
      <c r="AM20" s="19"/>
      <c r="AN20" s="29"/>
      <c r="AO20" s="30"/>
      <c r="AP20" s="19"/>
      <c r="AQ20" s="19"/>
      <c r="AR20" s="29"/>
      <c r="AS20" s="30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</row>
    <row r="21" spans="2:90" x14ac:dyDescent="0.25">
      <c r="B21" s="159" t="s">
        <v>147</v>
      </c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60"/>
      <c r="Z21" s="160"/>
      <c r="AA21" s="160"/>
      <c r="AB21" s="160"/>
      <c r="AC21" s="160"/>
      <c r="AD21" s="159"/>
      <c r="AE21" s="160"/>
      <c r="AF21" s="160"/>
      <c r="AG21" s="160"/>
      <c r="AH21" s="160"/>
      <c r="AI21" s="160"/>
      <c r="AJ21" s="160"/>
      <c r="AK21" s="160"/>
      <c r="AL21" s="160"/>
      <c r="AM21" s="160"/>
      <c r="AN21" s="160"/>
      <c r="AO21" s="160"/>
      <c r="AP21" s="160"/>
      <c r="AQ21" s="159"/>
      <c r="AR21" s="160"/>
      <c r="AS21" s="160"/>
      <c r="AT21" s="160"/>
      <c r="AU21" s="160"/>
      <c r="AV21" s="160"/>
      <c r="AW21" s="160"/>
      <c r="AX21" s="160"/>
      <c r="AY21" s="160"/>
      <c r="AZ21" s="160"/>
      <c r="BA21" s="160"/>
      <c r="BB21" s="160"/>
      <c r="BC21" s="160"/>
      <c r="BD21" s="159"/>
      <c r="BE21" s="160"/>
      <c r="BF21" s="160"/>
      <c r="BG21" s="160"/>
      <c r="BH21" s="160"/>
      <c r="BI21" s="160"/>
      <c r="BJ21" s="160"/>
      <c r="BK21" s="160"/>
      <c r="BL21" s="160"/>
      <c r="BM21" s="160"/>
      <c r="BN21" s="160"/>
      <c r="BO21" s="160"/>
      <c r="BP21" s="160"/>
      <c r="BQ21" s="159"/>
      <c r="BR21" s="160"/>
      <c r="BS21" s="160"/>
      <c r="BT21" s="160"/>
      <c r="BU21" s="160"/>
      <c r="BV21" s="160"/>
      <c r="BW21" s="160"/>
      <c r="BX21" s="160"/>
      <c r="BY21" s="160"/>
      <c r="BZ21" s="160"/>
      <c r="CA21" s="160"/>
      <c r="CB21" s="160"/>
      <c r="CC21" s="160"/>
      <c r="CD21" s="159"/>
      <c r="CE21" s="160"/>
      <c r="CF21" s="160"/>
      <c r="CG21" s="160"/>
      <c r="CH21" s="160"/>
      <c r="CI21" s="160"/>
      <c r="CJ21" s="160"/>
      <c r="CK21" s="160"/>
    </row>
    <row r="22" spans="2:90" ht="28.5" customHeight="1" x14ac:dyDescent="0.25">
      <c r="B22" s="158" t="str">
        <f>'PLAN DE NECESIDADES'!B20</f>
        <v>ÍTEM</v>
      </c>
      <c r="C22" s="158" t="str">
        <f>'PLAN DE NECESIDADES'!C20</f>
        <v>CÓDIGO DANE</v>
      </c>
      <c r="D22" s="158" t="str">
        <f>'PLAN DE NECESIDADES'!D20</f>
        <v xml:space="preserve">DESCRIPCIÓN DEL BIEN Y/O SERVICIO </v>
      </c>
      <c r="E22" s="158" t="str">
        <f>'PLAN DE NECESIDADES'!E20</f>
        <v>UNIDAD MEDIDA</v>
      </c>
      <c r="F22" s="158" t="str">
        <f>'PLAN DE NECESIDADES'!F20</f>
        <v>EXISTENCIAS (STOCK - INVENTARIOS)</v>
      </c>
      <c r="G22" s="158" t="str">
        <f>'PLAN DE NECESIDADES'!H20</f>
        <v>UNSPSC (CCE)</v>
      </c>
      <c r="H22" s="158" t="str">
        <f>'PLAN DE NECESIDADES'!I20</f>
        <v xml:space="preserve">CÓDIGO MATERIAL SAP </v>
      </c>
      <c r="I22" s="158" t="str">
        <f>'PLAN DE NECESIDADES'!J20</f>
        <v xml:space="preserve">CÓDIGO OTAN - NOC </v>
      </c>
      <c r="J22" s="161" t="s">
        <v>155</v>
      </c>
      <c r="K22" s="139" t="str">
        <f>AD22</f>
        <v>BAABS3</v>
      </c>
      <c r="L22" s="139" t="str">
        <f>AH22</f>
        <v>BAACA10</v>
      </c>
      <c r="M22" s="139" t="str">
        <f>AL22</f>
        <v>BAACA2</v>
      </c>
      <c r="N22" s="139" t="str">
        <f>AP22</f>
        <v>BAADA1</v>
      </c>
      <c r="O22" s="139" t="str">
        <f>AT22</f>
        <v>BAEEV2</v>
      </c>
      <c r="P22" s="139" t="str">
        <f>AX22</f>
        <v>BAEEV3</v>
      </c>
      <c r="Q22" s="139" t="str">
        <f>BB22</f>
        <v>BAMMA7</v>
      </c>
      <c r="R22" s="139" t="str">
        <f>BF22</f>
        <v>BASPC10</v>
      </c>
      <c r="S22" s="139" t="str">
        <f>BJ22</f>
        <v>BASAC</v>
      </c>
      <c r="T22" s="139" t="str">
        <f>BN22</f>
        <v>BICAR</v>
      </c>
      <c r="U22" s="139" t="str">
        <f>BR22</f>
        <v>BIMOC70</v>
      </c>
      <c r="V22" s="139" t="str">
        <f>BV22</f>
        <v>BITER10</v>
      </c>
      <c r="W22" s="139" t="str">
        <f>BZ22</f>
        <v>DIM15</v>
      </c>
      <c r="X22" s="139" t="str">
        <f>CD22</f>
        <v>GMMAT</v>
      </c>
      <c r="Y22" s="139" t="str">
        <f>CH22</f>
        <v>GMRON</v>
      </c>
      <c r="Z22" s="141" t="s">
        <v>13</v>
      </c>
      <c r="AA22" s="157" t="s">
        <v>14</v>
      </c>
      <c r="AB22" s="157" t="s">
        <v>12</v>
      </c>
      <c r="AC22" s="157" t="s">
        <v>4</v>
      </c>
      <c r="AD22" s="144" t="s">
        <v>29</v>
      </c>
      <c r="AE22" s="145"/>
      <c r="AF22" s="145"/>
      <c r="AG22" s="146"/>
      <c r="AH22" s="147" t="s">
        <v>30</v>
      </c>
      <c r="AI22" s="148"/>
      <c r="AJ22" s="148"/>
      <c r="AK22" s="149"/>
      <c r="AL22" s="150" t="s">
        <v>31</v>
      </c>
      <c r="AM22" s="151"/>
      <c r="AN22" s="151"/>
      <c r="AO22" s="152"/>
      <c r="AP22" s="153" t="s">
        <v>32</v>
      </c>
      <c r="AQ22" s="154"/>
      <c r="AR22" s="154"/>
      <c r="AS22" s="155"/>
      <c r="AT22" s="144" t="s">
        <v>27</v>
      </c>
      <c r="AU22" s="145"/>
      <c r="AV22" s="145"/>
      <c r="AW22" s="146"/>
      <c r="AX22" s="147" t="s">
        <v>33</v>
      </c>
      <c r="AY22" s="148"/>
      <c r="AZ22" s="148"/>
      <c r="BA22" s="149"/>
      <c r="BB22" s="150" t="s">
        <v>66</v>
      </c>
      <c r="BC22" s="151"/>
      <c r="BD22" s="151"/>
      <c r="BE22" s="152"/>
      <c r="BF22" s="153" t="s">
        <v>67</v>
      </c>
      <c r="BG22" s="154"/>
      <c r="BH22" s="154"/>
      <c r="BI22" s="155"/>
      <c r="BJ22" s="144" t="s">
        <v>34</v>
      </c>
      <c r="BK22" s="145"/>
      <c r="BL22" s="145"/>
      <c r="BM22" s="146"/>
      <c r="BN22" s="147" t="s">
        <v>35</v>
      </c>
      <c r="BO22" s="148"/>
      <c r="BP22" s="148"/>
      <c r="BQ22" s="149"/>
      <c r="BR22" s="150" t="s">
        <v>68</v>
      </c>
      <c r="BS22" s="151"/>
      <c r="BT22" s="151"/>
      <c r="BU22" s="152"/>
      <c r="BV22" s="153" t="s">
        <v>36</v>
      </c>
      <c r="BW22" s="154"/>
      <c r="BX22" s="154"/>
      <c r="BY22" s="155"/>
      <c r="BZ22" s="144" t="s">
        <v>37</v>
      </c>
      <c r="CA22" s="145"/>
      <c r="CB22" s="145"/>
      <c r="CC22" s="146"/>
      <c r="CD22" s="147" t="s">
        <v>69</v>
      </c>
      <c r="CE22" s="148"/>
      <c r="CF22" s="148"/>
      <c r="CG22" s="149"/>
      <c r="CH22" s="150" t="s">
        <v>38</v>
      </c>
      <c r="CI22" s="151"/>
      <c r="CJ22" s="151"/>
      <c r="CK22" s="152"/>
    </row>
    <row r="23" spans="2:90" ht="28.5" customHeight="1" x14ac:dyDescent="0.25">
      <c r="B23" s="158"/>
      <c r="C23" s="158"/>
      <c r="D23" s="158"/>
      <c r="E23" s="158"/>
      <c r="F23" s="158"/>
      <c r="G23" s="158"/>
      <c r="H23" s="158"/>
      <c r="I23" s="158"/>
      <c r="J23" s="162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2"/>
      <c r="AA23" s="157"/>
      <c r="AB23" s="157"/>
      <c r="AC23" s="157"/>
      <c r="AD23" s="20" t="s">
        <v>15</v>
      </c>
      <c r="AE23" s="21" t="s">
        <v>16</v>
      </c>
      <c r="AF23" s="22" t="s">
        <v>17</v>
      </c>
      <c r="AG23" s="20" t="s">
        <v>20</v>
      </c>
      <c r="AH23" s="3" t="s">
        <v>15</v>
      </c>
      <c r="AI23" s="4" t="s">
        <v>16</v>
      </c>
      <c r="AJ23" s="5" t="s">
        <v>17</v>
      </c>
      <c r="AK23" s="3" t="s">
        <v>20</v>
      </c>
      <c r="AL23" s="53" t="s">
        <v>15</v>
      </c>
      <c r="AM23" s="23" t="s">
        <v>16</v>
      </c>
      <c r="AN23" s="24" t="s">
        <v>17</v>
      </c>
      <c r="AO23" s="53" t="s">
        <v>20</v>
      </c>
      <c r="AP23" s="25" t="s">
        <v>15</v>
      </c>
      <c r="AQ23" s="26" t="s">
        <v>16</v>
      </c>
      <c r="AR23" s="27" t="s">
        <v>17</v>
      </c>
      <c r="AS23" s="25" t="s">
        <v>20</v>
      </c>
      <c r="AT23" s="20" t="s">
        <v>15</v>
      </c>
      <c r="AU23" s="21" t="s">
        <v>16</v>
      </c>
      <c r="AV23" s="22" t="s">
        <v>17</v>
      </c>
      <c r="AW23" s="20" t="s">
        <v>20</v>
      </c>
      <c r="AX23" s="3" t="s">
        <v>15</v>
      </c>
      <c r="AY23" s="4" t="s">
        <v>16</v>
      </c>
      <c r="AZ23" s="5" t="s">
        <v>17</v>
      </c>
      <c r="BA23" s="3" t="s">
        <v>20</v>
      </c>
      <c r="BB23" s="53" t="s">
        <v>15</v>
      </c>
      <c r="BC23" s="23" t="s">
        <v>16</v>
      </c>
      <c r="BD23" s="24" t="s">
        <v>17</v>
      </c>
      <c r="BE23" s="53" t="s">
        <v>20</v>
      </c>
      <c r="BF23" s="25" t="s">
        <v>15</v>
      </c>
      <c r="BG23" s="26" t="s">
        <v>16</v>
      </c>
      <c r="BH23" s="27" t="s">
        <v>17</v>
      </c>
      <c r="BI23" s="25" t="s">
        <v>20</v>
      </c>
      <c r="BJ23" s="20" t="s">
        <v>15</v>
      </c>
      <c r="BK23" s="21" t="s">
        <v>16</v>
      </c>
      <c r="BL23" s="22" t="s">
        <v>17</v>
      </c>
      <c r="BM23" s="20" t="s">
        <v>20</v>
      </c>
      <c r="BN23" s="3" t="s">
        <v>15</v>
      </c>
      <c r="BO23" s="4" t="s">
        <v>16</v>
      </c>
      <c r="BP23" s="5" t="s">
        <v>17</v>
      </c>
      <c r="BQ23" s="3" t="s">
        <v>20</v>
      </c>
      <c r="BR23" s="53" t="s">
        <v>15</v>
      </c>
      <c r="BS23" s="23" t="s">
        <v>16</v>
      </c>
      <c r="BT23" s="24" t="s">
        <v>17</v>
      </c>
      <c r="BU23" s="53" t="s">
        <v>20</v>
      </c>
      <c r="BV23" s="25" t="s">
        <v>15</v>
      </c>
      <c r="BW23" s="26" t="s">
        <v>16</v>
      </c>
      <c r="BX23" s="27" t="s">
        <v>17</v>
      </c>
      <c r="BY23" s="25" t="s">
        <v>20</v>
      </c>
      <c r="BZ23" s="20" t="s">
        <v>15</v>
      </c>
      <c r="CA23" s="21" t="s">
        <v>16</v>
      </c>
      <c r="CB23" s="22" t="s">
        <v>17</v>
      </c>
      <c r="CC23" s="20" t="s">
        <v>20</v>
      </c>
      <c r="CD23" s="3" t="s">
        <v>15</v>
      </c>
      <c r="CE23" s="4" t="s">
        <v>16</v>
      </c>
      <c r="CF23" s="5" t="s">
        <v>17</v>
      </c>
      <c r="CG23" s="3" t="s">
        <v>20</v>
      </c>
      <c r="CH23" s="53" t="s">
        <v>15</v>
      </c>
      <c r="CI23" s="23" t="s">
        <v>16</v>
      </c>
      <c r="CJ23" s="24" t="s">
        <v>17</v>
      </c>
      <c r="CK23" s="53" t="s">
        <v>20</v>
      </c>
    </row>
    <row r="24" spans="2:90" x14ac:dyDescent="0.25">
      <c r="B24" s="7">
        <f>'PLAN DE NECESIDADES'!B21</f>
        <v>13</v>
      </c>
      <c r="C24" s="7">
        <f>'PLAN DE NECESIDADES'!C21</f>
        <v>2821001</v>
      </c>
      <c r="D24" s="62" t="str">
        <f>'PLAN DE NECESIDADES'!D21</f>
        <v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v>
      </c>
      <c r="E24" s="7" t="str">
        <f>'PLAN DE NECESIDADES'!E21</f>
        <v>PAR</v>
      </c>
      <c r="F24" s="7">
        <f>'PLAN DE NECESIDADES'!F21</f>
        <v>0</v>
      </c>
      <c r="G24" s="7">
        <f>'PLAN DE NECESIDADES'!H21</f>
        <v>53102402</v>
      </c>
      <c r="H24" s="7">
        <f>'PLAN DE NECESIDADES'!I21</f>
        <v>1495276</v>
      </c>
      <c r="I24" s="7" t="str">
        <f>'PLAN DE NECESIDADES'!J21</f>
        <v>SIN CREAR</v>
      </c>
      <c r="J24" s="7">
        <v>1</v>
      </c>
      <c r="K24" s="87">
        <v>69</v>
      </c>
      <c r="L24" s="87">
        <v>217</v>
      </c>
      <c r="M24" s="87">
        <v>279</v>
      </c>
      <c r="N24" s="87">
        <v>217</v>
      </c>
      <c r="O24" s="87">
        <v>248</v>
      </c>
      <c r="P24" s="87">
        <v>248</v>
      </c>
      <c r="Q24" s="87">
        <v>279</v>
      </c>
      <c r="R24" s="87">
        <v>125</v>
      </c>
      <c r="S24" s="87">
        <v>62</v>
      </c>
      <c r="T24" s="87">
        <v>279</v>
      </c>
      <c r="U24" s="87">
        <v>186</v>
      </c>
      <c r="V24" s="87">
        <v>32</v>
      </c>
      <c r="W24" s="87">
        <v>12</v>
      </c>
      <c r="X24" s="87">
        <v>186</v>
      </c>
      <c r="Y24" s="87">
        <v>186</v>
      </c>
      <c r="Z24" s="87">
        <f t="shared" ref="Z24:Z28" si="95">SUM(AD24,AH24,AL24,AP24,AT24,AX24,BB24,BF24,BJ24,BN24,BR24,BV24,BZ24,CD24,CH24)</f>
        <v>2656</v>
      </c>
      <c r="AA24" s="7">
        <f t="shared" ref="AA24:AA28" si="96">SUM(AE24,AI24,AM24,AQ24,AU24,AY24,BC24,BG24,BK24,BO24,BS24,BW24,CA24,CE24,CI24)</f>
        <v>1957</v>
      </c>
      <c r="AB24" s="7">
        <f t="shared" ref="AB24:AB28" si="97">SUM(AF24,AJ24,AN24,AR24,AV24,AZ24,BD24,BH24,BL24,BP24,BT24,BX24,CB24,CF24,CJ24)</f>
        <v>699</v>
      </c>
      <c r="AC24" s="12">
        <v>4700</v>
      </c>
      <c r="AD24" s="7">
        <f t="shared" ref="AD24" si="98">K24*J24</f>
        <v>69</v>
      </c>
      <c r="AE24" s="7">
        <f>J24*54</f>
        <v>54</v>
      </c>
      <c r="AF24" s="8">
        <f t="shared" ref="AF24" si="99">AD24-AE24</f>
        <v>15</v>
      </c>
      <c r="AG24" s="14">
        <f t="shared" ref="AG24" si="100">AC24*AE24</f>
        <v>253800</v>
      </c>
      <c r="AH24" s="7">
        <f t="shared" ref="AH24" si="101">L24*J24</f>
        <v>217</v>
      </c>
      <c r="AI24" s="7">
        <f>J24*167</f>
        <v>167</v>
      </c>
      <c r="AJ24" s="8">
        <f t="shared" ref="AJ24" si="102">AH24-AI24</f>
        <v>50</v>
      </c>
      <c r="AK24" s="14">
        <f t="shared" ref="AK24" si="103">AC24*AI24</f>
        <v>784900</v>
      </c>
      <c r="AL24" s="7">
        <f t="shared" ref="AL24" si="104">M24*J24</f>
        <v>279</v>
      </c>
      <c r="AM24" s="7">
        <f>J24*216</f>
        <v>216</v>
      </c>
      <c r="AN24" s="8">
        <f t="shared" ref="AN24" si="105">AL24-AM24</f>
        <v>63</v>
      </c>
      <c r="AO24" s="14">
        <f t="shared" ref="AO24" si="106">AC24*AM24</f>
        <v>1015200</v>
      </c>
      <c r="AP24" s="7">
        <f t="shared" ref="AP24" si="107">N24*J24</f>
        <v>217</v>
      </c>
      <c r="AQ24" s="7">
        <f>J24*168</f>
        <v>168</v>
      </c>
      <c r="AR24" s="8">
        <f t="shared" ref="AR24" si="108">AP24-AQ24</f>
        <v>49</v>
      </c>
      <c r="AS24" s="14">
        <f t="shared" ref="AS24" si="109">AC24*AQ24</f>
        <v>789600</v>
      </c>
      <c r="AT24" s="7">
        <f t="shared" ref="AT24" si="110">M24*J24</f>
        <v>279</v>
      </c>
      <c r="AU24" s="7">
        <f>J24*190</f>
        <v>190</v>
      </c>
      <c r="AV24" s="8">
        <f t="shared" ref="AV24" si="111">AT24-AU24</f>
        <v>89</v>
      </c>
      <c r="AW24" s="14">
        <f t="shared" ref="AW24" si="112">AU24*AC24</f>
        <v>893000</v>
      </c>
      <c r="AX24" s="7">
        <f>P24*J24</f>
        <v>248</v>
      </c>
      <c r="AY24" s="7">
        <f>J24*190</f>
        <v>190</v>
      </c>
      <c r="AZ24" s="8">
        <f t="shared" ref="AZ24" si="113">AX24-AY24</f>
        <v>58</v>
      </c>
      <c r="BA24" s="14">
        <f>AC24*AY24</f>
        <v>893000</v>
      </c>
      <c r="BB24" s="7">
        <f t="shared" ref="BB24" si="114">Q24*J24</f>
        <v>279</v>
      </c>
      <c r="BC24" s="7">
        <f>J24*213</f>
        <v>213</v>
      </c>
      <c r="BD24" s="8">
        <f t="shared" ref="BD24" si="115">BB24-BC24</f>
        <v>66</v>
      </c>
      <c r="BE24" s="14">
        <f t="shared" ref="BE24" si="116">BC24*AC24</f>
        <v>1001100</v>
      </c>
      <c r="BF24" s="7">
        <f t="shared" ref="BF24" si="117">R24*J24</f>
        <v>125</v>
      </c>
      <c r="BG24" s="7">
        <f>J24*40</f>
        <v>40</v>
      </c>
      <c r="BH24" s="8">
        <f t="shared" ref="BH24" si="118">BF24-BG24</f>
        <v>85</v>
      </c>
      <c r="BI24" s="14">
        <f t="shared" ref="BI24" si="119">BG24*AC24</f>
        <v>188000</v>
      </c>
      <c r="BJ24" s="7">
        <f t="shared" ref="BJ24" si="120">S24*J24</f>
        <v>62</v>
      </c>
      <c r="BK24" s="7">
        <f>J24*49</f>
        <v>49</v>
      </c>
      <c r="BL24" s="8">
        <f t="shared" ref="BL24" si="121">BJ24-BK24</f>
        <v>13</v>
      </c>
      <c r="BM24" s="14">
        <f t="shared" ref="BM24" si="122">BK24*AC24</f>
        <v>230300</v>
      </c>
      <c r="BN24" s="7">
        <f>T24*J24</f>
        <v>279</v>
      </c>
      <c r="BO24" s="7">
        <f>J24*213</f>
        <v>213</v>
      </c>
      <c r="BP24" s="8">
        <f t="shared" ref="BP24" si="123">BN24-BO24</f>
        <v>66</v>
      </c>
      <c r="BQ24" s="14">
        <f t="shared" ref="BQ24" si="124">BO24*AC24</f>
        <v>1001100</v>
      </c>
      <c r="BR24" s="7">
        <f t="shared" ref="BR24:BR26" si="125">U24*J24</f>
        <v>186</v>
      </c>
      <c r="BS24" s="7">
        <f>J24*141</f>
        <v>141</v>
      </c>
      <c r="BT24" s="8">
        <f t="shared" ref="BT24:BT26" si="126">BR24-BS24</f>
        <v>45</v>
      </c>
      <c r="BU24" s="14">
        <f t="shared" ref="BU24:BU26" si="127">BS24*AC24</f>
        <v>662700</v>
      </c>
      <c r="BV24" s="7">
        <f t="shared" ref="BV24" si="128">V24*J24</f>
        <v>32</v>
      </c>
      <c r="BW24" s="7">
        <f>J24*25</f>
        <v>25</v>
      </c>
      <c r="BX24" s="8">
        <f t="shared" ref="BX24" si="129">BV24-BW24</f>
        <v>7</v>
      </c>
      <c r="BY24" s="14">
        <f t="shared" ref="BY24" si="130">BW24*AC24</f>
        <v>117500</v>
      </c>
      <c r="BZ24" s="7">
        <f t="shared" ref="BZ24:BZ26" si="131">W24*J24</f>
        <v>12</v>
      </c>
      <c r="CA24" s="7">
        <f>J24*9</f>
        <v>9</v>
      </c>
      <c r="CB24" s="8">
        <f t="shared" ref="CB24:CB26" si="132">BZ24-CA24</f>
        <v>3</v>
      </c>
      <c r="CC24" s="14">
        <f t="shared" ref="CC24:CC26" si="133">CA24*AC24</f>
        <v>42300</v>
      </c>
      <c r="CD24" s="7">
        <f t="shared" ref="CD24:CD26" si="134">X24*J24</f>
        <v>186</v>
      </c>
      <c r="CE24" s="7">
        <f>J24*141</f>
        <v>141</v>
      </c>
      <c r="CF24" s="8">
        <f t="shared" ref="CF24:CF26" si="135">CD24-CE24</f>
        <v>45</v>
      </c>
      <c r="CG24" s="14">
        <f t="shared" ref="CG24:CG26" si="136">CE24*AC24</f>
        <v>662700</v>
      </c>
      <c r="CH24" s="7">
        <f t="shared" ref="CH24:CH26" si="137">Y24*J24</f>
        <v>186</v>
      </c>
      <c r="CI24" s="7">
        <f>J24*141</f>
        <v>141</v>
      </c>
      <c r="CJ24" s="8">
        <f t="shared" ref="CJ24:CJ26" si="138">CH24-CI24</f>
        <v>45</v>
      </c>
      <c r="CK24" s="14">
        <f t="shared" ref="CK24:CK26" si="139">CI24*AC24</f>
        <v>662700</v>
      </c>
    </row>
    <row r="25" spans="2:90" x14ac:dyDescent="0.25">
      <c r="B25" s="7">
        <f>'PLAN DE NECESIDADES'!B22</f>
        <v>14</v>
      </c>
      <c r="C25" s="7">
        <f>'PLAN DE NECESIDADES'!C22</f>
        <v>2823601</v>
      </c>
      <c r="D25" s="62" t="str">
        <f>'PLAN DE NECESIDADES'!D22</f>
        <v>UNIFORME DE DEPORTES COMPLETO (CAMISETA Y PANTALONETA): 
DE ACUERDO A NORMA TÉCNICA  NO. NTMD-0356 A2 DE ACUERDO A ÍTEM  3.1.2.7 FIGURA ILUSTRATIVA 37</v>
      </c>
      <c r="E25" s="7" t="str">
        <f>'PLAN DE NECESIDADES'!E22</f>
        <v>UNIDAD</v>
      </c>
      <c r="F25" s="7">
        <f>'PLAN DE NECESIDADES'!F22</f>
        <v>0</v>
      </c>
      <c r="G25" s="7">
        <f>'PLAN DE NECESIDADES'!H22</f>
        <v>53102700</v>
      </c>
      <c r="H25" s="7">
        <f>'PLAN DE NECESIDADES'!I22</f>
        <v>1329412</v>
      </c>
      <c r="I25" s="7" t="str">
        <f>'PLAN DE NECESIDADES'!J22</f>
        <v>SIN CREAR</v>
      </c>
      <c r="J25" s="7">
        <v>1</v>
      </c>
      <c r="K25" s="87">
        <v>69</v>
      </c>
      <c r="L25" s="87">
        <v>217</v>
      </c>
      <c r="M25" s="87">
        <v>279</v>
      </c>
      <c r="N25" s="87">
        <v>217</v>
      </c>
      <c r="O25" s="87">
        <v>248</v>
      </c>
      <c r="P25" s="87">
        <v>248</v>
      </c>
      <c r="Q25" s="87">
        <v>279</v>
      </c>
      <c r="R25" s="87">
        <v>125</v>
      </c>
      <c r="S25" s="87">
        <v>62</v>
      </c>
      <c r="T25" s="87">
        <v>279</v>
      </c>
      <c r="U25" s="87">
        <v>186</v>
      </c>
      <c r="V25" s="87">
        <v>32</v>
      </c>
      <c r="W25" s="87">
        <v>12</v>
      </c>
      <c r="X25" s="87">
        <v>186</v>
      </c>
      <c r="Y25" s="87">
        <v>186</v>
      </c>
      <c r="Z25" s="87">
        <f t="shared" si="95"/>
        <v>2656</v>
      </c>
      <c r="AA25" s="7">
        <f t="shared" si="96"/>
        <v>1944</v>
      </c>
      <c r="AB25" s="7">
        <f t="shared" si="97"/>
        <v>712</v>
      </c>
      <c r="AC25" s="12">
        <v>43000</v>
      </c>
      <c r="AD25" s="7">
        <f t="shared" ref="AD25:AD26" si="140">K25*J25</f>
        <v>69</v>
      </c>
      <c r="AE25" s="7">
        <f t="shared" ref="AE25" si="141">J25*52</f>
        <v>52</v>
      </c>
      <c r="AF25" s="8">
        <f t="shared" ref="AF25:AF26" si="142">AD25-AE25</f>
        <v>17</v>
      </c>
      <c r="AG25" s="14">
        <f t="shared" ref="AG25:AG26" si="143">AC25*AE25</f>
        <v>2236000</v>
      </c>
      <c r="AH25" s="7">
        <f t="shared" ref="AH25:AH26" si="144">L25*J25</f>
        <v>217</v>
      </c>
      <c r="AI25" s="7">
        <f>J25*165</f>
        <v>165</v>
      </c>
      <c r="AJ25" s="8">
        <f t="shared" ref="AJ25:AJ26" si="145">AH25-AI25</f>
        <v>52</v>
      </c>
      <c r="AK25" s="14">
        <f t="shared" ref="AK25:AK26" si="146">AC25*AI25</f>
        <v>7095000</v>
      </c>
      <c r="AL25" s="7">
        <f t="shared" ref="AL25:AL26" si="147">M25*J25</f>
        <v>279</v>
      </c>
      <c r="AM25" s="7">
        <f>J25*212</f>
        <v>212</v>
      </c>
      <c r="AN25" s="8">
        <f t="shared" ref="AN25:AN26" si="148">AL25-AM25</f>
        <v>67</v>
      </c>
      <c r="AO25" s="14">
        <f t="shared" ref="AO25:AO26" si="149">AC25*AM25</f>
        <v>9116000</v>
      </c>
      <c r="AP25" s="7">
        <f t="shared" ref="AP25:AP26" si="150">N25*J25</f>
        <v>217</v>
      </c>
      <c r="AQ25" s="7">
        <f t="shared" ref="AQ25" si="151">J25*165</f>
        <v>165</v>
      </c>
      <c r="AR25" s="8">
        <f t="shared" ref="AR25:AR26" si="152">AP25-AQ25</f>
        <v>52</v>
      </c>
      <c r="AS25" s="14">
        <f t="shared" ref="AS25:AS26" si="153">AC25*AQ25</f>
        <v>7095000</v>
      </c>
      <c r="AT25" s="7">
        <f t="shared" ref="AT25:AT26" si="154">M25*J25</f>
        <v>279</v>
      </c>
      <c r="AU25" s="7">
        <f t="shared" ref="AU25" si="155">J25*189</f>
        <v>189</v>
      </c>
      <c r="AV25" s="8">
        <f t="shared" ref="AV25:AV26" si="156">AT25-AU25</f>
        <v>90</v>
      </c>
      <c r="AW25" s="14">
        <f t="shared" ref="AW25:AW26" si="157">AU25*AC25</f>
        <v>8127000</v>
      </c>
      <c r="AX25" s="7">
        <f t="shared" ref="AX25:AX26" si="158">P25*J25</f>
        <v>248</v>
      </c>
      <c r="AY25" s="7">
        <f>J25*189</f>
        <v>189</v>
      </c>
      <c r="AZ25" s="8">
        <f t="shared" ref="AZ25:AZ26" si="159">AX25-AY25</f>
        <v>59</v>
      </c>
      <c r="BA25" s="14">
        <f t="shared" ref="BA25:BA26" si="160">AC25*AY25</f>
        <v>8127000</v>
      </c>
      <c r="BB25" s="7">
        <f t="shared" ref="BB25:BB26" si="161">Q25*J25</f>
        <v>279</v>
      </c>
      <c r="BC25" s="7">
        <f>J25*213</f>
        <v>213</v>
      </c>
      <c r="BD25" s="8">
        <f t="shared" ref="BD25:BD26" si="162">BB25-BC25</f>
        <v>66</v>
      </c>
      <c r="BE25" s="14">
        <f t="shared" ref="BE25:BE26" si="163">BC25*AC25</f>
        <v>9159000</v>
      </c>
      <c r="BF25" s="7">
        <f t="shared" ref="BF25:BF28" si="164">R25*J25</f>
        <v>125</v>
      </c>
      <c r="BG25" s="7">
        <f t="shared" ref="BG25" si="165">J25*40</f>
        <v>40</v>
      </c>
      <c r="BH25" s="8">
        <f t="shared" ref="BH25:BH28" si="166">BF25-BG25</f>
        <v>85</v>
      </c>
      <c r="BI25" s="14">
        <f t="shared" ref="BI25:BI28" si="167">BG25*AC25</f>
        <v>1720000</v>
      </c>
      <c r="BJ25" s="7">
        <f t="shared" ref="BJ25:BJ26" si="168">S25*J25</f>
        <v>62</v>
      </c>
      <c r="BK25" s="7">
        <f t="shared" ref="BK25" si="169">J25*47</f>
        <v>47</v>
      </c>
      <c r="BL25" s="8">
        <f t="shared" ref="BL25:BL26" si="170">BJ25-BK25</f>
        <v>15</v>
      </c>
      <c r="BM25" s="14">
        <f t="shared" ref="BM25:BM26" si="171">BK25*AC25</f>
        <v>2021000</v>
      </c>
      <c r="BN25" s="7">
        <f t="shared" ref="BN25:BN26" si="172">T25*J25</f>
        <v>279</v>
      </c>
      <c r="BO25" s="7">
        <f>J25*213</f>
        <v>213</v>
      </c>
      <c r="BP25" s="8">
        <f t="shared" ref="BP25:BP26" si="173">BN25-BO25</f>
        <v>66</v>
      </c>
      <c r="BQ25" s="14">
        <f t="shared" ref="BQ25:BQ26" si="174">BO25*AC25</f>
        <v>9159000</v>
      </c>
      <c r="BR25" s="7">
        <f t="shared" si="125"/>
        <v>186</v>
      </c>
      <c r="BS25" s="7">
        <f t="shared" ref="BS25:BS26" si="175">J25*142</f>
        <v>142</v>
      </c>
      <c r="BT25" s="8">
        <f t="shared" si="126"/>
        <v>44</v>
      </c>
      <c r="BU25" s="14">
        <f t="shared" si="127"/>
        <v>6106000</v>
      </c>
      <c r="BV25" s="7">
        <f t="shared" ref="BV25:BV26" si="176">V25*J25</f>
        <v>32</v>
      </c>
      <c r="BW25" s="7">
        <f>J25*24</f>
        <v>24</v>
      </c>
      <c r="BX25" s="8">
        <f t="shared" ref="BX25:BX26" si="177">BV25-BW25</f>
        <v>8</v>
      </c>
      <c r="BY25" s="14">
        <f t="shared" ref="BY25:BY26" si="178">BW25*AC25</f>
        <v>1032000</v>
      </c>
      <c r="BZ25" s="7">
        <f t="shared" si="131"/>
        <v>12</v>
      </c>
      <c r="CA25" s="7">
        <f>J25*9</f>
        <v>9</v>
      </c>
      <c r="CB25" s="8">
        <f t="shared" si="132"/>
        <v>3</v>
      </c>
      <c r="CC25" s="14">
        <f t="shared" si="133"/>
        <v>387000</v>
      </c>
      <c r="CD25" s="7">
        <f t="shared" si="134"/>
        <v>186</v>
      </c>
      <c r="CE25" s="7">
        <f t="shared" ref="CE25:CE26" si="179">J25*142</f>
        <v>142</v>
      </c>
      <c r="CF25" s="8">
        <f t="shared" si="135"/>
        <v>44</v>
      </c>
      <c r="CG25" s="14">
        <f t="shared" si="136"/>
        <v>6106000</v>
      </c>
      <c r="CH25" s="7">
        <f t="shared" si="137"/>
        <v>186</v>
      </c>
      <c r="CI25" s="7">
        <f t="shared" ref="CI25:CI26" si="180">J25*142</f>
        <v>142</v>
      </c>
      <c r="CJ25" s="8">
        <f t="shared" si="138"/>
        <v>44</v>
      </c>
      <c r="CK25" s="14">
        <f t="shared" si="139"/>
        <v>6106000</v>
      </c>
    </row>
    <row r="26" spans="2:90" x14ac:dyDescent="0.25">
      <c r="B26" s="7">
        <f>'PLAN DE NECESIDADES'!B23</f>
        <v>15</v>
      </c>
      <c r="C26" s="7">
        <f>'PLAN DE NECESIDADES'!C23</f>
        <v>2819003</v>
      </c>
      <c r="D26" s="62" t="str">
        <f>'PLAN DE NECESIDADES'!D23</f>
        <v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v>
      </c>
      <c r="E26" s="7" t="str">
        <f>'PLAN DE NECESIDADES'!E23</f>
        <v>PAR</v>
      </c>
      <c r="F26" s="7">
        <f>'PLAN DE NECESIDADES'!F23</f>
        <v>0</v>
      </c>
      <c r="G26" s="7">
        <f>'PLAN DE NECESIDADES'!H23</f>
        <v>53111800</v>
      </c>
      <c r="H26" s="7">
        <f>'PLAN DE NECESIDADES'!I23</f>
        <v>1296725</v>
      </c>
      <c r="I26" s="7" t="str">
        <f>'PLAN DE NECESIDADES'!J23</f>
        <v>SIN CREAR</v>
      </c>
      <c r="J26" s="7">
        <v>1</v>
      </c>
      <c r="K26" s="87">
        <v>69</v>
      </c>
      <c r="L26" s="87">
        <v>217</v>
      </c>
      <c r="M26" s="87">
        <v>279</v>
      </c>
      <c r="N26" s="87">
        <v>217</v>
      </c>
      <c r="O26" s="87">
        <v>248</v>
      </c>
      <c r="P26" s="87">
        <v>248</v>
      </c>
      <c r="Q26" s="87">
        <v>279</v>
      </c>
      <c r="R26" s="87">
        <v>125</v>
      </c>
      <c r="S26" s="87">
        <v>62</v>
      </c>
      <c r="T26" s="87">
        <v>279</v>
      </c>
      <c r="U26" s="87">
        <v>186</v>
      </c>
      <c r="V26" s="87">
        <v>32</v>
      </c>
      <c r="W26" s="87">
        <v>12</v>
      </c>
      <c r="X26" s="87">
        <v>186</v>
      </c>
      <c r="Y26" s="87">
        <v>186</v>
      </c>
      <c r="Z26" s="87">
        <f t="shared" si="95"/>
        <v>2656</v>
      </c>
      <c r="AA26" s="7">
        <f t="shared" si="96"/>
        <v>1961</v>
      </c>
      <c r="AB26" s="7">
        <f t="shared" si="97"/>
        <v>695</v>
      </c>
      <c r="AC26" s="12">
        <v>7300</v>
      </c>
      <c r="AD26" s="7">
        <f t="shared" si="140"/>
        <v>69</v>
      </c>
      <c r="AE26" s="7">
        <f>J26*55</f>
        <v>55</v>
      </c>
      <c r="AF26" s="8">
        <f t="shared" si="142"/>
        <v>14</v>
      </c>
      <c r="AG26" s="14">
        <f t="shared" si="143"/>
        <v>401500</v>
      </c>
      <c r="AH26" s="7">
        <f t="shared" si="144"/>
        <v>217</v>
      </c>
      <c r="AI26" s="7">
        <f>J26*168</f>
        <v>168</v>
      </c>
      <c r="AJ26" s="8">
        <f t="shared" si="145"/>
        <v>49</v>
      </c>
      <c r="AK26" s="14">
        <f t="shared" si="146"/>
        <v>1226400</v>
      </c>
      <c r="AL26" s="7">
        <f t="shared" si="147"/>
        <v>279</v>
      </c>
      <c r="AM26" s="7">
        <f>J26*216</f>
        <v>216</v>
      </c>
      <c r="AN26" s="8">
        <f t="shared" si="148"/>
        <v>63</v>
      </c>
      <c r="AO26" s="14">
        <f t="shared" si="149"/>
        <v>1576800</v>
      </c>
      <c r="AP26" s="7">
        <f t="shared" si="150"/>
        <v>217</v>
      </c>
      <c r="AQ26" s="7">
        <f>J26*167</f>
        <v>167</v>
      </c>
      <c r="AR26" s="8">
        <f t="shared" si="152"/>
        <v>50</v>
      </c>
      <c r="AS26" s="14">
        <f t="shared" si="153"/>
        <v>1219100</v>
      </c>
      <c r="AT26" s="7">
        <f t="shared" si="154"/>
        <v>279</v>
      </c>
      <c r="AU26" s="7">
        <f>J26*190</f>
        <v>190</v>
      </c>
      <c r="AV26" s="8">
        <f t="shared" si="156"/>
        <v>89</v>
      </c>
      <c r="AW26" s="14">
        <f t="shared" si="157"/>
        <v>1387000</v>
      </c>
      <c r="AX26" s="7">
        <f t="shared" si="158"/>
        <v>248</v>
      </c>
      <c r="AY26" s="7">
        <f t="shared" ref="AY26" si="181">J26*190</f>
        <v>190</v>
      </c>
      <c r="AZ26" s="8">
        <f t="shared" si="159"/>
        <v>58</v>
      </c>
      <c r="BA26" s="14">
        <f t="shared" si="160"/>
        <v>1387000</v>
      </c>
      <c r="BB26" s="7">
        <f t="shared" si="161"/>
        <v>279</v>
      </c>
      <c r="BC26" s="7">
        <f t="shared" ref="BC26" si="182">J26*212</f>
        <v>212</v>
      </c>
      <c r="BD26" s="8">
        <f t="shared" si="162"/>
        <v>67</v>
      </c>
      <c r="BE26" s="14">
        <f t="shared" si="163"/>
        <v>1547600</v>
      </c>
      <c r="BF26" s="7">
        <f t="shared" si="164"/>
        <v>125</v>
      </c>
      <c r="BG26" s="7">
        <f>J26*41</f>
        <v>41</v>
      </c>
      <c r="BH26" s="8">
        <f t="shared" si="166"/>
        <v>84</v>
      </c>
      <c r="BI26" s="14">
        <f t="shared" si="167"/>
        <v>299300</v>
      </c>
      <c r="BJ26" s="7">
        <f t="shared" si="168"/>
        <v>62</v>
      </c>
      <c r="BK26" s="7">
        <f>J26*48</f>
        <v>48</v>
      </c>
      <c r="BL26" s="8">
        <f t="shared" si="170"/>
        <v>14</v>
      </c>
      <c r="BM26" s="14">
        <f t="shared" si="171"/>
        <v>350400</v>
      </c>
      <c r="BN26" s="7">
        <f t="shared" si="172"/>
        <v>279</v>
      </c>
      <c r="BO26" s="7">
        <f t="shared" ref="BO26" si="183">J26*212</f>
        <v>212</v>
      </c>
      <c r="BP26" s="8">
        <f t="shared" si="173"/>
        <v>67</v>
      </c>
      <c r="BQ26" s="14">
        <f t="shared" si="174"/>
        <v>1547600</v>
      </c>
      <c r="BR26" s="7">
        <f t="shared" si="125"/>
        <v>186</v>
      </c>
      <c r="BS26" s="7">
        <f t="shared" si="175"/>
        <v>142</v>
      </c>
      <c r="BT26" s="8">
        <f t="shared" si="126"/>
        <v>44</v>
      </c>
      <c r="BU26" s="14">
        <f t="shared" si="127"/>
        <v>1036600</v>
      </c>
      <c r="BV26" s="7">
        <f t="shared" si="176"/>
        <v>32</v>
      </c>
      <c r="BW26" s="7">
        <f>J26*26</f>
        <v>26</v>
      </c>
      <c r="BX26" s="8">
        <f t="shared" si="177"/>
        <v>6</v>
      </c>
      <c r="BY26" s="14">
        <f t="shared" si="178"/>
        <v>189800</v>
      </c>
      <c r="BZ26" s="7">
        <f t="shared" si="131"/>
        <v>12</v>
      </c>
      <c r="CA26" s="7">
        <f t="shared" ref="CA26" si="184">J26*10</f>
        <v>10</v>
      </c>
      <c r="CB26" s="8">
        <f t="shared" si="132"/>
        <v>2</v>
      </c>
      <c r="CC26" s="14">
        <f t="shared" si="133"/>
        <v>73000</v>
      </c>
      <c r="CD26" s="7">
        <f t="shared" si="134"/>
        <v>186</v>
      </c>
      <c r="CE26" s="7">
        <f t="shared" si="179"/>
        <v>142</v>
      </c>
      <c r="CF26" s="8">
        <f t="shared" si="135"/>
        <v>44</v>
      </c>
      <c r="CG26" s="14">
        <f t="shared" si="136"/>
        <v>1036600</v>
      </c>
      <c r="CH26" s="7">
        <f t="shared" si="137"/>
        <v>186</v>
      </c>
      <c r="CI26" s="7">
        <f t="shared" si="180"/>
        <v>142</v>
      </c>
      <c r="CJ26" s="8">
        <f t="shared" si="138"/>
        <v>44</v>
      </c>
      <c r="CK26" s="14">
        <f t="shared" si="139"/>
        <v>1036600</v>
      </c>
    </row>
    <row r="27" spans="2:90" x14ac:dyDescent="0.25">
      <c r="B27" s="7">
        <f>'PLAN DE NECESIDADES'!B24</f>
        <v>16</v>
      </c>
      <c r="C27" s="7">
        <f>'PLAN DE NECESIDADES'!C24</f>
        <v>2823603</v>
      </c>
      <c r="D27" s="62" t="str">
        <f>'PLAN DE NECESIDADES'!D24</f>
        <v>BICICLETERO NEGRO CORTO:
DE ACUERDO A ESPECIFICACIONES TÉCNICAS ESPECIFICACIONES TÉCNICAS NO JEMPP-CEDE4-DIETE-ET05595/INT-0</v>
      </c>
      <c r="E27" s="7" t="str">
        <f>'PLAN DE NECESIDADES'!E24</f>
        <v>UNIDAD</v>
      </c>
      <c r="F27" s="7">
        <f>'PLAN DE NECESIDADES'!F24</f>
        <v>0</v>
      </c>
      <c r="G27" s="7">
        <f>'PLAN DE NECESIDADES'!H24</f>
        <v>53101500</v>
      </c>
      <c r="H27" s="7">
        <f>'PLAN DE NECESIDADES'!I24</f>
        <v>1893955</v>
      </c>
      <c r="I27" s="7" t="str">
        <f>'PLAN DE NECESIDADES'!J24</f>
        <v>SIN CREAR</v>
      </c>
      <c r="J27" s="7">
        <v>1</v>
      </c>
      <c r="K27" s="7"/>
      <c r="L27" s="7"/>
      <c r="M27" s="7"/>
      <c r="N27" s="7"/>
      <c r="O27" s="87"/>
      <c r="P27" s="7"/>
      <c r="Q27" s="7"/>
      <c r="R27" s="87">
        <v>125</v>
      </c>
      <c r="S27" s="7"/>
      <c r="T27" s="7"/>
      <c r="U27" s="7"/>
      <c r="V27" s="7"/>
      <c r="W27" s="7"/>
      <c r="X27" s="7"/>
      <c r="Y27" s="7"/>
      <c r="Z27" s="87">
        <f t="shared" si="95"/>
        <v>125</v>
      </c>
      <c r="AA27" s="7">
        <f t="shared" si="96"/>
        <v>41</v>
      </c>
      <c r="AB27" s="7">
        <f t="shared" si="97"/>
        <v>84</v>
      </c>
      <c r="AC27" s="12">
        <v>37400</v>
      </c>
      <c r="AD27" s="7"/>
      <c r="AE27" s="7"/>
      <c r="AF27" s="8"/>
      <c r="AG27" s="14"/>
      <c r="AH27" s="7"/>
      <c r="AI27" s="7"/>
      <c r="AJ27" s="8"/>
      <c r="AK27" s="14"/>
      <c r="AL27" s="7"/>
      <c r="AM27" s="7"/>
      <c r="AN27" s="8"/>
      <c r="AO27" s="14"/>
      <c r="AP27" s="7"/>
      <c r="AQ27" s="7"/>
      <c r="AR27" s="8"/>
      <c r="AS27" s="14"/>
      <c r="AT27" s="7"/>
      <c r="AU27" s="7"/>
      <c r="AV27" s="8"/>
      <c r="AW27" s="14"/>
      <c r="AX27" s="7"/>
      <c r="AY27" s="7"/>
      <c r="AZ27" s="8"/>
      <c r="BA27" s="14"/>
      <c r="BB27" s="7"/>
      <c r="BC27" s="7"/>
      <c r="BD27" s="8"/>
      <c r="BE27" s="14"/>
      <c r="BF27" s="7">
        <f t="shared" si="164"/>
        <v>125</v>
      </c>
      <c r="BG27" s="7">
        <f>J27*41</f>
        <v>41</v>
      </c>
      <c r="BH27" s="8">
        <f t="shared" si="166"/>
        <v>84</v>
      </c>
      <c r="BI27" s="14">
        <f t="shared" si="167"/>
        <v>1533400</v>
      </c>
      <c r="BJ27" s="7"/>
      <c r="BK27" s="7"/>
      <c r="BL27" s="8"/>
      <c r="BM27" s="14"/>
      <c r="BN27" s="7"/>
      <c r="BO27" s="7"/>
      <c r="BP27" s="8"/>
      <c r="BQ27" s="14"/>
      <c r="BR27" s="7"/>
      <c r="BS27" s="7"/>
      <c r="BT27" s="8"/>
      <c r="BU27" s="14"/>
      <c r="BV27" s="7"/>
      <c r="BW27" s="7"/>
      <c r="BX27" s="8"/>
      <c r="BY27" s="14"/>
      <c r="BZ27" s="7"/>
      <c r="CA27" s="7"/>
      <c r="CB27" s="8"/>
      <c r="CC27" s="14"/>
      <c r="CD27" s="7"/>
      <c r="CE27" s="7"/>
      <c r="CF27" s="8"/>
      <c r="CG27" s="14"/>
      <c r="CH27" s="7"/>
      <c r="CI27" s="7"/>
      <c r="CJ27" s="8"/>
      <c r="CK27" s="14"/>
    </row>
    <row r="28" spans="2:90" x14ac:dyDescent="0.25">
      <c r="B28" s="7">
        <f>'PLAN DE NECESIDADES'!B25</f>
        <v>17</v>
      </c>
      <c r="C28" s="7">
        <f>'PLAN DE NECESIDADES'!C25</f>
        <v>2822401</v>
      </c>
      <c r="D28" s="62" t="str">
        <f>'PLAN DE NECESIDADES'!D25</f>
        <v>JUEGO DE ROPA INTERIOR (TOP-CACHETERO) 
DE ACUERDO A ESPECIFICACIONES TÉCNICAS N° JEMPP-CEDE4-DIETE-ET05573/INT-01</v>
      </c>
      <c r="E28" s="7" t="str">
        <f>'PLAN DE NECESIDADES'!E25</f>
        <v>UNIDAD</v>
      </c>
      <c r="F28" s="7">
        <f>'PLAN DE NECESIDADES'!F25</f>
        <v>0</v>
      </c>
      <c r="G28" s="7">
        <f>'PLAN DE NECESIDADES'!H25</f>
        <v>53102300</v>
      </c>
      <c r="H28" s="7">
        <f>'PLAN DE NECESIDADES'!I25</f>
        <v>1702099</v>
      </c>
      <c r="I28" s="7" t="str">
        <f>'PLAN DE NECESIDADES'!J25</f>
        <v>SIN CREAR</v>
      </c>
      <c r="J28" s="7">
        <v>1</v>
      </c>
      <c r="K28" s="7"/>
      <c r="L28" s="7"/>
      <c r="M28" s="7"/>
      <c r="N28" s="7"/>
      <c r="O28" s="87"/>
      <c r="P28" s="7"/>
      <c r="Q28" s="7"/>
      <c r="R28" s="87">
        <v>125</v>
      </c>
      <c r="S28" s="7"/>
      <c r="T28" s="7"/>
      <c r="U28" s="7"/>
      <c r="V28" s="7"/>
      <c r="W28" s="7"/>
      <c r="X28" s="7"/>
      <c r="Y28" s="7"/>
      <c r="Z28" s="87">
        <f t="shared" si="95"/>
        <v>125</v>
      </c>
      <c r="AA28" s="7">
        <f t="shared" si="96"/>
        <v>41</v>
      </c>
      <c r="AB28" s="7">
        <f t="shared" si="97"/>
        <v>84</v>
      </c>
      <c r="AC28" s="12">
        <v>36700</v>
      </c>
      <c r="AD28" s="7"/>
      <c r="AE28" s="7"/>
      <c r="AF28" s="8"/>
      <c r="AG28" s="14"/>
      <c r="AH28" s="7"/>
      <c r="AI28" s="7"/>
      <c r="AJ28" s="8"/>
      <c r="AK28" s="14"/>
      <c r="AL28" s="7"/>
      <c r="AM28" s="7"/>
      <c r="AN28" s="8"/>
      <c r="AO28" s="14"/>
      <c r="AP28" s="7"/>
      <c r="AQ28" s="7"/>
      <c r="AR28" s="8"/>
      <c r="AS28" s="14"/>
      <c r="AT28" s="7"/>
      <c r="AU28" s="7"/>
      <c r="AV28" s="8"/>
      <c r="AW28" s="14"/>
      <c r="AX28" s="7"/>
      <c r="AY28" s="7"/>
      <c r="AZ28" s="8"/>
      <c r="BA28" s="14"/>
      <c r="BB28" s="7"/>
      <c r="BC28" s="7"/>
      <c r="BD28" s="8"/>
      <c r="BE28" s="14"/>
      <c r="BF28" s="7">
        <f t="shared" si="164"/>
        <v>125</v>
      </c>
      <c r="BG28" s="7">
        <f>J28*41</f>
        <v>41</v>
      </c>
      <c r="BH28" s="8">
        <f t="shared" si="166"/>
        <v>84</v>
      </c>
      <c r="BI28" s="14">
        <f t="shared" si="167"/>
        <v>1504700</v>
      </c>
      <c r="BJ28" s="7"/>
      <c r="BK28" s="7"/>
      <c r="BL28" s="8"/>
      <c r="BM28" s="14"/>
      <c r="BN28" s="7"/>
      <c r="BO28" s="7"/>
      <c r="BP28" s="8"/>
      <c r="BQ28" s="14"/>
      <c r="BR28" s="7"/>
      <c r="BS28" s="7"/>
      <c r="BT28" s="8"/>
      <c r="BU28" s="14"/>
      <c r="BV28" s="7"/>
      <c r="BW28" s="7"/>
      <c r="BX28" s="8"/>
      <c r="BY28" s="14"/>
      <c r="BZ28" s="7"/>
      <c r="CA28" s="7"/>
      <c r="CB28" s="8"/>
      <c r="CC28" s="14"/>
      <c r="CD28" s="7"/>
      <c r="CE28" s="7"/>
      <c r="CF28" s="8"/>
      <c r="CG28" s="14"/>
      <c r="CH28" s="7"/>
      <c r="CI28" s="7"/>
      <c r="CJ28" s="8"/>
      <c r="CK28" s="14"/>
    </row>
    <row r="29" spans="2:90" x14ac:dyDescent="0.25">
      <c r="B29" s="156" t="s">
        <v>18</v>
      </c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43">
        <f>SUM(AG24:AG28)</f>
        <v>2891300</v>
      </c>
      <c r="AE29" s="143"/>
      <c r="AF29" s="143"/>
      <c r="AG29" s="143"/>
      <c r="AH29" s="143">
        <f t="shared" ref="AH29" si="185">SUM(AK24:AK28)</f>
        <v>9106300</v>
      </c>
      <c r="AI29" s="143"/>
      <c r="AJ29" s="143"/>
      <c r="AK29" s="143"/>
      <c r="AL29" s="143">
        <f t="shared" ref="AL29" si="186">SUM(AO24:AO28)</f>
        <v>11708000</v>
      </c>
      <c r="AM29" s="143"/>
      <c r="AN29" s="143"/>
      <c r="AO29" s="143"/>
      <c r="AP29" s="143">
        <f t="shared" ref="AP29" si="187">SUM(AS24:AS28)</f>
        <v>9103700</v>
      </c>
      <c r="AQ29" s="143"/>
      <c r="AR29" s="143"/>
      <c r="AS29" s="143"/>
      <c r="AT29" s="143">
        <f t="shared" ref="AT29" si="188">SUM(AW24:AW28)</f>
        <v>10407000</v>
      </c>
      <c r="AU29" s="143"/>
      <c r="AV29" s="143"/>
      <c r="AW29" s="143"/>
      <c r="AX29" s="143">
        <f t="shared" ref="AX29" si="189">SUM(BA24:BA28)</f>
        <v>10407000</v>
      </c>
      <c r="AY29" s="143"/>
      <c r="AZ29" s="143"/>
      <c r="BA29" s="143"/>
      <c r="BB29" s="143">
        <f t="shared" ref="BB29" si="190">SUM(BE24:BE28)</f>
        <v>11707700</v>
      </c>
      <c r="BC29" s="143"/>
      <c r="BD29" s="143"/>
      <c r="BE29" s="143"/>
      <c r="BF29" s="143">
        <f t="shared" ref="BF29" si="191">SUM(BI24:BI28)</f>
        <v>5245400</v>
      </c>
      <c r="BG29" s="143"/>
      <c r="BH29" s="143"/>
      <c r="BI29" s="143"/>
      <c r="BJ29" s="143">
        <f t="shared" ref="BJ29" si="192">SUM(BM24:BM28)</f>
        <v>2601700</v>
      </c>
      <c r="BK29" s="143"/>
      <c r="BL29" s="143"/>
      <c r="BM29" s="143"/>
      <c r="BN29" s="143">
        <f t="shared" ref="BN29" si="193">SUM(BQ24:BQ28)</f>
        <v>11707700</v>
      </c>
      <c r="BO29" s="143"/>
      <c r="BP29" s="143"/>
      <c r="BQ29" s="143"/>
      <c r="BR29" s="143">
        <f t="shared" ref="BR29" si="194">SUM(BU24:BU28)</f>
        <v>7805300</v>
      </c>
      <c r="BS29" s="143"/>
      <c r="BT29" s="143"/>
      <c r="BU29" s="143"/>
      <c r="BV29" s="143">
        <f t="shared" ref="BV29" si="195">SUM(BY24:BY28)</f>
        <v>1339300</v>
      </c>
      <c r="BW29" s="143"/>
      <c r="BX29" s="143"/>
      <c r="BY29" s="143"/>
      <c r="BZ29" s="143">
        <f t="shared" ref="BZ29" si="196">SUM(CC24:CC28)</f>
        <v>502300</v>
      </c>
      <c r="CA29" s="143"/>
      <c r="CB29" s="143"/>
      <c r="CC29" s="143"/>
      <c r="CD29" s="143">
        <f t="shared" ref="CD29" si="197">SUM(CG24:CG28)</f>
        <v>7805300</v>
      </c>
      <c r="CE29" s="143"/>
      <c r="CF29" s="143"/>
      <c r="CG29" s="143"/>
      <c r="CH29" s="143">
        <f t="shared" ref="CH29" si="198">SUM(CK24:CK28)</f>
        <v>7805300</v>
      </c>
      <c r="CI29" s="143"/>
      <c r="CJ29" s="143"/>
      <c r="CK29" s="143"/>
    </row>
    <row r="30" spans="2:90" x14ac:dyDescent="0.25">
      <c r="B30" s="156" t="s">
        <v>19</v>
      </c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6"/>
      <c r="T30" s="156"/>
      <c r="U30" s="156"/>
      <c r="V30" s="156"/>
      <c r="W30" s="156"/>
      <c r="X30" s="156"/>
      <c r="Y30" s="156"/>
      <c r="Z30" s="156"/>
      <c r="AA30" s="156"/>
      <c r="AB30" s="156"/>
      <c r="AC30" s="156"/>
      <c r="AD30" s="164">
        <f>SUMIFS(PRESUPUESTO!$G$69:$G$83,PRESUPUESTO!$E$69:$E$83,AD22)</f>
        <v>2895960.3862857143</v>
      </c>
      <c r="AE30" s="165"/>
      <c r="AF30" s="165"/>
      <c r="AG30" s="166"/>
      <c r="AH30" s="164">
        <f>SUMIFS(PRESUPUESTO!$G$69:$G$83,PRESUPUESTO!$E$69:$E$83,AH22)</f>
        <v>9107585.5626666658</v>
      </c>
      <c r="AI30" s="165"/>
      <c r="AJ30" s="165"/>
      <c r="AK30" s="166"/>
      <c r="AL30" s="164">
        <f>SUMIFS(PRESUPUESTO!$G$69:$G$83,PRESUPUESTO!$E$69:$E$83,AL22)</f>
        <v>11709752.866285713</v>
      </c>
      <c r="AM30" s="165"/>
      <c r="AN30" s="165"/>
      <c r="AO30" s="166"/>
      <c r="AP30" s="164">
        <f>SUMIFS(PRESUPUESTO!$G$69:$G$83,PRESUPUESTO!$E$69:$E$83,AP22)</f>
        <v>9107585.5626666658</v>
      </c>
      <c r="AQ30" s="165"/>
      <c r="AR30" s="165"/>
      <c r="AS30" s="166"/>
      <c r="AT30" s="164">
        <f>SUMIFS(PRESUPUESTO!$G$69:$G$83,PRESUPUESTO!$E$69:$E$83,AT22)</f>
        <v>10408669.214476191</v>
      </c>
      <c r="AU30" s="165"/>
      <c r="AV30" s="165"/>
      <c r="AW30" s="166"/>
      <c r="AX30" s="164">
        <f>SUMIFS(PRESUPUESTO!$G$69:$G$83,PRESUPUESTO!$E$69:$E$83,AX22)</f>
        <v>10408669.214476191</v>
      </c>
      <c r="AY30" s="165"/>
      <c r="AZ30" s="165"/>
      <c r="BA30" s="166"/>
      <c r="BB30" s="164">
        <f>SUMIFS(PRESUPUESTO!$G$69:$G$83,PRESUPUESTO!$E$69:$E$83,BB22)</f>
        <v>11709752.866285713</v>
      </c>
      <c r="BC30" s="165"/>
      <c r="BD30" s="165"/>
      <c r="BE30" s="166"/>
      <c r="BF30" s="164">
        <f>SUMIFS(PRESUPUESTO!$G$69:$G$83,PRESUPUESTO!$E$69:$E$83,BF22)</f>
        <v>5246305.0476190476</v>
      </c>
      <c r="BG30" s="165"/>
      <c r="BH30" s="165"/>
      <c r="BI30" s="166"/>
      <c r="BJ30" s="164">
        <f>SUMIFS(PRESUPUESTO!$G$69:$G$83,PRESUPUESTO!$E$69:$E$83,BJ22)</f>
        <v>2602167.3036190476</v>
      </c>
      <c r="BK30" s="165"/>
      <c r="BL30" s="165"/>
      <c r="BM30" s="166"/>
      <c r="BN30" s="164">
        <f>SUMIFS(PRESUPUESTO!$G$69:$G$83,PRESUPUESTO!$E$69:$E$83,BN22)</f>
        <v>11709752.866285713</v>
      </c>
      <c r="BO30" s="165"/>
      <c r="BP30" s="165"/>
      <c r="BQ30" s="166"/>
      <c r="BR30" s="164">
        <f>SUMIFS(PRESUPUESTO!$G$69:$G$83,PRESUPUESTO!$E$69:$E$83,BR22)</f>
        <v>7806501.9108571429</v>
      </c>
      <c r="BS30" s="165"/>
      <c r="BT30" s="165"/>
      <c r="BU30" s="166"/>
      <c r="BV30" s="164">
        <f>SUMIFS(PRESUPUESTO!$G$69:$G$83,PRESUPUESTO!$E$69:$E$83,BV22)</f>
        <v>1343054.0921904761</v>
      </c>
      <c r="BW30" s="165"/>
      <c r="BX30" s="165"/>
      <c r="BY30" s="166"/>
      <c r="BZ30" s="164">
        <f>SUMIFS(PRESUPUESTO!$G$69:$G$83,PRESUPUESTO!$E$69:$E$83,BZ22)</f>
        <v>503645.28457142855</v>
      </c>
      <c r="CA30" s="165"/>
      <c r="CB30" s="165"/>
      <c r="CC30" s="166"/>
      <c r="CD30" s="164">
        <f>SUMIFS(PRESUPUESTO!$G$69:$G$83,PRESUPUESTO!$E$69:$E$83,CD22)</f>
        <v>7806501.9108571429</v>
      </c>
      <c r="CE30" s="165"/>
      <c r="CF30" s="165"/>
      <c r="CG30" s="166"/>
      <c r="CH30" s="164">
        <f>SUMIFS(PRESUPUESTO!$G$69:$G$83,PRESUPUESTO!$E$69:$E$83,CH22)</f>
        <v>7806501.9108571429</v>
      </c>
      <c r="CI30" s="165"/>
      <c r="CJ30" s="165"/>
      <c r="CK30" s="166"/>
      <c r="CL30" s="37">
        <f>SUM(AD30:CK30)</f>
        <v>110172405.99999999</v>
      </c>
    </row>
    <row r="31" spans="2:90" x14ac:dyDescent="0.25">
      <c r="B31" s="156" t="s">
        <v>10</v>
      </c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63">
        <f>AD30-AD29</f>
        <v>4660.3862857143395</v>
      </c>
      <c r="AE31" s="163"/>
      <c r="AF31" s="163"/>
      <c r="AG31" s="163"/>
      <c r="AH31" s="163">
        <f>AH30-AH29</f>
        <v>1285.5626666657627</v>
      </c>
      <c r="AI31" s="163"/>
      <c r="AJ31" s="163"/>
      <c r="AK31" s="163"/>
      <c r="AL31" s="163">
        <f>AL30-AL29</f>
        <v>1752.8662857133895</v>
      </c>
      <c r="AM31" s="163"/>
      <c r="AN31" s="163"/>
      <c r="AO31" s="163"/>
      <c r="AP31" s="163">
        <f t="shared" ref="AP31" si="199">AP30-AP29</f>
        <v>3885.5626666657627</v>
      </c>
      <c r="AQ31" s="163"/>
      <c r="AR31" s="163"/>
      <c r="AS31" s="163"/>
      <c r="AT31" s="163">
        <f>AT30-AT29</f>
        <v>1669.2144761905074</v>
      </c>
      <c r="AU31" s="163"/>
      <c r="AV31" s="163"/>
      <c r="AW31" s="163"/>
      <c r="AX31" s="163">
        <f>AX30-AX29</f>
        <v>1669.2144761905074</v>
      </c>
      <c r="AY31" s="163"/>
      <c r="AZ31" s="163"/>
      <c r="BA31" s="163"/>
      <c r="BB31" s="163">
        <f>BB30-BB29</f>
        <v>2052.8662857133895</v>
      </c>
      <c r="BC31" s="163"/>
      <c r="BD31" s="163"/>
      <c r="BE31" s="163"/>
      <c r="BF31" s="163">
        <f t="shared" ref="BF31" si="200">BF30-BF29</f>
        <v>905.0476190475747</v>
      </c>
      <c r="BG31" s="163"/>
      <c r="BH31" s="163"/>
      <c r="BI31" s="163"/>
      <c r="BJ31" s="163">
        <f>BJ30-BJ29</f>
        <v>467.30361904762685</v>
      </c>
      <c r="BK31" s="163"/>
      <c r="BL31" s="163"/>
      <c r="BM31" s="163"/>
      <c r="BN31" s="163">
        <f>BN30-BN29</f>
        <v>2052.8662857133895</v>
      </c>
      <c r="BO31" s="163"/>
      <c r="BP31" s="163"/>
      <c r="BQ31" s="163"/>
      <c r="BR31" s="163">
        <f>BR30-BR29</f>
        <v>1201.9108571428806</v>
      </c>
      <c r="BS31" s="163"/>
      <c r="BT31" s="163"/>
      <c r="BU31" s="163"/>
      <c r="BV31" s="163">
        <f t="shared" ref="BV31" si="201">BV30-BV29</f>
        <v>3754.0921904761344</v>
      </c>
      <c r="BW31" s="163"/>
      <c r="BX31" s="163"/>
      <c r="BY31" s="163"/>
      <c r="BZ31" s="163">
        <f>BZ30-BZ29</f>
        <v>1345.2845714285504</v>
      </c>
      <c r="CA31" s="163"/>
      <c r="CB31" s="163"/>
      <c r="CC31" s="163"/>
      <c r="CD31" s="163">
        <f>CD30-CD29</f>
        <v>1201.9108571428806</v>
      </c>
      <c r="CE31" s="163"/>
      <c r="CF31" s="163"/>
      <c r="CG31" s="163"/>
      <c r="CH31" s="163">
        <f>CH30-CH29</f>
        <v>1201.9108571428806</v>
      </c>
      <c r="CI31" s="163"/>
      <c r="CJ31" s="163"/>
      <c r="CK31" s="163"/>
    </row>
    <row r="33" spans="2:90" x14ac:dyDescent="0.25">
      <c r="B33" s="159" t="s">
        <v>148</v>
      </c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59"/>
      <c r="AE33" s="160"/>
      <c r="AF33" s="160"/>
      <c r="AG33" s="160"/>
      <c r="AH33" s="160"/>
      <c r="AI33" s="160"/>
      <c r="AJ33" s="160"/>
      <c r="AK33" s="160"/>
      <c r="AL33" s="160"/>
      <c r="AM33" s="160"/>
      <c r="AN33" s="160"/>
      <c r="AO33" s="160"/>
      <c r="AP33" s="160"/>
      <c r="AQ33" s="159"/>
      <c r="AR33" s="160"/>
      <c r="AS33" s="160"/>
      <c r="AT33" s="160"/>
      <c r="AU33" s="160"/>
      <c r="AV33" s="160"/>
      <c r="AW33" s="160"/>
      <c r="AX33" s="160"/>
      <c r="AY33" s="160"/>
      <c r="AZ33" s="160"/>
      <c r="BA33" s="160"/>
      <c r="BB33" s="160"/>
      <c r="BC33" s="160"/>
      <c r="BD33" s="159"/>
      <c r="BE33" s="160"/>
      <c r="BF33" s="160"/>
      <c r="BG33" s="160"/>
      <c r="BH33" s="160"/>
      <c r="BI33" s="160"/>
      <c r="BJ33" s="160"/>
      <c r="BK33" s="160"/>
      <c r="BL33" s="160"/>
      <c r="BM33" s="160"/>
      <c r="BN33" s="160"/>
      <c r="BO33" s="160"/>
      <c r="BP33" s="160"/>
      <c r="BQ33" s="159"/>
      <c r="BR33" s="160"/>
      <c r="BS33" s="160"/>
      <c r="BT33" s="160"/>
      <c r="BU33" s="160"/>
      <c r="BV33" s="160"/>
      <c r="BW33" s="160"/>
      <c r="BX33" s="160"/>
      <c r="BY33" s="160"/>
      <c r="BZ33" s="160"/>
      <c r="CA33" s="160"/>
      <c r="CB33" s="160"/>
      <c r="CC33" s="160"/>
      <c r="CD33" s="159"/>
      <c r="CE33" s="160"/>
      <c r="CF33" s="160"/>
      <c r="CG33" s="160"/>
      <c r="CH33" s="160"/>
      <c r="CI33" s="160"/>
      <c r="CJ33" s="160"/>
      <c r="CK33" s="160"/>
    </row>
    <row r="34" spans="2:90" ht="28.5" customHeight="1" x14ac:dyDescent="0.25">
      <c r="B34" s="158" t="str">
        <f>'PLAN DE NECESIDADES'!B29</f>
        <v>ÍTEM</v>
      </c>
      <c r="C34" s="158" t="str">
        <f>'PLAN DE NECESIDADES'!C29</f>
        <v>CÓDIGO DANE</v>
      </c>
      <c r="D34" s="158" t="str">
        <f>'PLAN DE NECESIDADES'!D29</f>
        <v xml:space="preserve">DESCRIPCIÓN DEL BIEN Y/O SERVICIO </v>
      </c>
      <c r="E34" s="158" t="str">
        <f>'PLAN DE NECESIDADES'!E29</f>
        <v>UNIDAD MEDIDA</v>
      </c>
      <c r="F34" s="158" t="str">
        <f>'PLAN DE NECESIDADES'!F29</f>
        <v>EXISTENCIAS (STOCK - INVENTARIOS)</v>
      </c>
      <c r="G34" s="158" t="str">
        <f>'PLAN DE NECESIDADES'!H29</f>
        <v>UNSPSC (CCE)</v>
      </c>
      <c r="H34" s="158" t="str">
        <f>'PLAN DE NECESIDADES'!I29</f>
        <v xml:space="preserve">CÓDIGO MATERIAL SAP </v>
      </c>
      <c r="I34" s="158" t="str">
        <f>'PLAN DE NECESIDADES'!J29</f>
        <v xml:space="preserve">CÓDIGO OTAN - NOC </v>
      </c>
      <c r="J34" s="161" t="s">
        <v>155</v>
      </c>
      <c r="K34" s="139" t="str">
        <f>AD34</f>
        <v>BAABS3</v>
      </c>
      <c r="L34" s="139" t="str">
        <f>AH34</f>
        <v>BAACA10</v>
      </c>
      <c r="M34" s="139" t="str">
        <f>AL34</f>
        <v>BAACA2</v>
      </c>
      <c r="N34" s="139" t="str">
        <f>AP34</f>
        <v>BAADA1</v>
      </c>
      <c r="O34" s="139" t="str">
        <f>AT34</f>
        <v>BAEEV2</v>
      </c>
      <c r="P34" s="139" t="str">
        <f>AX34</f>
        <v>BAEEV3</v>
      </c>
      <c r="Q34" s="139" t="str">
        <f>BB34</f>
        <v>BAMMA7</v>
      </c>
      <c r="R34" s="139" t="str">
        <f>BF34</f>
        <v>BASPC10</v>
      </c>
      <c r="S34" s="139" t="str">
        <f>BJ34</f>
        <v>BASAC</v>
      </c>
      <c r="T34" s="139" t="str">
        <f>BN34</f>
        <v>BICAR</v>
      </c>
      <c r="U34" s="139" t="str">
        <f>BR34</f>
        <v>BIMOC70</v>
      </c>
      <c r="V34" s="139" t="str">
        <f>BV34</f>
        <v>BITER10</v>
      </c>
      <c r="W34" s="139" t="str">
        <f>BZ34</f>
        <v>DIM15</v>
      </c>
      <c r="X34" s="139" t="str">
        <f>CD34</f>
        <v>GMMAT</v>
      </c>
      <c r="Y34" s="139" t="str">
        <f>CH34</f>
        <v>GMRON</v>
      </c>
      <c r="Z34" s="141" t="s">
        <v>13</v>
      </c>
      <c r="AA34" s="157" t="s">
        <v>14</v>
      </c>
      <c r="AB34" s="157" t="s">
        <v>12</v>
      </c>
      <c r="AC34" s="157" t="s">
        <v>4</v>
      </c>
      <c r="AD34" s="144" t="s">
        <v>29</v>
      </c>
      <c r="AE34" s="145"/>
      <c r="AF34" s="145"/>
      <c r="AG34" s="146"/>
      <c r="AH34" s="147" t="s">
        <v>30</v>
      </c>
      <c r="AI34" s="148"/>
      <c r="AJ34" s="148"/>
      <c r="AK34" s="149"/>
      <c r="AL34" s="150" t="s">
        <v>31</v>
      </c>
      <c r="AM34" s="151"/>
      <c r="AN34" s="151"/>
      <c r="AO34" s="152"/>
      <c r="AP34" s="153" t="s">
        <v>32</v>
      </c>
      <c r="AQ34" s="154"/>
      <c r="AR34" s="154"/>
      <c r="AS34" s="155"/>
      <c r="AT34" s="144" t="s">
        <v>27</v>
      </c>
      <c r="AU34" s="145"/>
      <c r="AV34" s="145"/>
      <c r="AW34" s="146"/>
      <c r="AX34" s="147" t="s">
        <v>33</v>
      </c>
      <c r="AY34" s="148"/>
      <c r="AZ34" s="148"/>
      <c r="BA34" s="149"/>
      <c r="BB34" s="150" t="s">
        <v>66</v>
      </c>
      <c r="BC34" s="151"/>
      <c r="BD34" s="151"/>
      <c r="BE34" s="152"/>
      <c r="BF34" s="153" t="s">
        <v>67</v>
      </c>
      <c r="BG34" s="154"/>
      <c r="BH34" s="154"/>
      <c r="BI34" s="155"/>
      <c r="BJ34" s="144" t="s">
        <v>34</v>
      </c>
      <c r="BK34" s="145"/>
      <c r="BL34" s="145"/>
      <c r="BM34" s="146"/>
      <c r="BN34" s="147" t="s">
        <v>35</v>
      </c>
      <c r="BO34" s="148"/>
      <c r="BP34" s="148"/>
      <c r="BQ34" s="149"/>
      <c r="BR34" s="150" t="s">
        <v>68</v>
      </c>
      <c r="BS34" s="151"/>
      <c r="BT34" s="151"/>
      <c r="BU34" s="152"/>
      <c r="BV34" s="153" t="s">
        <v>36</v>
      </c>
      <c r="BW34" s="154"/>
      <c r="BX34" s="154"/>
      <c r="BY34" s="155"/>
      <c r="BZ34" s="144" t="s">
        <v>37</v>
      </c>
      <c r="CA34" s="145"/>
      <c r="CB34" s="145"/>
      <c r="CC34" s="146"/>
      <c r="CD34" s="147" t="s">
        <v>69</v>
      </c>
      <c r="CE34" s="148"/>
      <c r="CF34" s="148"/>
      <c r="CG34" s="149"/>
      <c r="CH34" s="150" t="s">
        <v>38</v>
      </c>
      <c r="CI34" s="151"/>
      <c r="CJ34" s="151"/>
      <c r="CK34" s="152"/>
    </row>
    <row r="35" spans="2:90" ht="28.5" customHeight="1" x14ac:dyDescent="0.25">
      <c r="B35" s="158"/>
      <c r="C35" s="158"/>
      <c r="D35" s="158"/>
      <c r="E35" s="158"/>
      <c r="F35" s="158"/>
      <c r="G35" s="158"/>
      <c r="H35" s="158"/>
      <c r="I35" s="158"/>
      <c r="J35" s="162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2"/>
      <c r="AA35" s="157"/>
      <c r="AB35" s="157"/>
      <c r="AC35" s="157"/>
      <c r="AD35" s="20" t="s">
        <v>15</v>
      </c>
      <c r="AE35" s="21" t="s">
        <v>16</v>
      </c>
      <c r="AF35" s="22" t="s">
        <v>17</v>
      </c>
      <c r="AG35" s="20" t="s">
        <v>20</v>
      </c>
      <c r="AH35" s="3" t="s">
        <v>15</v>
      </c>
      <c r="AI35" s="4" t="s">
        <v>16</v>
      </c>
      <c r="AJ35" s="5" t="s">
        <v>17</v>
      </c>
      <c r="AK35" s="3" t="s">
        <v>20</v>
      </c>
      <c r="AL35" s="53" t="s">
        <v>15</v>
      </c>
      <c r="AM35" s="23" t="s">
        <v>16</v>
      </c>
      <c r="AN35" s="24" t="s">
        <v>17</v>
      </c>
      <c r="AO35" s="53" t="s">
        <v>20</v>
      </c>
      <c r="AP35" s="25" t="s">
        <v>15</v>
      </c>
      <c r="AQ35" s="26" t="s">
        <v>16</v>
      </c>
      <c r="AR35" s="27" t="s">
        <v>17</v>
      </c>
      <c r="AS35" s="25" t="s">
        <v>20</v>
      </c>
      <c r="AT35" s="20" t="s">
        <v>15</v>
      </c>
      <c r="AU35" s="21" t="s">
        <v>16</v>
      </c>
      <c r="AV35" s="22" t="s">
        <v>17</v>
      </c>
      <c r="AW35" s="20" t="s">
        <v>20</v>
      </c>
      <c r="AX35" s="3" t="s">
        <v>15</v>
      </c>
      <c r="AY35" s="4" t="s">
        <v>16</v>
      </c>
      <c r="AZ35" s="5" t="s">
        <v>17</v>
      </c>
      <c r="BA35" s="3" t="s">
        <v>20</v>
      </c>
      <c r="BB35" s="53" t="s">
        <v>15</v>
      </c>
      <c r="BC35" s="23" t="s">
        <v>16</v>
      </c>
      <c r="BD35" s="24" t="s">
        <v>17</v>
      </c>
      <c r="BE35" s="53" t="s">
        <v>20</v>
      </c>
      <c r="BF35" s="25" t="s">
        <v>15</v>
      </c>
      <c r="BG35" s="26" t="s">
        <v>16</v>
      </c>
      <c r="BH35" s="27" t="s">
        <v>17</v>
      </c>
      <c r="BI35" s="25" t="s">
        <v>20</v>
      </c>
      <c r="BJ35" s="20" t="s">
        <v>15</v>
      </c>
      <c r="BK35" s="21" t="s">
        <v>16</v>
      </c>
      <c r="BL35" s="22" t="s">
        <v>17</v>
      </c>
      <c r="BM35" s="20" t="s">
        <v>20</v>
      </c>
      <c r="BN35" s="3" t="s">
        <v>15</v>
      </c>
      <c r="BO35" s="4" t="s">
        <v>16</v>
      </c>
      <c r="BP35" s="5" t="s">
        <v>17</v>
      </c>
      <c r="BQ35" s="3" t="s">
        <v>20</v>
      </c>
      <c r="BR35" s="53" t="s">
        <v>15</v>
      </c>
      <c r="BS35" s="23" t="s">
        <v>16</v>
      </c>
      <c r="BT35" s="24" t="s">
        <v>17</v>
      </c>
      <c r="BU35" s="53" t="s">
        <v>20</v>
      </c>
      <c r="BV35" s="25" t="s">
        <v>15</v>
      </c>
      <c r="BW35" s="26" t="s">
        <v>16</v>
      </c>
      <c r="BX35" s="27" t="s">
        <v>17</v>
      </c>
      <c r="BY35" s="25" t="s">
        <v>20</v>
      </c>
      <c r="BZ35" s="20" t="s">
        <v>15</v>
      </c>
      <c r="CA35" s="21" t="s">
        <v>16</v>
      </c>
      <c r="CB35" s="22" t="s">
        <v>17</v>
      </c>
      <c r="CC35" s="20" t="s">
        <v>20</v>
      </c>
      <c r="CD35" s="3" t="s">
        <v>15</v>
      </c>
      <c r="CE35" s="4" t="s">
        <v>16</v>
      </c>
      <c r="CF35" s="5" t="s">
        <v>17</v>
      </c>
      <c r="CG35" s="3" t="s">
        <v>20</v>
      </c>
      <c r="CH35" s="53" t="s">
        <v>15</v>
      </c>
      <c r="CI35" s="23" t="s">
        <v>16</v>
      </c>
      <c r="CJ35" s="24" t="s">
        <v>17</v>
      </c>
      <c r="CK35" s="53" t="s">
        <v>20</v>
      </c>
    </row>
    <row r="36" spans="2:90" x14ac:dyDescent="0.25">
      <c r="B36" s="7">
        <f>'PLAN DE NECESIDADES'!B30</f>
        <v>18</v>
      </c>
      <c r="C36" s="7">
        <f>'PLAN DE NECESIDADES'!C30</f>
        <v>3270109</v>
      </c>
      <c r="D36" s="62" t="str">
        <f>'PLAN DE NECESIDADES'!D30</f>
        <v>CUADERNO PARA ESCRITURA:   
DEBE SER COSIDO, GRAPADO O ARGOLLADO CON PASTA PLASTIFICADA DURA O BLANDA DE MÍNIMO 100 HOJAS DE COLOR BLANCO, ESPECIFICACIONES SEGÚN NORMA TÉCNICA N°. NTMD-0356 A2 ÍTEM  3.1.1.18</v>
      </c>
      <c r="E36" s="7" t="str">
        <f>'PLAN DE NECESIDADES'!E30</f>
        <v>UNIDAD</v>
      </c>
      <c r="F36" s="7">
        <f>'PLAN DE NECESIDADES'!F30</f>
        <v>0</v>
      </c>
      <c r="G36" s="7">
        <f>'PLAN DE NECESIDADES'!H30</f>
        <v>14111514</v>
      </c>
      <c r="H36" s="7">
        <f>'PLAN DE NECESIDADES'!I30</f>
        <v>1277866</v>
      </c>
      <c r="I36" s="7" t="str">
        <f>'PLAN DE NECESIDADES'!J30</f>
        <v>7530-80-0011305</v>
      </c>
      <c r="J36" s="7">
        <v>1</v>
      </c>
      <c r="K36" s="87">
        <v>69</v>
      </c>
      <c r="L36" s="87">
        <v>217</v>
      </c>
      <c r="M36" s="87">
        <v>279</v>
      </c>
      <c r="N36" s="87">
        <v>217</v>
      </c>
      <c r="O36" s="87">
        <v>248</v>
      </c>
      <c r="P36" s="87">
        <v>248</v>
      </c>
      <c r="Q36" s="87">
        <v>279</v>
      </c>
      <c r="R36" s="87">
        <v>125</v>
      </c>
      <c r="S36" s="87">
        <v>62</v>
      </c>
      <c r="T36" s="87">
        <v>279</v>
      </c>
      <c r="U36" s="87">
        <v>186</v>
      </c>
      <c r="V36" s="87">
        <v>32</v>
      </c>
      <c r="W36" s="87">
        <v>12</v>
      </c>
      <c r="X36" s="87">
        <v>186</v>
      </c>
      <c r="Y36" s="87">
        <v>186</v>
      </c>
      <c r="Z36" s="87">
        <f t="shared" ref="Z36:Z38" si="202">SUM(AD36,AH36,AL36,AP36,AT36,AX36,BB36,BF36,BJ36,BN36,BR36,BV36,BZ36,CD36,CH36)</f>
        <v>2656</v>
      </c>
      <c r="AA36" s="7">
        <f t="shared" ref="AA36:AA38" si="203">SUM(AE36,AI36,AM36,AQ36,AU36,AY36,BC36,BG36,BK36,BO36,BS36,BW36,CA36,CE36,CI36)</f>
        <v>1443</v>
      </c>
      <c r="AB36" s="7">
        <f t="shared" ref="AB36:AB38" si="204">SUM(AF36,AJ36,AN36,AR36,AV36,AZ36,BD36,BH36,BL36,BP36,BT36,BX36,CB36,CF36,CJ36)</f>
        <v>1213</v>
      </c>
      <c r="AC36" s="12">
        <v>2700</v>
      </c>
      <c r="AD36" s="7">
        <f t="shared" ref="AD36:AD37" si="205">K36*J36</f>
        <v>69</v>
      </c>
      <c r="AE36" s="7">
        <f>J36*40</f>
        <v>40</v>
      </c>
      <c r="AF36" s="8">
        <f t="shared" ref="AF36:AF37" si="206">AD36-AE36</f>
        <v>29</v>
      </c>
      <c r="AG36" s="14">
        <f t="shared" ref="AG36:AG37" si="207">AC36*AE36</f>
        <v>108000</v>
      </c>
      <c r="AH36" s="7">
        <f t="shared" ref="AH36:AH37" si="208">L36*J36</f>
        <v>217</v>
      </c>
      <c r="AI36" s="7">
        <f>J36*122</f>
        <v>122</v>
      </c>
      <c r="AJ36" s="8">
        <f t="shared" ref="AJ36:AJ37" si="209">AH36-AI36</f>
        <v>95</v>
      </c>
      <c r="AK36" s="14">
        <f t="shared" ref="AK36:AK37" si="210">AC36*AI36</f>
        <v>329400</v>
      </c>
      <c r="AL36" s="7">
        <f t="shared" ref="AL36:AL37" si="211">M36*J36</f>
        <v>279</v>
      </c>
      <c r="AM36" s="7">
        <f>J36*156</f>
        <v>156</v>
      </c>
      <c r="AN36" s="8">
        <f t="shared" ref="AN36:AN37" si="212">AL36-AM36</f>
        <v>123</v>
      </c>
      <c r="AO36" s="14">
        <f t="shared" ref="AO36:AO37" si="213">AC36*AM36</f>
        <v>421200</v>
      </c>
      <c r="AP36" s="7">
        <f t="shared" ref="AP36:AP37" si="214">N36*J36</f>
        <v>217</v>
      </c>
      <c r="AQ36" s="7">
        <f>J36*122</f>
        <v>122</v>
      </c>
      <c r="AR36" s="8">
        <f t="shared" ref="AR36:AR37" si="215">AP36-AQ36</f>
        <v>95</v>
      </c>
      <c r="AS36" s="14">
        <f t="shared" ref="AS36:AS37" si="216">AC36*AQ36</f>
        <v>329400</v>
      </c>
      <c r="AT36" s="7">
        <f t="shared" ref="AT36:AT37" si="217">M36*J36</f>
        <v>279</v>
      </c>
      <c r="AU36" s="7">
        <f>J36*141</f>
        <v>141</v>
      </c>
      <c r="AV36" s="8">
        <f t="shared" ref="AV36:AV37" si="218">AT36-AU36</f>
        <v>138</v>
      </c>
      <c r="AW36" s="14">
        <f t="shared" ref="AW36:AW37" si="219">AU36*AC36</f>
        <v>380700</v>
      </c>
      <c r="AX36" s="7">
        <f>P36*J36</f>
        <v>248</v>
      </c>
      <c r="AY36" s="7">
        <f>J36*141</f>
        <v>141</v>
      </c>
      <c r="AZ36" s="8">
        <f t="shared" ref="AZ36" si="220">AX36-AY36</f>
        <v>107</v>
      </c>
      <c r="BA36" s="14">
        <f t="shared" ref="BA36" si="221">AC36*AY36</f>
        <v>380700</v>
      </c>
      <c r="BB36" s="7">
        <f t="shared" ref="BB36" si="222">Q36*J36</f>
        <v>279</v>
      </c>
      <c r="BC36" s="7">
        <f>J36*156</f>
        <v>156</v>
      </c>
      <c r="BD36" s="8">
        <f t="shared" ref="BD36" si="223">BB36-BC36</f>
        <v>123</v>
      </c>
      <c r="BE36" s="14">
        <f t="shared" ref="BE36" si="224">BC36*AC36</f>
        <v>421200</v>
      </c>
      <c r="BF36" s="7">
        <f t="shared" ref="BF36" si="225">R36*J36</f>
        <v>125</v>
      </c>
      <c r="BG36" s="7">
        <f>J36*35</f>
        <v>35</v>
      </c>
      <c r="BH36" s="8">
        <f t="shared" ref="BH36" si="226">BF36-BG36</f>
        <v>90</v>
      </c>
      <c r="BI36" s="14">
        <f t="shared" ref="BI36" si="227">BG36*AC36</f>
        <v>94500</v>
      </c>
      <c r="BJ36" s="7">
        <f t="shared" ref="BJ36:BJ37" si="228">S36*J36</f>
        <v>62</v>
      </c>
      <c r="BK36" s="7">
        <f>J36*36</f>
        <v>36</v>
      </c>
      <c r="BL36" s="8">
        <f t="shared" ref="BL36:BL37" si="229">BJ36-BK36</f>
        <v>26</v>
      </c>
      <c r="BM36" s="14">
        <f t="shared" ref="BM36:BM37" si="230">BK36*AC36</f>
        <v>97200</v>
      </c>
      <c r="BN36" s="7">
        <f t="shared" ref="BN36:BN37" si="231">T36*J36</f>
        <v>279</v>
      </c>
      <c r="BO36" s="7">
        <f>J36*156</f>
        <v>156</v>
      </c>
      <c r="BP36" s="8">
        <f t="shared" ref="BP36:BP37" si="232">BN36-BO36</f>
        <v>123</v>
      </c>
      <c r="BQ36" s="14">
        <f t="shared" ref="BQ36:BQ37" si="233">BO36*AC36</f>
        <v>421200</v>
      </c>
      <c r="BR36" s="7">
        <f t="shared" ref="BR36" si="234">U36*J36</f>
        <v>186</v>
      </c>
      <c r="BS36" s="7">
        <f>J36*104</f>
        <v>104</v>
      </c>
      <c r="BT36" s="8">
        <f t="shared" ref="BT36" si="235">BR36-BS36</f>
        <v>82</v>
      </c>
      <c r="BU36" s="14">
        <f t="shared" ref="BU36" si="236">BS36*AC36</f>
        <v>280800</v>
      </c>
      <c r="BV36" s="7">
        <f t="shared" ref="BV36:BV37" si="237">V36*J36</f>
        <v>32</v>
      </c>
      <c r="BW36" s="7">
        <f>J36*17</f>
        <v>17</v>
      </c>
      <c r="BX36" s="8">
        <f t="shared" ref="BX36:BX37" si="238">BV36-BW36</f>
        <v>15</v>
      </c>
      <c r="BY36" s="14">
        <f t="shared" ref="BY36:BY37" si="239">BW36*AC36</f>
        <v>45900</v>
      </c>
      <c r="BZ36" s="7">
        <f t="shared" ref="BZ36:BZ37" si="240">W36*J36</f>
        <v>12</v>
      </c>
      <c r="CA36" s="7">
        <f>J36*9</f>
        <v>9</v>
      </c>
      <c r="CB36" s="8">
        <f t="shared" ref="CB36:CB37" si="241">BZ36-CA36</f>
        <v>3</v>
      </c>
      <c r="CC36" s="14">
        <f t="shared" ref="CC36:CC37" si="242">CA36*AC36</f>
        <v>24300</v>
      </c>
      <c r="CD36" s="7">
        <f t="shared" ref="CD36:CD37" si="243">X36*J36</f>
        <v>186</v>
      </c>
      <c r="CE36" s="7">
        <f>J36*104</f>
        <v>104</v>
      </c>
      <c r="CF36" s="8">
        <f t="shared" ref="CF36:CF37" si="244">CD36-CE36</f>
        <v>82</v>
      </c>
      <c r="CG36" s="14">
        <f t="shared" ref="CG36:CG37" si="245">CE36*AC36</f>
        <v>280800</v>
      </c>
      <c r="CH36" s="7">
        <f t="shared" ref="CH36" si="246">Y36*J36</f>
        <v>186</v>
      </c>
      <c r="CI36" s="7">
        <f>J36*104</f>
        <v>104</v>
      </c>
      <c r="CJ36" s="8">
        <f t="shared" ref="CJ36" si="247">CH36-CI36</f>
        <v>82</v>
      </c>
      <c r="CK36" s="14">
        <f t="shared" ref="CK36" si="248">CI36*AC36</f>
        <v>280800</v>
      </c>
    </row>
    <row r="37" spans="2:90" x14ac:dyDescent="0.25">
      <c r="B37" s="7">
        <f>'PLAN DE NECESIDADES'!B31</f>
        <v>19</v>
      </c>
      <c r="C37" s="7">
        <f>'PLAN DE NECESIDADES'!C31</f>
        <v>3219302</v>
      </c>
      <c r="D37" s="62" t="str">
        <f>'PLAN DE NECESIDADES'!D31</f>
        <v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v>
      </c>
      <c r="E37" s="7" t="str">
        <f>'PLAN DE NECESIDADES'!E31</f>
        <v>UNIDAD</v>
      </c>
      <c r="F37" s="7">
        <f>'PLAN DE NECESIDADES'!F31</f>
        <v>0</v>
      </c>
      <c r="G37" s="7">
        <f>'PLAN DE NECESIDADES'!H31</f>
        <v>14111704</v>
      </c>
      <c r="H37" s="7">
        <f>'PLAN DE NECESIDADES'!I31</f>
        <v>1632379</v>
      </c>
      <c r="I37" s="7" t="str">
        <f>'PLAN DE NECESIDADES'!J31</f>
        <v>8540-80-0011398</v>
      </c>
      <c r="J37" s="7">
        <v>2</v>
      </c>
      <c r="K37" s="87">
        <v>69</v>
      </c>
      <c r="L37" s="87">
        <v>217</v>
      </c>
      <c r="M37" s="87">
        <v>279</v>
      </c>
      <c r="N37" s="87">
        <v>217</v>
      </c>
      <c r="O37" s="87">
        <v>248</v>
      </c>
      <c r="P37" s="87">
        <v>248</v>
      </c>
      <c r="Q37" s="87">
        <v>279</v>
      </c>
      <c r="R37" s="87">
        <v>125</v>
      </c>
      <c r="S37" s="87">
        <v>62</v>
      </c>
      <c r="T37" s="87">
        <v>279</v>
      </c>
      <c r="U37" s="87">
        <v>186</v>
      </c>
      <c r="V37" s="87">
        <v>32</v>
      </c>
      <c r="W37" s="87">
        <v>12</v>
      </c>
      <c r="X37" s="87">
        <v>186</v>
      </c>
      <c r="Y37" s="87">
        <v>186</v>
      </c>
      <c r="Z37" s="87">
        <f t="shared" si="202"/>
        <v>5312</v>
      </c>
      <c r="AA37" s="7">
        <f t="shared" si="203"/>
        <v>2858</v>
      </c>
      <c r="AB37" s="7">
        <f t="shared" si="204"/>
        <v>2454</v>
      </c>
      <c r="AC37" s="12">
        <v>4500</v>
      </c>
      <c r="AD37" s="7">
        <f t="shared" si="205"/>
        <v>138</v>
      </c>
      <c r="AE37" s="7">
        <f>J37*38</f>
        <v>76</v>
      </c>
      <c r="AF37" s="8">
        <f t="shared" si="206"/>
        <v>62</v>
      </c>
      <c r="AG37" s="14">
        <f t="shared" si="207"/>
        <v>342000</v>
      </c>
      <c r="AH37" s="7">
        <f t="shared" si="208"/>
        <v>434</v>
      </c>
      <c r="AI37" s="7">
        <f>J37*121</f>
        <v>242</v>
      </c>
      <c r="AJ37" s="8">
        <f t="shared" si="209"/>
        <v>192</v>
      </c>
      <c r="AK37" s="14">
        <f t="shared" si="210"/>
        <v>1089000</v>
      </c>
      <c r="AL37" s="7">
        <f t="shared" si="211"/>
        <v>558</v>
      </c>
      <c r="AM37" s="7">
        <f>J37*156</f>
        <v>312</v>
      </c>
      <c r="AN37" s="8">
        <f t="shared" si="212"/>
        <v>246</v>
      </c>
      <c r="AO37" s="14">
        <f t="shared" si="213"/>
        <v>1404000</v>
      </c>
      <c r="AP37" s="7">
        <f t="shared" si="214"/>
        <v>434</v>
      </c>
      <c r="AQ37" s="7">
        <f>J37*121</f>
        <v>242</v>
      </c>
      <c r="AR37" s="8">
        <f t="shared" si="215"/>
        <v>192</v>
      </c>
      <c r="AS37" s="14">
        <f t="shared" si="216"/>
        <v>1089000</v>
      </c>
      <c r="AT37" s="7">
        <f t="shared" si="217"/>
        <v>558</v>
      </c>
      <c r="AU37" s="7">
        <f>J37*138</f>
        <v>276</v>
      </c>
      <c r="AV37" s="8">
        <f t="shared" si="218"/>
        <v>282</v>
      </c>
      <c r="AW37" s="14">
        <f t="shared" si="219"/>
        <v>1242000</v>
      </c>
      <c r="AX37" s="7">
        <f>P37*J37</f>
        <v>496</v>
      </c>
      <c r="AY37" s="7">
        <f>J37*138</f>
        <v>276</v>
      </c>
      <c r="AZ37" s="8">
        <f t="shared" ref="AZ37" si="249">AX37-AY37</f>
        <v>220</v>
      </c>
      <c r="BA37" s="14">
        <f t="shared" ref="BA37" si="250">AC37*AY37</f>
        <v>1242000</v>
      </c>
      <c r="BB37" s="7">
        <f t="shared" ref="BB37" si="251">Q37*J37</f>
        <v>558</v>
      </c>
      <c r="BC37" s="7">
        <f>J37*156</f>
        <v>312</v>
      </c>
      <c r="BD37" s="8">
        <f t="shared" ref="BD37" si="252">BB37-BC37</f>
        <v>246</v>
      </c>
      <c r="BE37" s="14">
        <f t="shared" ref="BE37" si="253">BC37*AC37</f>
        <v>1404000</v>
      </c>
      <c r="BF37" s="7">
        <f t="shared" ref="BF37:BF38" si="254">R37*J37</f>
        <v>250</v>
      </c>
      <c r="BG37" s="7">
        <f t="shared" ref="BG37" si="255">J37*35</f>
        <v>70</v>
      </c>
      <c r="BH37" s="8">
        <f t="shared" ref="BH37:BH38" si="256">BF37-BG37</f>
        <v>180</v>
      </c>
      <c r="BI37" s="14">
        <f t="shared" ref="BI37:BI38" si="257">BG37*AC37</f>
        <v>315000</v>
      </c>
      <c r="BJ37" s="7">
        <f t="shared" si="228"/>
        <v>124</v>
      </c>
      <c r="BK37" s="7">
        <f>J37*34</f>
        <v>68</v>
      </c>
      <c r="BL37" s="8">
        <f t="shared" si="229"/>
        <v>56</v>
      </c>
      <c r="BM37" s="14">
        <f t="shared" si="230"/>
        <v>306000</v>
      </c>
      <c r="BN37" s="7">
        <f t="shared" si="231"/>
        <v>558</v>
      </c>
      <c r="BO37" s="7">
        <f>J37*156</f>
        <v>312</v>
      </c>
      <c r="BP37" s="8">
        <f t="shared" si="232"/>
        <v>246</v>
      </c>
      <c r="BQ37" s="14">
        <f t="shared" si="233"/>
        <v>1404000</v>
      </c>
      <c r="BR37" s="7">
        <f t="shared" ref="BR37" si="258">U37*J37</f>
        <v>372</v>
      </c>
      <c r="BS37" s="7">
        <f>J37*104</f>
        <v>208</v>
      </c>
      <c r="BT37" s="8">
        <f t="shared" ref="BT37" si="259">BR37-BS37</f>
        <v>164</v>
      </c>
      <c r="BU37" s="14">
        <f t="shared" ref="BU37" si="260">BS37*AC37</f>
        <v>936000</v>
      </c>
      <c r="BV37" s="7">
        <f t="shared" si="237"/>
        <v>64</v>
      </c>
      <c r="BW37" s="7">
        <f>J37*18</f>
        <v>36</v>
      </c>
      <c r="BX37" s="8">
        <f t="shared" si="238"/>
        <v>28</v>
      </c>
      <c r="BY37" s="14">
        <f t="shared" si="239"/>
        <v>162000</v>
      </c>
      <c r="BZ37" s="7">
        <f t="shared" si="240"/>
        <v>24</v>
      </c>
      <c r="CA37" s="7">
        <f>J37*6</f>
        <v>12</v>
      </c>
      <c r="CB37" s="8">
        <f t="shared" si="241"/>
        <v>12</v>
      </c>
      <c r="CC37" s="14">
        <f t="shared" si="242"/>
        <v>54000</v>
      </c>
      <c r="CD37" s="7">
        <f t="shared" si="243"/>
        <v>372</v>
      </c>
      <c r="CE37" s="7">
        <f>J37*104</f>
        <v>208</v>
      </c>
      <c r="CF37" s="8">
        <f t="shared" si="244"/>
        <v>164</v>
      </c>
      <c r="CG37" s="14">
        <f t="shared" si="245"/>
        <v>936000</v>
      </c>
      <c r="CH37" s="7">
        <f t="shared" ref="CH37" si="261">Y37*J37</f>
        <v>372</v>
      </c>
      <c r="CI37" s="7">
        <f>J37*104</f>
        <v>208</v>
      </c>
      <c r="CJ37" s="8">
        <f t="shared" ref="CJ37" si="262">CH37-CI37</f>
        <v>164</v>
      </c>
      <c r="CK37" s="14">
        <f t="shared" ref="CK37" si="263">CI37*AC37</f>
        <v>936000</v>
      </c>
    </row>
    <row r="38" spans="2:90" x14ac:dyDescent="0.25">
      <c r="B38" s="7">
        <f>'PLAN DE NECESIDADES'!B32</f>
        <v>20</v>
      </c>
      <c r="C38" s="7">
        <f>'PLAN DE NECESIDADES'!C32</f>
        <v>3219308</v>
      </c>
      <c r="D38" s="62" t="str">
        <f>'PLAN DE NECESIDADES'!D32</f>
        <v>TOALLAS HIGIÉNICAS MUJER CON ALAS: ESPECIFICACIONES  DE ACUERDO A NTC-3604</v>
      </c>
      <c r="E38" s="7" t="str">
        <f>'PLAN DE NECESIDADES'!E32</f>
        <v>PAQUETE</v>
      </c>
      <c r="F38" s="7">
        <f>'PLAN DE NECESIDADES'!F32</f>
        <v>0</v>
      </c>
      <c r="G38" s="7">
        <f>'PLAN DE NECESIDADES'!H32</f>
        <v>52121700</v>
      </c>
      <c r="H38" s="7">
        <f>'PLAN DE NECESIDADES'!I32</f>
        <v>1476323</v>
      </c>
      <c r="I38" s="7" t="str">
        <f>'PLAN DE NECESIDADES'!J32</f>
        <v>SIN CREAR</v>
      </c>
      <c r="J38" s="7">
        <v>1</v>
      </c>
      <c r="K38" s="7"/>
      <c r="L38" s="7"/>
      <c r="M38" s="7"/>
      <c r="N38" s="7"/>
      <c r="O38" s="7"/>
      <c r="P38" s="7"/>
      <c r="Q38" s="87"/>
      <c r="R38" s="87">
        <v>125</v>
      </c>
      <c r="S38" s="7"/>
      <c r="T38" s="7"/>
      <c r="U38" s="7"/>
      <c r="V38" s="7"/>
      <c r="W38" s="7"/>
      <c r="X38" s="7"/>
      <c r="Y38" s="7"/>
      <c r="Z38" s="87">
        <f t="shared" si="202"/>
        <v>125</v>
      </c>
      <c r="AA38" s="7">
        <f t="shared" si="203"/>
        <v>34</v>
      </c>
      <c r="AB38" s="7">
        <f t="shared" si="204"/>
        <v>91</v>
      </c>
      <c r="AC38" s="12">
        <v>12000</v>
      </c>
      <c r="AD38" s="7"/>
      <c r="AE38" s="7"/>
      <c r="AF38" s="8"/>
      <c r="AG38" s="14"/>
      <c r="AH38" s="7"/>
      <c r="AI38" s="7"/>
      <c r="AJ38" s="8"/>
      <c r="AK38" s="14"/>
      <c r="AL38" s="7"/>
      <c r="AM38" s="7"/>
      <c r="AN38" s="8"/>
      <c r="AO38" s="14"/>
      <c r="AP38" s="7"/>
      <c r="AQ38" s="7"/>
      <c r="AR38" s="8"/>
      <c r="AS38" s="14"/>
      <c r="AT38" s="7"/>
      <c r="AU38" s="7"/>
      <c r="AV38" s="8"/>
      <c r="AW38" s="14"/>
      <c r="AX38" s="7"/>
      <c r="AY38" s="7"/>
      <c r="AZ38" s="8"/>
      <c r="BA38" s="14"/>
      <c r="BB38" s="7"/>
      <c r="BC38" s="7"/>
      <c r="BD38" s="8"/>
      <c r="BE38" s="14"/>
      <c r="BF38" s="7">
        <f t="shared" si="254"/>
        <v>125</v>
      </c>
      <c r="BG38" s="7">
        <f>J38*34</f>
        <v>34</v>
      </c>
      <c r="BH38" s="8">
        <f t="shared" si="256"/>
        <v>91</v>
      </c>
      <c r="BI38" s="14">
        <f t="shared" si="257"/>
        <v>408000</v>
      </c>
      <c r="BJ38" s="7"/>
      <c r="BK38" s="7"/>
      <c r="BL38" s="8"/>
      <c r="BM38" s="14"/>
      <c r="BN38" s="7"/>
      <c r="BO38" s="7"/>
      <c r="BP38" s="8"/>
      <c r="BQ38" s="14"/>
      <c r="BR38" s="7"/>
      <c r="BS38" s="7"/>
      <c r="BT38" s="8"/>
      <c r="BU38" s="14"/>
      <c r="BV38" s="7"/>
      <c r="BW38" s="7"/>
      <c r="BX38" s="8"/>
      <c r="BY38" s="14"/>
      <c r="BZ38" s="7"/>
      <c r="CA38" s="7"/>
      <c r="CB38" s="8"/>
      <c r="CC38" s="14"/>
      <c r="CD38" s="7"/>
      <c r="CE38" s="7"/>
      <c r="CF38" s="8"/>
      <c r="CG38" s="14"/>
      <c r="CH38" s="7"/>
      <c r="CI38" s="7"/>
      <c r="CJ38" s="8"/>
      <c r="CK38" s="14"/>
    </row>
    <row r="39" spans="2:90" x14ac:dyDescent="0.25">
      <c r="B39" s="156" t="s">
        <v>18</v>
      </c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64">
        <f>SUM(AG36:AG38)</f>
        <v>450000</v>
      </c>
      <c r="AE39" s="165"/>
      <c r="AF39" s="165"/>
      <c r="AG39" s="166"/>
      <c r="AH39" s="164">
        <f t="shared" ref="AH39" si="264">SUM(AK36:AK38)</f>
        <v>1418400</v>
      </c>
      <c r="AI39" s="165"/>
      <c r="AJ39" s="165"/>
      <c r="AK39" s="166"/>
      <c r="AL39" s="164">
        <f t="shared" ref="AL39" si="265">SUM(AO36:AO38)</f>
        <v>1825200</v>
      </c>
      <c r="AM39" s="165"/>
      <c r="AN39" s="165"/>
      <c r="AO39" s="166"/>
      <c r="AP39" s="164">
        <f t="shared" ref="AP39" si="266">SUM(AS36:AS38)</f>
        <v>1418400</v>
      </c>
      <c r="AQ39" s="165"/>
      <c r="AR39" s="165"/>
      <c r="AS39" s="166"/>
      <c r="AT39" s="164">
        <f t="shared" ref="AT39" si="267">SUM(AW36:AW38)</f>
        <v>1622700</v>
      </c>
      <c r="AU39" s="165"/>
      <c r="AV39" s="165"/>
      <c r="AW39" s="166"/>
      <c r="AX39" s="164">
        <f t="shared" ref="AX39" si="268">SUM(BA36:BA38)</f>
        <v>1622700</v>
      </c>
      <c r="AY39" s="165"/>
      <c r="AZ39" s="165"/>
      <c r="BA39" s="166"/>
      <c r="BB39" s="164">
        <f t="shared" ref="BB39" si="269">SUM(BE36:BE38)</f>
        <v>1825200</v>
      </c>
      <c r="BC39" s="165"/>
      <c r="BD39" s="165"/>
      <c r="BE39" s="166"/>
      <c r="BF39" s="164">
        <f t="shared" ref="BF39" si="270">SUM(BI36:BI38)</f>
        <v>817500</v>
      </c>
      <c r="BG39" s="165"/>
      <c r="BH39" s="165"/>
      <c r="BI39" s="166"/>
      <c r="BJ39" s="164">
        <f t="shared" ref="BJ39" si="271">SUM(BM36:BM38)</f>
        <v>403200</v>
      </c>
      <c r="BK39" s="165"/>
      <c r="BL39" s="165"/>
      <c r="BM39" s="166"/>
      <c r="BN39" s="164">
        <f t="shared" ref="BN39" si="272">SUM(BQ36:BQ38)</f>
        <v>1825200</v>
      </c>
      <c r="BO39" s="165"/>
      <c r="BP39" s="165"/>
      <c r="BQ39" s="166"/>
      <c r="BR39" s="164">
        <f t="shared" ref="BR39" si="273">SUM(BU36:BU38)</f>
        <v>1216800</v>
      </c>
      <c r="BS39" s="165"/>
      <c r="BT39" s="165"/>
      <c r="BU39" s="166"/>
      <c r="BV39" s="164">
        <f t="shared" ref="BV39" si="274">SUM(BY36:BY38)</f>
        <v>207900</v>
      </c>
      <c r="BW39" s="165"/>
      <c r="BX39" s="165"/>
      <c r="BY39" s="166"/>
      <c r="BZ39" s="164">
        <f t="shared" ref="BZ39" si="275">SUM(CC36:CC38)</f>
        <v>78300</v>
      </c>
      <c r="CA39" s="165"/>
      <c r="CB39" s="165"/>
      <c r="CC39" s="166"/>
      <c r="CD39" s="164">
        <f t="shared" ref="CD39" si="276">SUM(CG36:CG38)</f>
        <v>1216800</v>
      </c>
      <c r="CE39" s="165"/>
      <c r="CF39" s="165"/>
      <c r="CG39" s="166"/>
      <c r="CH39" s="164">
        <f t="shared" ref="CH39" si="277">SUM(CK36:CK38)</f>
        <v>1216800</v>
      </c>
      <c r="CI39" s="165"/>
      <c r="CJ39" s="165"/>
      <c r="CK39" s="166"/>
    </row>
    <row r="40" spans="2:90" x14ac:dyDescent="0.25">
      <c r="B40" s="156" t="s">
        <v>19</v>
      </c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  <c r="AC40" s="156"/>
      <c r="AD40" s="143">
        <f>SUMIFS(PRESUPUESTO!$G$87:$G$101,PRESUPUESTO!$E$87:$E$101,MÍNIMAS!AD34)</f>
        <v>451638.72457142861</v>
      </c>
      <c r="AE40" s="143"/>
      <c r="AF40" s="143"/>
      <c r="AG40" s="143"/>
      <c r="AH40" s="143">
        <f>SUMIFS(PRESUPUESTO!$G$87:$G$101,PRESUPUESTO!$E$87:$E$101,MÍNIMAS!AH34)</f>
        <v>1420371.0613333334</v>
      </c>
      <c r="AI40" s="143"/>
      <c r="AJ40" s="143"/>
      <c r="AK40" s="143"/>
      <c r="AL40" s="143">
        <f>SUMIFS(PRESUPUESTO!$G$87:$G$101,PRESUPUESTO!$E$87:$E$101,MÍNIMAS!AL34)</f>
        <v>1826191.3645714286</v>
      </c>
      <c r="AM40" s="143"/>
      <c r="AN40" s="143"/>
      <c r="AO40" s="143"/>
      <c r="AP40" s="143">
        <f>SUMIFS(PRESUPUESTO!$G$87:$G$101,PRESUPUESTO!$E$87:$E$101,MÍNIMAS!AP34)</f>
        <v>1420371.0613333334</v>
      </c>
      <c r="AQ40" s="143"/>
      <c r="AR40" s="143"/>
      <c r="AS40" s="143"/>
      <c r="AT40" s="143">
        <f>SUMIFS(PRESUPUESTO!$G$87:$G$101,PRESUPUESTO!$E$87:$E$101,MÍNIMAS!AT34)</f>
        <v>1623281.212952381</v>
      </c>
      <c r="AU40" s="143"/>
      <c r="AV40" s="143"/>
      <c r="AW40" s="143"/>
      <c r="AX40" s="143">
        <f>SUMIFS(PRESUPUESTO!$G$87:$G$101,PRESUPUESTO!$E$87:$E$101,MÍNIMAS!AX34)</f>
        <v>1623281.212952381</v>
      </c>
      <c r="AY40" s="143"/>
      <c r="AZ40" s="143"/>
      <c r="BA40" s="143"/>
      <c r="BB40" s="143">
        <f>SUMIFS(PRESUPUESTO!$G$87:$G$101,PRESUPUESTO!$E$87:$E$101,MÍNIMAS!BB34)</f>
        <v>1826191.3645714286</v>
      </c>
      <c r="BC40" s="143"/>
      <c r="BD40" s="143"/>
      <c r="BE40" s="143"/>
      <c r="BF40" s="143">
        <f>SUMIFS(PRESUPUESTO!$G$87:$G$101,PRESUPUESTO!$E$87:$E$101,MÍNIMAS!BF34)</f>
        <v>818186.09523809527</v>
      </c>
      <c r="BG40" s="143"/>
      <c r="BH40" s="143"/>
      <c r="BI40" s="143"/>
      <c r="BJ40" s="143">
        <f>SUMIFS(PRESUPUESTO!$G$87:$G$101,PRESUPUESTO!$E$87:$E$101,MÍNIMAS!BJ34)</f>
        <v>405820.30323809525</v>
      </c>
      <c r="BK40" s="143"/>
      <c r="BL40" s="143"/>
      <c r="BM40" s="143"/>
      <c r="BN40" s="143">
        <f>SUMIFS(PRESUPUESTO!$G$87:$G$101,PRESUPUESTO!$E$87:$E$101,MÍNIMAS!BN34)</f>
        <v>1826191.3645714286</v>
      </c>
      <c r="BO40" s="143"/>
      <c r="BP40" s="143"/>
      <c r="BQ40" s="143"/>
      <c r="BR40" s="143">
        <f>SUMIFS(PRESUPUESTO!$G$87:$G$101,PRESUPUESTO!$E$87:$E$101,MÍNIMAS!BR34)</f>
        <v>1217460.9097142857</v>
      </c>
      <c r="BS40" s="143"/>
      <c r="BT40" s="143"/>
      <c r="BU40" s="143"/>
      <c r="BV40" s="143">
        <f>SUMIFS(PRESUPUESTO!$G$87:$G$101,PRESUPUESTO!$E$87:$E$101,MÍNIMAS!BV34)</f>
        <v>209455.64038095239</v>
      </c>
      <c r="BW40" s="143"/>
      <c r="BX40" s="143"/>
      <c r="BY40" s="143"/>
      <c r="BZ40" s="143">
        <f>SUMIFS(PRESUPUESTO!$G$87:$G$101,PRESUPUESTO!$E$87:$E$101,MÍNIMAS!BZ34)</f>
        <v>78545.865142857147</v>
      </c>
      <c r="CA40" s="143"/>
      <c r="CB40" s="143"/>
      <c r="CC40" s="143"/>
      <c r="CD40" s="143">
        <f>SUMIFS(PRESUPUESTO!$G$87:$G$101,PRESUPUESTO!$E$87:$E$101,MÍNIMAS!CD34)</f>
        <v>1217460.9097142857</v>
      </c>
      <c r="CE40" s="143"/>
      <c r="CF40" s="143"/>
      <c r="CG40" s="143"/>
      <c r="CH40" s="143">
        <f>SUMIFS(PRESUPUESTO!$G$87:$G$101,PRESUPUESTO!$E$87:$E$101,MÍNIMAS!CH34)</f>
        <v>1217460.9097142857</v>
      </c>
      <c r="CI40" s="143"/>
      <c r="CJ40" s="143"/>
      <c r="CK40" s="143"/>
      <c r="CL40" s="37">
        <f>SUM(AD40:CK40)</f>
        <v>17181908</v>
      </c>
    </row>
    <row r="41" spans="2:90" x14ac:dyDescent="0.25">
      <c r="B41" s="156" t="s">
        <v>10</v>
      </c>
      <c r="C41" s="156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  <c r="AC41" s="156"/>
      <c r="AD41" s="163">
        <f>AD40-AD39</f>
        <v>1638.7245714286109</v>
      </c>
      <c r="AE41" s="163"/>
      <c r="AF41" s="163"/>
      <c r="AG41" s="163"/>
      <c r="AH41" s="163">
        <f>AH40-AH39</f>
        <v>1971.0613333333749</v>
      </c>
      <c r="AI41" s="163"/>
      <c r="AJ41" s="163"/>
      <c r="AK41" s="163"/>
      <c r="AL41" s="163">
        <f>AL40-AL39</f>
        <v>991.36457142862491</v>
      </c>
      <c r="AM41" s="163"/>
      <c r="AN41" s="163"/>
      <c r="AO41" s="163"/>
      <c r="AP41" s="163">
        <f t="shared" ref="AP41" si="278">AP40-AP39</f>
        <v>1971.0613333333749</v>
      </c>
      <c r="AQ41" s="163"/>
      <c r="AR41" s="163"/>
      <c r="AS41" s="163"/>
      <c r="AT41" s="163">
        <f>AT40-AT39</f>
        <v>581.21295238099992</v>
      </c>
      <c r="AU41" s="163"/>
      <c r="AV41" s="163"/>
      <c r="AW41" s="163"/>
      <c r="AX41" s="163">
        <f>AX40-AX39</f>
        <v>581.21295238099992</v>
      </c>
      <c r="AY41" s="163"/>
      <c r="AZ41" s="163"/>
      <c r="BA41" s="163"/>
      <c r="BB41" s="163">
        <f>BB40-BB39</f>
        <v>991.36457142862491</v>
      </c>
      <c r="BC41" s="163"/>
      <c r="BD41" s="163"/>
      <c r="BE41" s="163"/>
      <c r="BF41" s="163">
        <f t="shared" ref="BF41" si="279">BF40-BF39</f>
        <v>686.09523809526581</v>
      </c>
      <c r="BG41" s="163"/>
      <c r="BH41" s="163"/>
      <c r="BI41" s="163"/>
      <c r="BJ41" s="163">
        <f>BJ40-BJ39</f>
        <v>2620.30323809525</v>
      </c>
      <c r="BK41" s="163"/>
      <c r="BL41" s="163"/>
      <c r="BM41" s="163"/>
      <c r="BN41" s="163">
        <f>BN40-BN39</f>
        <v>991.36457142862491</v>
      </c>
      <c r="BO41" s="163"/>
      <c r="BP41" s="163"/>
      <c r="BQ41" s="163"/>
      <c r="BR41" s="163">
        <f>BR40-BR39</f>
        <v>660.90971428574994</v>
      </c>
      <c r="BS41" s="163"/>
      <c r="BT41" s="163"/>
      <c r="BU41" s="163"/>
      <c r="BV41" s="163">
        <f t="shared" ref="BV41" si="280">BV40-BV39</f>
        <v>1555.6403809523908</v>
      </c>
      <c r="BW41" s="163"/>
      <c r="BX41" s="163"/>
      <c r="BY41" s="163"/>
      <c r="BZ41" s="163">
        <f>BZ40-BZ39</f>
        <v>245.86514285714657</v>
      </c>
      <c r="CA41" s="163"/>
      <c r="CB41" s="163"/>
      <c r="CC41" s="163"/>
      <c r="CD41" s="163">
        <f>CD40-CD39</f>
        <v>660.90971428574994</v>
      </c>
      <c r="CE41" s="163"/>
      <c r="CF41" s="163"/>
      <c r="CG41" s="163"/>
      <c r="CH41" s="163">
        <f>CH40-CH39</f>
        <v>660.90971428574994</v>
      </c>
      <c r="CI41" s="163"/>
      <c r="CJ41" s="163"/>
      <c r="CK41" s="163"/>
    </row>
    <row r="43" spans="2:90" x14ac:dyDescent="0.25">
      <c r="B43" s="159" t="s">
        <v>45</v>
      </c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59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59"/>
      <c r="AR43" s="160"/>
      <c r="AS43" s="160"/>
      <c r="AT43" s="160"/>
      <c r="AU43" s="160"/>
      <c r="AV43" s="160"/>
      <c r="AW43" s="160"/>
      <c r="AX43" s="160"/>
      <c r="AY43" s="160"/>
      <c r="AZ43" s="160"/>
      <c r="BA43" s="160"/>
      <c r="BB43" s="160"/>
      <c r="BC43" s="160"/>
      <c r="BD43" s="159"/>
      <c r="BE43" s="160"/>
      <c r="BF43" s="160"/>
      <c r="BG43" s="160"/>
      <c r="BH43" s="160"/>
      <c r="BI43" s="160"/>
      <c r="BJ43" s="160"/>
      <c r="BK43" s="160"/>
      <c r="BL43" s="160"/>
      <c r="BM43" s="160"/>
      <c r="BN43" s="160"/>
      <c r="BO43" s="160"/>
      <c r="BP43" s="160"/>
      <c r="BQ43" s="159"/>
      <c r="BR43" s="160"/>
      <c r="BS43" s="160"/>
      <c r="BT43" s="160"/>
      <c r="BU43" s="160"/>
      <c r="BV43" s="160"/>
      <c r="BW43" s="160"/>
      <c r="BX43" s="160"/>
      <c r="BY43" s="160"/>
      <c r="BZ43" s="160"/>
      <c r="CA43" s="160"/>
      <c r="CB43" s="160"/>
      <c r="CC43" s="160"/>
      <c r="CD43" s="159"/>
      <c r="CE43" s="160"/>
      <c r="CF43" s="160"/>
      <c r="CG43" s="160"/>
      <c r="CH43" s="160"/>
      <c r="CI43" s="160"/>
      <c r="CJ43" s="160"/>
      <c r="CK43" s="160"/>
    </row>
    <row r="44" spans="2:90" ht="28.5" customHeight="1" x14ac:dyDescent="0.25">
      <c r="B44" s="158" t="str">
        <f>'PLAN DE NECESIDADES'!B36</f>
        <v>ÍTEM</v>
      </c>
      <c r="C44" s="158" t="str">
        <f>'PLAN DE NECESIDADES'!C36</f>
        <v>CÓDIGO DANE</v>
      </c>
      <c r="D44" s="158" t="str">
        <f>'PLAN DE NECESIDADES'!D36</f>
        <v xml:space="preserve">DESCRIPCIÓN DEL BIEN Y/O SERVICIO </v>
      </c>
      <c r="E44" s="158" t="str">
        <f>'PLAN DE NECESIDADES'!E36</f>
        <v>UNIDAD MEDIDA</v>
      </c>
      <c r="F44" s="158" t="str">
        <f>'PLAN DE NECESIDADES'!F36</f>
        <v>EXISTENCIAS (STOCK - INVENTARIOS)</v>
      </c>
      <c r="G44" s="158" t="str">
        <f>'PLAN DE NECESIDADES'!H36</f>
        <v>UNSPSC (CCE)</v>
      </c>
      <c r="H44" s="158" t="str">
        <f>'PLAN DE NECESIDADES'!I36</f>
        <v xml:space="preserve">CÓDIGO MATERIAL SAP </v>
      </c>
      <c r="I44" s="52" t="s">
        <v>40</v>
      </c>
      <c r="J44" s="161" t="s">
        <v>155</v>
      </c>
      <c r="K44" s="139" t="str">
        <f>AD44</f>
        <v>BAABS3</v>
      </c>
      <c r="L44" s="139" t="str">
        <f>AH44</f>
        <v>BAACA10</v>
      </c>
      <c r="M44" s="139" t="str">
        <f>AL44</f>
        <v>BAACA2</v>
      </c>
      <c r="N44" s="139" t="str">
        <f>AP44</f>
        <v>BAADA1</v>
      </c>
      <c r="O44" s="139" t="str">
        <f>AT44</f>
        <v>BAEEV2</v>
      </c>
      <c r="P44" s="139" t="str">
        <f>AX44</f>
        <v>BAEEV3</v>
      </c>
      <c r="Q44" s="139" t="str">
        <f>BB44</f>
        <v>BAMMA7</v>
      </c>
      <c r="R44" s="139" t="str">
        <f>BF44</f>
        <v>BASPC10</v>
      </c>
      <c r="S44" s="139" t="str">
        <f>BJ44</f>
        <v>BASAC</v>
      </c>
      <c r="T44" s="139" t="str">
        <f>BN44</f>
        <v>BICAR</v>
      </c>
      <c r="U44" s="139" t="str">
        <f>BR44</f>
        <v>BIMOC70</v>
      </c>
      <c r="V44" s="139" t="str">
        <f>BV44</f>
        <v>BITER10</v>
      </c>
      <c r="W44" s="139" t="str">
        <f>BZ44</f>
        <v>DIM15</v>
      </c>
      <c r="X44" s="139" t="str">
        <f>CD44</f>
        <v>GMMAT</v>
      </c>
      <c r="Y44" s="139" t="str">
        <f>CH44</f>
        <v>GMRON</v>
      </c>
      <c r="Z44" s="141" t="s">
        <v>13</v>
      </c>
      <c r="AA44" s="157" t="s">
        <v>14</v>
      </c>
      <c r="AB44" s="157" t="s">
        <v>12</v>
      </c>
      <c r="AC44" s="157" t="s">
        <v>4</v>
      </c>
      <c r="AD44" s="144" t="s">
        <v>29</v>
      </c>
      <c r="AE44" s="145"/>
      <c r="AF44" s="145"/>
      <c r="AG44" s="146"/>
      <c r="AH44" s="147" t="s">
        <v>30</v>
      </c>
      <c r="AI44" s="148"/>
      <c r="AJ44" s="148"/>
      <c r="AK44" s="149"/>
      <c r="AL44" s="150" t="s">
        <v>31</v>
      </c>
      <c r="AM44" s="151"/>
      <c r="AN44" s="151"/>
      <c r="AO44" s="152"/>
      <c r="AP44" s="153" t="s">
        <v>32</v>
      </c>
      <c r="AQ44" s="154"/>
      <c r="AR44" s="154"/>
      <c r="AS44" s="155"/>
      <c r="AT44" s="144" t="s">
        <v>27</v>
      </c>
      <c r="AU44" s="145"/>
      <c r="AV44" s="145"/>
      <c r="AW44" s="146"/>
      <c r="AX44" s="147" t="s">
        <v>33</v>
      </c>
      <c r="AY44" s="148"/>
      <c r="AZ44" s="148"/>
      <c r="BA44" s="149"/>
      <c r="BB44" s="150" t="s">
        <v>66</v>
      </c>
      <c r="BC44" s="151"/>
      <c r="BD44" s="151"/>
      <c r="BE44" s="152"/>
      <c r="BF44" s="153" t="s">
        <v>67</v>
      </c>
      <c r="BG44" s="154"/>
      <c r="BH44" s="154"/>
      <c r="BI44" s="155"/>
      <c r="BJ44" s="144" t="s">
        <v>34</v>
      </c>
      <c r="BK44" s="145"/>
      <c r="BL44" s="145"/>
      <c r="BM44" s="146"/>
      <c r="BN44" s="147" t="s">
        <v>35</v>
      </c>
      <c r="BO44" s="148"/>
      <c r="BP44" s="148"/>
      <c r="BQ44" s="149"/>
      <c r="BR44" s="150" t="s">
        <v>68</v>
      </c>
      <c r="BS44" s="151"/>
      <c r="BT44" s="151"/>
      <c r="BU44" s="152"/>
      <c r="BV44" s="153" t="s">
        <v>36</v>
      </c>
      <c r="BW44" s="154"/>
      <c r="BX44" s="154"/>
      <c r="BY44" s="155"/>
      <c r="BZ44" s="144" t="s">
        <v>37</v>
      </c>
      <c r="CA44" s="145"/>
      <c r="CB44" s="145"/>
      <c r="CC44" s="146"/>
      <c r="CD44" s="147" t="s">
        <v>69</v>
      </c>
      <c r="CE44" s="148"/>
      <c r="CF44" s="148"/>
      <c r="CG44" s="149"/>
      <c r="CH44" s="150" t="s">
        <v>38</v>
      </c>
      <c r="CI44" s="151"/>
      <c r="CJ44" s="151"/>
      <c r="CK44" s="152"/>
    </row>
    <row r="45" spans="2:90" ht="28.5" customHeight="1" x14ac:dyDescent="0.25">
      <c r="B45" s="158"/>
      <c r="C45" s="158"/>
      <c r="D45" s="158"/>
      <c r="E45" s="158"/>
      <c r="F45" s="158"/>
      <c r="G45" s="158"/>
      <c r="H45" s="158"/>
      <c r="I45" s="52"/>
      <c r="J45" s="162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2"/>
      <c r="AA45" s="157"/>
      <c r="AB45" s="157"/>
      <c r="AC45" s="157"/>
      <c r="AD45" s="20" t="s">
        <v>15</v>
      </c>
      <c r="AE45" s="21" t="s">
        <v>16</v>
      </c>
      <c r="AF45" s="22" t="s">
        <v>17</v>
      </c>
      <c r="AG45" s="20" t="s">
        <v>20</v>
      </c>
      <c r="AH45" s="3" t="s">
        <v>15</v>
      </c>
      <c r="AI45" s="4" t="s">
        <v>16</v>
      </c>
      <c r="AJ45" s="5" t="s">
        <v>17</v>
      </c>
      <c r="AK45" s="3" t="s">
        <v>20</v>
      </c>
      <c r="AL45" s="53" t="s">
        <v>15</v>
      </c>
      <c r="AM45" s="23" t="s">
        <v>16</v>
      </c>
      <c r="AN45" s="24" t="s">
        <v>17</v>
      </c>
      <c r="AO45" s="53" t="s">
        <v>20</v>
      </c>
      <c r="AP45" s="25" t="s">
        <v>15</v>
      </c>
      <c r="AQ45" s="26" t="s">
        <v>16</v>
      </c>
      <c r="AR45" s="27" t="s">
        <v>17</v>
      </c>
      <c r="AS45" s="25" t="s">
        <v>20</v>
      </c>
      <c r="AT45" s="20" t="s">
        <v>15</v>
      </c>
      <c r="AU45" s="21" t="s">
        <v>16</v>
      </c>
      <c r="AV45" s="22" t="s">
        <v>17</v>
      </c>
      <c r="AW45" s="20" t="s">
        <v>20</v>
      </c>
      <c r="AX45" s="3" t="s">
        <v>15</v>
      </c>
      <c r="AY45" s="4" t="s">
        <v>16</v>
      </c>
      <c r="AZ45" s="5" t="s">
        <v>17</v>
      </c>
      <c r="BA45" s="3" t="s">
        <v>20</v>
      </c>
      <c r="BB45" s="53" t="s">
        <v>15</v>
      </c>
      <c r="BC45" s="23" t="s">
        <v>16</v>
      </c>
      <c r="BD45" s="24" t="s">
        <v>17</v>
      </c>
      <c r="BE45" s="53" t="s">
        <v>20</v>
      </c>
      <c r="BF45" s="25" t="s">
        <v>15</v>
      </c>
      <c r="BG45" s="26" t="s">
        <v>16</v>
      </c>
      <c r="BH45" s="27" t="s">
        <v>17</v>
      </c>
      <c r="BI45" s="25" t="s">
        <v>20</v>
      </c>
      <c r="BJ45" s="20" t="s">
        <v>15</v>
      </c>
      <c r="BK45" s="21" t="s">
        <v>16</v>
      </c>
      <c r="BL45" s="22" t="s">
        <v>17</v>
      </c>
      <c r="BM45" s="20" t="s">
        <v>20</v>
      </c>
      <c r="BN45" s="3" t="s">
        <v>15</v>
      </c>
      <c r="BO45" s="4" t="s">
        <v>16</v>
      </c>
      <c r="BP45" s="5" t="s">
        <v>17</v>
      </c>
      <c r="BQ45" s="3" t="s">
        <v>20</v>
      </c>
      <c r="BR45" s="53" t="s">
        <v>15</v>
      </c>
      <c r="BS45" s="23" t="s">
        <v>16</v>
      </c>
      <c r="BT45" s="24" t="s">
        <v>17</v>
      </c>
      <c r="BU45" s="53" t="s">
        <v>20</v>
      </c>
      <c r="BV45" s="25" t="s">
        <v>15</v>
      </c>
      <c r="BW45" s="26" t="s">
        <v>16</v>
      </c>
      <c r="BX45" s="27" t="s">
        <v>17</v>
      </c>
      <c r="BY45" s="25" t="s">
        <v>20</v>
      </c>
      <c r="BZ45" s="20" t="s">
        <v>15</v>
      </c>
      <c r="CA45" s="21" t="s">
        <v>16</v>
      </c>
      <c r="CB45" s="22" t="s">
        <v>17</v>
      </c>
      <c r="CC45" s="20" t="s">
        <v>20</v>
      </c>
      <c r="CD45" s="3" t="s">
        <v>15</v>
      </c>
      <c r="CE45" s="4" t="s">
        <v>16</v>
      </c>
      <c r="CF45" s="5" t="s">
        <v>17</v>
      </c>
      <c r="CG45" s="3" t="s">
        <v>20</v>
      </c>
      <c r="CH45" s="53" t="s">
        <v>15</v>
      </c>
      <c r="CI45" s="23" t="s">
        <v>16</v>
      </c>
      <c r="CJ45" s="24" t="s">
        <v>17</v>
      </c>
      <c r="CK45" s="53" t="s">
        <v>20</v>
      </c>
    </row>
    <row r="46" spans="2:90" x14ac:dyDescent="0.25">
      <c r="B46" s="7">
        <f>'PLAN DE NECESIDADES'!B37</f>
        <v>21</v>
      </c>
      <c r="C46" s="7">
        <f>'PLAN DE NECESIDADES'!C37</f>
        <v>3533301</v>
      </c>
      <c r="D46" s="62" t="str">
        <f>'PLAN DE NECESIDADES'!D37</f>
        <v>BETÚN:
NEGRO 125 GRAMOS ESPECIFICACIONES SEGÚN NORMA TÉCNICA NO. NTMD-0356 A2  ÍTEM  3.1.1.14</v>
      </c>
      <c r="E46" s="7" t="str">
        <f>'PLAN DE NECESIDADES'!E37</f>
        <v>UNIDAD</v>
      </c>
      <c r="F46" s="7">
        <f>'PLAN DE NECESIDADES'!F37</f>
        <v>0</v>
      </c>
      <c r="G46" s="7">
        <f>'PLAN DE NECESIDADES'!H37</f>
        <v>47131809</v>
      </c>
      <c r="H46" s="7">
        <f>'PLAN DE NECESIDADES'!I37</f>
        <v>1048274</v>
      </c>
      <c r="I46" s="7" t="str">
        <f>'PLAN DE NECESIDADES'!J37</f>
        <v>SIN CREAR</v>
      </c>
      <c r="J46" s="7">
        <v>1</v>
      </c>
      <c r="K46" s="87">
        <v>69</v>
      </c>
      <c r="L46" s="87">
        <v>217</v>
      </c>
      <c r="M46" s="87">
        <v>279</v>
      </c>
      <c r="N46" s="87">
        <v>279</v>
      </c>
      <c r="O46" s="87">
        <v>248</v>
      </c>
      <c r="P46" s="87">
        <v>248</v>
      </c>
      <c r="Q46" s="87">
        <v>279</v>
      </c>
      <c r="R46" s="87">
        <v>125</v>
      </c>
      <c r="S46" s="87">
        <v>62</v>
      </c>
      <c r="T46" s="87">
        <v>279</v>
      </c>
      <c r="U46" s="87">
        <v>186</v>
      </c>
      <c r="V46" s="87">
        <v>32</v>
      </c>
      <c r="W46" s="87">
        <v>12</v>
      </c>
      <c r="X46" s="7">
        <v>186</v>
      </c>
      <c r="Y46" s="7">
        <v>186</v>
      </c>
      <c r="Z46" s="87">
        <f t="shared" ref="Z46:Z52" si="281">SUM(AD46,AH46,AL46,AP46,AT46,AX46,BB46,BF46,BJ46,BN46,BR46,BV46,BZ46,CD46,CH46)</f>
        <v>2718</v>
      </c>
      <c r="AA46" s="7">
        <f t="shared" ref="AA46:AA52" si="282">SUM(AE46,AI46,AM46,AQ46,AU46,AY46,BC46,BG46,BK46,BO46,BS46,BW46,CA46,CE46,CI46)</f>
        <v>1440</v>
      </c>
      <c r="AB46" s="7">
        <f t="shared" ref="AB46:AB52" si="283">SUM(AF46,AJ46,AN46,AR46,AV46,AZ46,BD46,BH46,BL46,BP46,BT46,BX46,CB46,CF46,CJ46)</f>
        <v>1278</v>
      </c>
      <c r="AC46" s="12">
        <v>10000</v>
      </c>
      <c r="AD46" s="7">
        <f t="shared" ref="AD46:AD52" si="284">K46*J46</f>
        <v>69</v>
      </c>
      <c r="AE46" s="7">
        <f>J46*38</f>
        <v>38</v>
      </c>
      <c r="AF46" s="8">
        <f t="shared" ref="AF46:AF52" si="285">AD46-AE46</f>
        <v>31</v>
      </c>
      <c r="AG46" s="14">
        <f t="shared" ref="AG46:AG52" si="286">AC46*AE46</f>
        <v>380000</v>
      </c>
      <c r="AH46" s="7">
        <f t="shared" ref="AH46:AH52" si="287">L46*J46</f>
        <v>217</v>
      </c>
      <c r="AI46" s="7">
        <f>J46*120</f>
        <v>120</v>
      </c>
      <c r="AJ46" s="8">
        <f t="shared" ref="AJ46:AJ52" si="288">AH46-AI46</f>
        <v>97</v>
      </c>
      <c r="AK46" s="14">
        <f t="shared" ref="AK46:AK52" si="289">AC46*AI46</f>
        <v>1200000</v>
      </c>
      <c r="AL46" s="7">
        <f t="shared" ref="AL46:AL52" si="290">M46*J46</f>
        <v>279</v>
      </c>
      <c r="AM46" s="7">
        <f>J46*154</f>
        <v>154</v>
      </c>
      <c r="AN46" s="8">
        <f t="shared" ref="AN46:AN52" si="291">AL46-AM46</f>
        <v>125</v>
      </c>
      <c r="AO46" s="14">
        <f t="shared" ref="AO46:AO52" si="292">AC46*AM46</f>
        <v>1540000</v>
      </c>
      <c r="AP46" s="7">
        <f t="shared" ref="AP46:AP52" si="293">N46*J46</f>
        <v>279</v>
      </c>
      <c r="AQ46" s="7">
        <f>J46*120</f>
        <v>120</v>
      </c>
      <c r="AR46" s="8">
        <f t="shared" ref="AR46:AR52" si="294">AP46-AQ46</f>
        <v>159</v>
      </c>
      <c r="AS46" s="14">
        <f t="shared" ref="AS46:AS52" si="295">AC46*AQ46</f>
        <v>1200000</v>
      </c>
      <c r="AT46" s="7">
        <f t="shared" ref="AT46:AT52" si="296">M46*J46</f>
        <v>279</v>
      </c>
      <c r="AU46" s="7">
        <f>J46*137</f>
        <v>137</v>
      </c>
      <c r="AV46" s="8">
        <f t="shared" ref="AV46:AV52" si="297">AT46-AU46</f>
        <v>142</v>
      </c>
      <c r="AW46" s="14">
        <f t="shared" ref="AW46:AW52" si="298">AU46*AC46</f>
        <v>1370000</v>
      </c>
      <c r="AX46" s="7">
        <f>P46*J46</f>
        <v>248</v>
      </c>
      <c r="AY46" s="7">
        <f>J46*137</f>
        <v>137</v>
      </c>
      <c r="AZ46" s="8">
        <f t="shared" ref="AZ46" si="299">AX46-AY46</f>
        <v>111</v>
      </c>
      <c r="BA46" s="14">
        <f>AC46*AY46</f>
        <v>1370000</v>
      </c>
      <c r="BB46" s="7">
        <f t="shared" ref="BB46" si="300">Q46*J46</f>
        <v>279</v>
      </c>
      <c r="BC46" s="7">
        <f>J46*155</f>
        <v>155</v>
      </c>
      <c r="BD46" s="8">
        <f t="shared" ref="BD46" si="301">BB46-BC46</f>
        <v>124</v>
      </c>
      <c r="BE46" s="14">
        <f t="shared" ref="BE46" si="302">BC46*AC46</f>
        <v>1550000</v>
      </c>
      <c r="BF46" s="7">
        <f t="shared" ref="BF46:BF51" si="303">R46*J46</f>
        <v>125</v>
      </c>
      <c r="BG46" s="7">
        <f>J46*59</f>
        <v>59</v>
      </c>
      <c r="BH46" s="8">
        <f t="shared" ref="BH46:BH52" si="304">BF46-BG46</f>
        <v>66</v>
      </c>
      <c r="BI46" s="14">
        <f t="shared" ref="BI46:BI52" si="305">BG46*AC46</f>
        <v>590000</v>
      </c>
      <c r="BJ46" s="7">
        <f>S46*J46</f>
        <v>62</v>
      </c>
      <c r="BK46" s="7">
        <f>J46*34</f>
        <v>34</v>
      </c>
      <c r="BL46" s="8">
        <f t="shared" ref="BL46:BL52" si="306">BJ46-BK46</f>
        <v>28</v>
      </c>
      <c r="BM46" s="14">
        <f t="shared" ref="BM46:BM52" si="307">BK46*AC46</f>
        <v>340000</v>
      </c>
      <c r="BN46" s="7">
        <f t="shared" ref="BN46" si="308">T46*J46</f>
        <v>279</v>
      </c>
      <c r="BO46" s="7">
        <f>J46*154</f>
        <v>154</v>
      </c>
      <c r="BP46" s="8">
        <f t="shared" ref="BP46" si="309">BN46-BO46</f>
        <v>125</v>
      </c>
      <c r="BQ46" s="14">
        <f t="shared" ref="BQ46" si="310">BO46*AC46</f>
        <v>1540000</v>
      </c>
      <c r="BR46" s="7">
        <f t="shared" ref="BR46:BR52" si="311">U46*J46</f>
        <v>186</v>
      </c>
      <c r="BS46" s="7">
        <f>J46*103</f>
        <v>103</v>
      </c>
      <c r="BT46" s="8">
        <f t="shared" ref="BT46:BT52" si="312">BR46-BS46</f>
        <v>83</v>
      </c>
      <c r="BU46" s="14">
        <f t="shared" ref="BU46:BU52" si="313">BS46*AC46</f>
        <v>1030000</v>
      </c>
      <c r="BV46" s="7">
        <f t="shared" ref="BV46:BV52" si="314">V46*J46</f>
        <v>32</v>
      </c>
      <c r="BW46" s="7">
        <f>J46*17</f>
        <v>17</v>
      </c>
      <c r="BX46" s="8">
        <f t="shared" ref="BX46:BX52" si="315">BV46-BW46</f>
        <v>15</v>
      </c>
      <c r="BY46" s="14">
        <f t="shared" ref="BY46:BY52" si="316">BW46*AC46</f>
        <v>170000</v>
      </c>
      <c r="BZ46" s="7">
        <f t="shared" ref="BZ46:BZ52" si="317">W46*J46</f>
        <v>12</v>
      </c>
      <c r="CA46" s="7">
        <f>J46*6</f>
        <v>6</v>
      </c>
      <c r="CB46" s="8">
        <f t="shared" ref="CB46:CB52" si="318">BZ46-CA46</f>
        <v>6</v>
      </c>
      <c r="CC46" s="14">
        <f t="shared" ref="CC46:CC52" si="319">CA46*AC46</f>
        <v>60000</v>
      </c>
      <c r="CD46" s="7">
        <f t="shared" ref="CD46:CD52" si="320">X46*J46</f>
        <v>186</v>
      </c>
      <c r="CE46" s="7">
        <f>J46*103</f>
        <v>103</v>
      </c>
      <c r="CF46" s="8">
        <f t="shared" ref="CF46:CF52" si="321">CD46-CE46</f>
        <v>83</v>
      </c>
      <c r="CG46" s="14">
        <f t="shared" ref="CG46:CG52" si="322">CE46*AC46</f>
        <v>1030000</v>
      </c>
      <c r="CH46" s="7">
        <f t="shared" ref="CH46:CH52" si="323">Y46*J46</f>
        <v>186</v>
      </c>
      <c r="CI46" s="7">
        <f>J46*103</f>
        <v>103</v>
      </c>
      <c r="CJ46" s="8">
        <f t="shared" ref="CJ46:CJ52" si="324">CH46-CI46</f>
        <v>83</v>
      </c>
      <c r="CK46" s="14">
        <f t="shared" ref="CK46:CK52" si="325">CI46*AC46</f>
        <v>1030000</v>
      </c>
    </row>
    <row r="47" spans="2:90" x14ac:dyDescent="0.25">
      <c r="B47" s="7">
        <f>'PLAN DE NECESIDADES'!B38</f>
        <v>22</v>
      </c>
      <c r="C47" s="7">
        <f>'PLAN DE NECESIDADES'!C38</f>
        <v>3532315</v>
      </c>
      <c r="D47" s="62" t="str">
        <f>'PLAN DE NECESIDADES'!D38</f>
        <v>TALCOS PARA PIES :  
DE 85 GRAMOS ESPECIFICACIONES SEGÚN NORMA TÉCNICA NO. NTMD-0356 A2 ÍTEM  3.1.1.6</v>
      </c>
      <c r="E47" s="7" t="str">
        <f>'PLAN DE NECESIDADES'!E38</f>
        <v>UNIDAD</v>
      </c>
      <c r="F47" s="7">
        <f>'PLAN DE NECESIDADES'!F38</f>
        <v>0</v>
      </c>
      <c r="G47" s="7">
        <f>'PLAN DE NECESIDADES'!H38</f>
        <v>53131614</v>
      </c>
      <c r="H47" s="7">
        <f>'PLAN DE NECESIDADES'!I38</f>
        <v>1291103</v>
      </c>
      <c r="I47" s="7" t="str">
        <f>'PLAN DE NECESIDADES'!J38</f>
        <v>8510-80-0011397</v>
      </c>
      <c r="J47" s="7">
        <v>1</v>
      </c>
      <c r="K47" s="87">
        <v>69</v>
      </c>
      <c r="L47" s="87">
        <v>217</v>
      </c>
      <c r="M47" s="87">
        <v>279</v>
      </c>
      <c r="N47" s="87">
        <v>279</v>
      </c>
      <c r="O47" s="87">
        <v>248</v>
      </c>
      <c r="P47" s="87">
        <v>248</v>
      </c>
      <c r="Q47" s="87">
        <v>279</v>
      </c>
      <c r="R47" s="87">
        <v>125</v>
      </c>
      <c r="S47" s="87">
        <v>62</v>
      </c>
      <c r="T47" s="87">
        <v>279</v>
      </c>
      <c r="U47" s="87">
        <v>186</v>
      </c>
      <c r="V47" s="87">
        <v>32</v>
      </c>
      <c r="W47" s="87">
        <v>12</v>
      </c>
      <c r="X47" s="87">
        <v>186</v>
      </c>
      <c r="Y47" s="87">
        <v>186</v>
      </c>
      <c r="Z47" s="87">
        <f t="shared" si="281"/>
        <v>2718</v>
      </c>
      <c r="AA47" s="7">
        <f t="shared" si="282"/>
        <v>1439</v>
      </c>
      <c r="AB47" s="7">
        <f t="shared" si="283"/>
        <v>1279</v>
      </c>
      <c r="AC47" s="12">
        <v>9500</v>
      </c>
      <c r="AD47" s="7">
        <f t="shared" si="284"/>
        <v>69</v>
      </c>
      <c r="AE47" s="7">
        <f t="shared" ref="AE47:AE49" si="326">J47*38</f>
        <v>38</v>
      </c>
      <c r="AF47" s="8">
        <f t="shared" si="285"/>
        <v>31</v>
      </c>
      <c r="AG47" s="14">
        <f t="shared" si="286"/>
        <v>361000</v>
      </c>
      <c r="AH47" s="7">
        <f t="shared" si="287"/>
        <v>217</v>
      </c>
      <c r="AI47" s="7">
        <f>J47*120</f>
        <v>120</v>
      </c>
      <c r="AJ47" s="8">
        <f t="shared" si="288"/>
        <v>97</v>
      </c>
      <c r="AK47" s="14">
        <f t="shared" si="289"/>
        <v>1140000</v>
      </c>
      <c r="AL47" s="7">
        <f t="shared" si="290"/>
        <v>279</v>
      </c>
      <c r="AM47" s="7">
        <f>J47*155</f>
        <v>155</v>
      </c>
      <c r="AN47" s="8">
        <f t="shared" si="291"/>
        <v>124</v>
      </c>
      <c r="AO47" s="14">
        <f t="shared" si="292"/>
        <v>1472500</v>
      </c>
      <c r="AP47" s="7">
        <f t="shared" si="293"/>
        <v>279</v>
      </c>
      <c r="AQ47" s="7">
        <f t="shared" ref="AQ47:AQ49" si="327">J47*120</f>
        <v>120</v>
      </c>
      <c r="AR47" s="8">
        <f t="shared" si="294"/>
        <v>159</v>
      </c>
      <c r="AS47" s="14">
        <f t="shared" si="295"/>
        <v>1140000</v>
      </c>
      <c r="AT47" s="7">
        <f t="shared" si="296"/>
        <v>279</v>
      </c>
      <c r="AU47" s="7">
        <f t="shared" ref="AU47:AU51" si="328">J47*137</f>
        <v>137</v>
      </c>
      <c r="AV47" s="8">
        <f t="shared" si="297"/>
        <v>142</v>
      </c>
      <c r="AW47" s="14">
        <f t="shared" si="298"/>
        <v>1301500</v>
      </c>
      <c r="AX47" s="7">
        <f t="shared" ref="AX47:AX52" si="329">P47*J47</f>
        <v>248</v>
      </c>
      <c r="AY47" s="7">
        <f t="shared" ref="AY47:AY51" si="330">J47*137</f>
        <v>137</v>
      </c>
      <c r="AZ47" s="8">
        <f t="shared" ref="AZ47:AZ49" si="331">AX47-AY47</f>
        <v>111</v>
      </c>
      <c r="BA47" s="14">
        <f t="shared" ref="BA47:BA49" si="332">AC47*AY47</f>
        <v>1301500</v>
      </c>
      <c r="BB47" s="7">
        <f t="shared" ref="BB47:BB49" si="333">Q47*J47</f>
        <v>279</v>
      </c>
      <c r="BC47" s="7">
        <f>J47*154</f>
        <v>154</v>
      </c>
      <c r="BD47" s="8">
        <f t="shared" ref="BD47:BD49" si="334">BB47-BC47</f>
        <v>125</v>
      </c>
      <c r="BE47" s="14">
        <f t="shared" ref="BE47:BE49" si="335">BC47*AC47</f>
        <v>1463000</v>
      </c>
      <c r="BF47" s="7">
        <f t="shared" si="303"/>
        <v>125</v>
      </c>
      <c r="BG47" s="7">
        <f t="shared" ref="BG47:BG52" si="336">J47*58</f>
        <v>58</v>
      </c>
      <c r="BH47" s="8">
        <f t="shared" si="304"/>
        <v>67</v>
      </c>
      <c r="BI47" s="14">
        <f t="shared" si="305"/>
        <v>551000</v>
      </c>
      <c r="BJ47" s="7">
        <f t="shared" ref="BJ47:BJ52" si="337">S47*J47</f>
        <v>62</v>
      </c>
      <c r="BK47" s="7">
        <f t="shared" ref="BK47:BK51" si="338">J47*34</f>
        <v>34</v>
      </c>
      <c r="BL47" s="8">
        <f t="shared" si="306"/>
        <v>28</v>
      </c>
      <c r="BM47" s="14">
        <f t="shared" si="307"/>
        <v>323000</v>
      </c>
      <c r="BN47" s="7">
        <f t="shared" ref="BN47:BN52" si="339">T47*J47</f>
        <v>279</v>
      </c>
      <c r="BO47" s="7">
        <f t="shared" ref="BO47:BO49" si="340">J47*154</f>
        <v>154</v>
      </c>
      <c r="BP47" s="8">
        <f t="shared" ref="BP47:BP52" si="341">BN47-BO47</f>
        <v>125</v>
      </c>
      <c r="BQ47" s="14">
        <f t="shared" ref="BQ47:BQ52" si="342">BO47*AC47</f>
        <v>1463000</v>
      </c>
      <c r="BR47" s="7">
        <f t="shared" si="311"/>
        <v>186</v>
      </c>
      <c r="BS47" s="7">
        <f t="shared" ref="BS47:BS52" si="343">J47*103</f>
        <v>103</v>
      </c>
      <c r="BT47" s="8">
        <f t="shared" si="312"/>
        <v>83</v>
      </c>
      <c r="BU47" s="14">
        <f t="shared" si="313"/>
        <v>978500</v>
      </c>
      <c r="BV47" s="7">
        <f t="shared" si="314"/>
        <v>32</v>
      </c>
      <c r="BW47" s="7">
        <f t="shared" ref="BW47:BW52" si="344">J47*18</f>
        <v>18</v>
      </c>
      <c r="BX47" s="8">
        <f t="shared" si="315"/>
        <v>14</v>
      </c>
      <c r="BY47" s="14">
        <f t="shared" si="316"/>
        <v>171000</v>
      </c>
      <c r="BZ47" s="7">
        <f t="shared" si="317"/>
        <v>12</v>
      </c>
      <c r="CA47" s="7">
        <f>J47*6</f>
        <v>6</v>
      </c>
      <c r="CB47" s="8">
        <f t="shared" si="318"/>
        <v>6</v>
      </c>
      <c r="CC47" s="14">
        <f t="shared" si="319"/>
        <v>57000</v>
      </c>
      <c r="CD47" s="7">
        <f t="shared" si="320"/>
        <v>186</v>
      </c>
      <c r="CE47" s="7">
        <f t="shared" ref="CE47:CE52" si="345">J47*103</f>
        <v>103</v>
      </c>
      <c r="CF47" s="8">
        <f t="shared" si="321"/>
        <v>83</v>
      </c>
      <c r="CG47" s="14">
        <f t="shared" si="322"/>
        <v>978500</v>
      </c>
      <c r="CH47" s="7">
        <f t="shared" si="323"/>
        <v>186</v>
      </c>
      <c r="CI47" s="7">
        <f>J47*102</f>
        <v>102</v>
      </c>
      <c r="CJ47" s="8">
        <f t="shared" si="324"/>
        <v>84</v>
      </c>
      <c r="CK47" s="14">
        <f t="shared" si="325"/>
        <v>969000</v>
      </c>
    </row>
    <row r="48" spans="2:90" x14ac:dyDescent="0.25">
      <c r="B48" s="7">
        <f>'PLAN DE NECESIDADES'!B39</f>
        <v>23</v>
      </c>
      <c r="C48" s="7">
        <f>'PLAN DE NECESIDADES'!C39</f>
        <v>3532308</v>
      </c>
      <c r="D48" s="62" t="str">
        <f>'PLAN DE NECESIDADES'!D39</f>
        <v>CREMA DENTAL:
DE 100 ML ESPECIFICACIONES SEGÚN NORMA TÉCNICA NO. NTMD-0356 A2 ÍTEM  3.1.1.3</v>
      </c>
      <c r="E48" s="7" t="str">
        <f>'PLAN DE NECESIDADES'!E39</f>
        <v>UNIDAD</v>
      </c>
      <c r="F48" s="7">
        <f>'PLAN DE NECESIDADES'!F39</f>
        <v>0</v>
      </c>
      <c r="G48" s="7">
        <f>'PLAN DE NECESIDADES'!H39</f>
        <v>53131502</v>
      </c>
      <c r="H48" s="7">
        <f>'PLAN DE NECESIDADES'!I39</f>
        <v>1013968</v>
      </c>
      <c r="I48" s="7" t="str">
        <f>'PLAN DE NECESIDADES'!J39</f>
        <v>8520-80-0011399</v>
      </c>
      <c r="J48" s="7">
        <v>1</v>
      </c>
      <c r="K48" s="87">
        <v>69</v>
      </c>
      <c r="L48" s="87">
        <v>217</v>
      </c>
      <c r="M48" s="87">
        <v>279</v>
      </c>
      <c r="N48" s="87">
        <v>279</v>
      </c>
      <c r="O48" s="87">
        <v>248</v>
      </c>
      <c r="P48" s="87">
        <v>248</v>
      </c>
      <c r="Q48" s="87">
        <v>279</v>
      </c>
      <c r="R48" s="87">
        <v>125</v>
      </c>
      <c r="S48" s="87">
        <v>62</v>
      </c>
      <c r="T48" s="87">
        <v>279</v>
      </c>
      <c r="U48" s="87">
        <v>186</v>
      </c>
      <c r="V48" s="87">
        <v>32</v>
      </c>
      <c r="W48" s="87">
        <v>12</v>
      </c>
      <c r="X48" s="87">
        <v>186</v>
      </c>
      <c r="Y48" s="87">
        <v>186</v>
      </c>
      <c r="Z48" s="87">
        <f t="shared" si="281"/>
        <v>2718</v>
      </c>
      <c r="AA48" s="7">
        <f t="shared" si="282"/>
        <v>1438</v>
      </c>
      <c r="AB48" s="7">
        <f t="shared" si="283"/>
        <v>1280</v>
      </c>
      <c r="AC48" s="12">
        <v>8700</v>
      </c>
      <c r="AD48" s="7">
        <f t="shared" si="284"/>
        <v>69</v>
      </c>
      <c r="AE48" s="7">
        <f t="shared" si="326"/>
        <v>38</v>
      </c>
      <c r="AF48" s="8">
        <f t="shared" si="285"/>
        <v>31</v>
      </c>
      <c r="AG48" s="14">
        <f t="shared" si="286"/>
        <v>330600</v>
      </c>
      <c r="AH48" s="7">
        <f t="shared" si="287"/>
        <v>217</v>
      </c>
      <c r="AI48" s="7">
        <f>J48*120</f>
        <v>120</v>
      </c>
      <c r="AJ48" s="8">
        <f t="shared" si="288"/>
        <v>97</v>
      </c>
      <c r="AK48" s="14">
        <f t="shared" si="289"/>
        <v>1044000</v>
      </c>
      <c r="AL48" s="7">
        <f t="shared" si="290"/>
        <v>279</v>
      </c>
      <c r="AM48" s="7">
        <f t="shared" ref="AM48:AM51" si="346">J48*154</f>
        <v>154</v>
      </c>
      <c r="AN48" s="8">
        <f t="shared" si="291"/>
        <v>125</v>
      </c>
      <c r="AO48" s="14">
        <f t="shared" si="292"/>
        <v>1339800</v>
      </c>
      <c r="AP48" s="7">
        <f t="shared" si="293"/>
        <v>279</v>
      </c>
      <c r="AQ48" s="7">
        <f t="shared" si="327"/>
        <v>120</v>
      </c>
      <c r="AR48" s="8">
        <f t="shared" si="294"/>
        <v>159</v>
      </c>
      <c r="AS48" s="14">
        <f t="shared" si="295"/>
        <v>1044000</v>
      </c>
      <c r="AT48" s="7">
        <f t="shared" si="296"/>
        <v>279</v>
      </c>
      <c r="AU48" s="7">
        <f t="shared" si="328"/>
        <v>137</v>
      </c>
      <c r="AV48" s="8">
        <f t="shared" si="297"/>
        <v>142</v>
      </c>
      <c r="AW48" s="14">
        <f t="shared" si="298"/>
        <v>1191900</v>
      </c>
      <c r="AX48" s="7">
        <f t="shared" si="329"/>
        <v>248</v>
      </c>
      <c r="AY48" s="7">
        <f t="shared" si="330"/>
        <v>137</v>
      </c>
      <c r="AZ48" s="8">
        <f t="shared" si="331"/>
        <v>111</v>
      </c>
      <c r="BA48" s="14">
        <f t="shared" si="332"/>
        <v>1191900</v>
      </c>
      <c r="BB48" s="7">
        <f t="shared" si="333"/>
        <v>279</v>
      </c>
      <c r="BC48" s="7">
        <f t="shared" ref="BC48:BC51" si="347">J48*154</f>
        <v>154</v>
      </c>
      <c r="BD48" s="8">
        <f t="shared" si="334"/>
        <v>125</v>
      </c>
      <c r="BE48" s="14">
        <f t="shared" si="335"/>
        <v>1339800</v>
      </c>
      <c r="BF48" s="7">
        <f t="shared" si="303"/>
        <v>125</v>
      </c>
      <c r="BG48" s="7">
        <f t="shared" si="336"/>
        <v>58</v>
      </c>
      <c r="BH48" s="8">
        <f t="shared" si="304"/>
        <v>67</v>
      </c>
      <c r="BI48" s="14">
        <f t="shared" si="305"/>
        <v>504600</v>
      </c>
      <c r="BJ48" s="7">
        <f t="shared" si="337"/>
        <v>62</v>
      </c>
      <c r="BK48" s="7">
        <f>J48*35</f>
        <v>35</v>
      </c>
      <c r="BL48" s="8">
        <f t="shared" si="306"/>
        <v>27</v>
      </c>
      <c r="BM48" s="14">
        <f t="shared" si="307"/>
        <v>304500</v>
      </c>
      <c r="BN48" s="7">
        <f t="shared" si="339"/>
        <v>279</v>
      </c>
      <c r="BO48" s="7">
        <f t="shared" si="340"/>
        <v>154</v>
      </c>
      <c r="BP48" s="8">
        <f t="shared" si="341"/>
        <v>125</v>
      </c>
      <c r="BQ48" s="14">
        <f t="shared" si="342"/>
        <v>1339800</v>
      </c>
      <c r="BR48" s="7">
        <f t="shared" si="311"/>
        <v>186</v>
      </c>
      <c r="BS48" s="7">
        <f>J48*102</f>
        <v>102</v>
      </c>
      <c r="BT48" s="8">
        <f t="shared" si="312"/>
        <v>84</v>
      </c>
      <c r="BU48" s="14">
        <f t="shared" si="313"/>
        <v>887400</v>
      </c>
      <c r="BV48" s="7">
        <f t="shared" si="314"/>
        <v>32</v>
      </c>
      <c r="BW48" s="7">
        <f>J48*17</f>
        <v>17</v>
      </c>
      <c r="BX48" s="8">
        <f t="shared" si="315"/>
        <v>15</v>
      </c>
      <c r="BY48" s="14">
        <f t="shared" si="316"/>
        <v>147900</v>
      </c>
      <c r="BZ48" s="7">
        <f t="shared" si="317"/>
        <v>12</v>
      </c>
      <c r="CA48" s="7">
        <f t="shared" ref="CA48:CA49" si="348">J48*7</f>
        <v>7</v>
      </c>
      <c r="CB48" s="8">
        <f t="shared" si="318"/>
        <v>5</v>
      </c>
      <c r="CC48" s="14">
        <f t="shared" si="319"/>
        <v>60900</v>
      </c>
      <c r="CD48" s="7">
        <f t="shared" si="320"/>
        <v>186</v>
      </c>
      <c r="CE48" s="7">
        <f>J48*102</f>
        <v>102</v>
      </c>
      <c r="CF48" s="8">
        <f t="shared" si="321"/>
        <v>84</v>
      </c>
      <c r="CG48" s="14">
        <f t="shared" si="322"/>
        <v>887400</v>
      </c>
      <c r="CH48" s="7">
        <f t="shared" si="323"/>
        <v>186</v>
      </c>
      <c r="CI48" s="7">
        <f t="shared" ref="CI48:CI52" si="349">J48*103</f>
        <v>103</v>
      </c>
      <c r="CJ48" s="8">
        <f t="shared" si="324"/>
        <v>83</v>
      </c>
      <c r="CK48" s="14">
        <f t="shared" si="325"/>
        <v>896100</v>
      </c>
    </row>
    <row r="49" spans="2:90" x14ac:dyDescent="0.25">
      <c r="B49" s="7">
        <f>'PLAN DE NECESIDADES'!B40</f>
        <v>24</v>
      </c>
      <c r="C49" s="7">
        <f>'PLAN DE NECESIDADES'!C40</f>
        <v>3532324</v>
      </c>
      <c r="D49" s="62" t="str">
        <f>'PLAN DE NECESIDADES'!D40</f>
        <v>DESODORANTE ANTITRASPIRANTE: ESPECIFICACIONES  TÉCNICAS   DE  ACUERDO A LA NORMA TÉCNICA KIT DE DOTACIÓN NO. NTMD-0356 A2 ÍTEM  3.1.1.7</v>
      </c>
      <c r="E49" s="7" t="str">
        <f>'PLAN DE NECESIDADES'!E40</f>
        <v>UNIDAD</v>
      </c>
      <c r="F49" s="7">
        <f>'PLAN DE NECESIDADES'!F40</f>
        <v>0</v>
      </c>
      <c r="G49" s="7">
        <f>'PLAN DE NECESIDADES'!H40</f>
        <v>53131606</v>
      </c>
      <c r="H49" s="7">
        <f>'PLAN DE NECESIDADES'!I40</f>
        <v>1013944</v>
      </c>
      <c r="I49" s="7" t="str">
        <f>'PLAN DE NECESIDADES'!J40</f>
        <v>8510-80-0011400</v>
      </c>
      <c r="J49" s="7">
        <v>1</v>
      </c>
      <c r="K49" s="87">
        <v>69</v>
      </c>
      <c r="L49" s="87">
        <v>217</v>
      </c>
      <c r="M49" s="87">
        <v>279</v>
      </c>
      <c r="N49" s="87">
        <v>279</v>
      </c>
      <c r="O49" s="87">
        <v>248</v>
      </c>
      <c r="P49" s="87">
        <v>248</v>
      </c>
      <c r="Q49" s="87">
        <v>279</v>
      </c>
      <c r="R49" s="87">
        <v>125</v>
      </c>
      <c r="S49" s="87">
        <v>62</v>
      </c>
      <c r="T49" s="87">
        <v>279</v>
      </c>
      <c r="U49" s="87">
        <v>186</v>
      </c>
      <c r="V49" s="87">
        <v>32</v>
      </c>
      <c r="W49" s="87">
        <v>12</v>
      </c>
      <c r="X49" s="87">
        <v>186</v>
      </c>
      <c r="Y49" s="87">
        <v>186</v>
      </c>
      <c r="Z49" s="87">
        <f t="shared" si="281"/>
        <v>2718</v>
      </c>
      <c r="AA49" s="7">
        <f t="shared" si="282"/>
        <v>1440</v>
      </c>
      <c r="AB49" s="7">
        <f t="shared" si="283"/>
        <v>1278</v>
      </c>
      <c r="AC49" s="12">
        <v>9900</v>
      </c>
      <c r="AD49" s="7">
        <f t="shared" si="284"/>
        <v>69</v>
      </c>
      <c r="AE49" s="7">
        <f t="shared" si="326"/>
        <v>38</v>
      </c>
      <c r="AF49" s="8">
        <f t="shared" si="285"/>
        <v>31</v>
      </c>
      <c r="AG49" s="14">
        <f t="shared" si="286"/>
        <v>376200</v>
      </c>
      <c r="AH49" s="7">
        <f t="shared" si="287"/>
        <v>217</v>
      </c>
      <c r="AI49" s="7">
        <f>J49*120</f>
        <v>120</v>
      </c>
      <c r="AJ49" s="8">
        <f t="shared" si="288"/>
        <v>97</v>
      </c>
      <c r="AK49" s="14">
        <f t="shared" si="289"/>
        <v>1188000</v>
      </c>
      <c r="AL49" s="7">
        <f t="shared" si="290"/>
        <v>279</v>
      </c>
      <c r="AM49" s="7">
        <f t="shared" si="346"/>
        <v>154</v>
      </c>
      <c r="AN49" s="8">
        <f t="shared" si="291"/>
        <v>125</v>
      </c>
      <c r="AO49" s="14">
        <f t="shared" si="292"/>
        <v>1524600</v>
      </c>
      <c r="AP49" s="7">
        <f t="shared" si="293"/>
        <v>279</v>
      </c>
      <c r="AQ49" s="7">
        <f t="shared" si="327"/>
        <v>120</v>
      </c>
      <c r="AR49" s="8">
        <f t="shared" si="294"/>
        <v>159</v>
      </c>
      <c r="AS49" s="14">
        <f t="shared" si="295"/>
        <v>1188000</v>
      </c>
      <c r="AT49" s="7">
        <f t="shared" si="296"/>
        <v>279</v>
      </c>
      <c r="AU49" s="7">
        <f t="shared" si="328"/>
        <v>137</v>
      </c>
      <c r="AV49" s="8">
        <f t="shared" si="297"/>
        <v>142</v>
      </c>
      <c r="AW49" s="14">
        <f t="shared" si="298"/>
        <v>1356300</v>
      </c>
      <c r="AX49" s="7">
        <f t="shared" si="329"/>
        <v>248</v>
      </c>
      <c r="AY49" s="7">
        <f t="shared" si="330"/>
        <v>137</v>
      </c>
      <c r="AZ49" s="8">
        <f t="shared" si="331"/>
        <v>111</v>
      </c>
      <c r="BA49" s="14">
        <f t="shared" si="332"/>
        <v>1356300</v>
      </c>
      <c r="BB49" s="7">
        <f t="shared" si="333"/>
        <v>279</v>
      </c>
      <c r="BC49" s="7">
        <f t="shared" si="347"/>
        <v>154</v>
      </c>
      <c r="BD49" s="8">
        <f t="shared" si="334"/>
        <v>125</v>
      </c>
      <c r="BE49" s="14">
        <f t="shared" si="335"/>
        <v>1524600</v>
      </c>
      <c r="BF49" s="7">
        <f t="shared" si="303"/>
        <v>125</v>
      </c>
      <c r="BG49" s="7">
        <f t="shared" si="336"/>
        <v>58</v>
      </c>
      <c r="BH49" s="8">
        <f t="shared" si="304"/>
        <v>67</v>
      </c>
      <c r="BI49" s="14">
        <f t="shared" si="305"/>
        <v>574200</v>
      </c>
      <c r="BJ49" s="7">
        <f t="shared" si="337"/>
        <v>62</v>
      </c>
      <c r="BK49" s="7">
        <f t="shared" si="338"/>
        <v>34</v>
      </c>
      <c r="BL49" s="8">
        <f t="shared" si="306"/>
        <v>28</v>
      </c>
      <c r="BM49" s="14">
        <f t="shared" si="307"/>
        <v>336600</v>
      </c>
      <c r="BN49" s="7">
        <f t="shared" si="339"/>
        <v>279</v>
      </c>
      <c r="BO49" s="7">
        <f t="shared" si="340"/>
        <v>154</v>
      </c>
      <c r="BP49" s="8">
        <f t="shared" si="341"/>
        <v>125</v>
      </c>
      <c r="BQ49" s="14">
        <f t="shared" si="342"/>
        <v>1524600</v>
      </c>
      <c r="BR49" s="7">
        <f t="shared" si="311"/>
        <v>186</v>
      </c>
      <c r="BS49" s="7">
        <f t="shared" si="343"/>
        <v>103</v>
      </c>
      <c r="BT49" s="8">
        <f t="shared" si="312"/>
        <v>83</v>
      </c>
      <c r="BU49" s="14">
        <f t="shared" si="313"/>
        <v>1019700</v>
      </c>
      <c r="BV49" s="7">
        <f t="shared" si="314"/>
        <v>32</v>
      </c>
      <c r="BW49" s="7">
        <f t="shared" si="344"/>
        <v>18</v>
      </c>
      <c r="BX49" s="8">
        <f t="shared" si="315"/>
        <v>14</v>
      </c>
      <c r="BY49" s="14">
        <f t="shared" si="316"/>
        <v>178200</v>
      </c>
      <c r="BZ49" s="7">
        <f t="shared" si="317"/>
        <v>12</v>
      </c>
      <c r="CA49" s="7">
        <f t="shared" si="348"/>
        <v>7</v>
      </c>
      <c r="CB49" s="8">
        <f t="shared" si="318"/>
        <v>5</v>
      </c>
      <c r="CC49" s="14">
        <f t="shared" si="319"/>
        <v>69300</v>
      </c>
      <c r="CD49" s="7">
        <f t="shared" si="320"/>
        <v>186</v>
      </c>
      <c r="CE49" s="7">
        <f t="shared" si="345"/>
        <v>103</v>
      </c>
      <c r="CF49" s="8">
        <f t="shared" si="321"/>
        <v>83</v>
      </c>
      <c r="CG49" s="14">
        <f t="shared" si="322"/>
        <v>1019700</v>
      </c>
      <c r="CH49" s="7">
        <f t="shared" si="323"/>
        <v>186</v>
      </c>
      <c r="CI49" s="7">
        <f t="shared" si="349"/>
        <v>103</v>
      </c>
      <c r="CJ49" s="8">
        <f t="shared" si="324"/>
        <v>83</v>
      </c>
      <c r="CK49" s="14">
        <f t="shared" si="325"/>
        <v>1019700</v>
      </c>
    </row>
    <row r="50" spans="2:90" x14ac:dyDescent="0.25">
      <c r="B50" s="7">
        <f>'PLAN DE NECESIDADES'!B41</f>
        <v>25</v>
      </c>
      <c r="C50" s="7">
        <f>'PLAN DE NECESIDADES'!C41</f>
        <v>3532324</v>
      </c>
      <c r="D50" s="62" t="str">
        <f>'PLAN DE NECESIDADES'!D41</f>
        <v>DESODORANTE ANTITRANSPIRANTE PARA MUJER:
DE 80 GRAMOS, ESPECIFICACIONES SEGÚN NORMA TÉCNICA NO. NTMD-0356 A2 ÍTEM  3.1.1.7</v>
      </c>
      <c r="E50" s="7" t="str">
        <f>'PLAN DE NECESIDADES'!E41</f>
        <v>UNIDAD</v>
      </c>
      <c r="F50" s="7">
        <f>'PLAN DE NECESIDADES'!F41</f>
        <v>0</v>
      </c>
      <c r="G50" s="7">
        <f>'PLAN DE NECESIDADES'!H41</f>
        <v>53131606</v>
      </c>
      <c r="H50" s="7">
        <f>'PLAN DE NECESIDADES'!I41</f>
        <v>1476318</v>
      </c>
      <c r="I50" s="7" t="str">
        <f>'PLAN DE NECESIDADES'!J41</f>
        <v>8510-80-0011400</v>
      </c>
      <c r="J50" s="7">
        <v>1</v>
      </c>
      <c r="K50" s="7"/>
      <c r="L50" s="87"/>
      <c r="M50" s="7"/>
      <c r="N50" s="7"/>
      <c r="O50" s="7"/>
      <c r="P50" s="7"/>
      <c r="Q50" s="87"/>
      <c r="R50" s="87">
        <v>125</v>
      </c>
      <c r="S50" s="7"/>
      <c r="T50" s="7"/>
      <c r="U50" s="7"/>
      <c r="V50" s="7"/>
      <c r="W50" s="87"/>
      <c r="X50" s="7"/>
      <c r="Y50" s="7"/>
      <c r="Z50" s="87">
        <f t="shared" si="281"/>
        <v>125</v>
      </c>
      <c r="AA50" s="7">
        <f t="shared" si="282"/>
        <v>58</v>
      </c>
      <c r="AB50" s="7">
        <f t="shared" si="283"/>
        <v>67</v>
      </c>
      <c r="AC50" s="12">
        <v>9900</v>
      </c>
      <c r="AD50" s="7"/>
      <c r="AE50" s="7"/>
      <c r="AF50" s="8"/>
      <c r="AG50" s="14"/>
      <c r="AH50" s="7"/>
      <c r="AI50" s="7"/>
      <c r="AJ50" s="8"/>
      <c r="AK50" s="14"/>
      <c r="AL50" s="7"/>
      <c r="AM50" s="7"/>
      <c r="AN50" s="8"/>
      <c r="AO50" s="14"/>
      <c r="AP50" s="7"/>
      <c r="AQ50" s="7"/>
      <c r="AR50" s="8"/>
      <c r="AS50" s="14"/>
      <c r="AT50" s="7"/>
      <c r="AU50" s="7"/>
      <c r="AV50" s="8"/>
      <c r="AW50" s="14"/>
      <c r="AX50" s="7"/>
      <c r="AY50" s="7"/>
      <c r="AZ50" s="8"/>
      <c r="BA50" s="14"/>
      <c r="BB50" s="7"/>
      <c r="BC50" s="7"/>
      <c r="BD50" s="8"/>
      <c r="BE50" s="14"/>
      <c r="BF50" s="7">
        <f t="shared" si="303"/>
        <v>125</v>
      </c>
      <c r="BG50" s="7">
        <f t="shared" si="336"/>
        <v>58</v>
      </c>
      <c r="BH50" s="8">
        <f t="shared" si="304"/>
        <v>67</v>
      </c>
      <c r="BI50" s="14">
        <f t="shared" si="305"/>
        <v>574200</v>
      </c>
      <c r="BJ50" s="7"/>
      <c r="BK50" s="7"/>
      <c r="BL50" s="8"/>
      <c r="BM50" s="14"/>
      <c r="BN50" s="7"/>
      <c r="BO50" s="7"/>
      <c r="BP50" s="8"/>
      <c r="BQ50" s="14"/>
      <c r="BR50" s="7"/>
      <c r="BS50" s="7"/>
      <c r="BT50" s="8"/>
      <c r="BU50" s="14"/>
      <c r="BV50" s="7"/>
      <c r="BW50" s="7"/>
      <c r="BX50" s="8"/>
      <c r="BY50" s="14"/>
      <c r="BZ50" s="7"/>
      <c r="CA50" s="7"/>
      <c r="CB50" s="8"/>
      <c r="CC50" s="14"/>
      <c r="CD50" s="7"/>
      <c r="CE50" s="7"/>
      <c r="CF50" s="8"/>
      <c r="CG50" s="14"/>
      <c r="CH50" s="7"/>
      <c r="CI50" s="7"/>
      <c r="CJ50" s="8"/>
      <c r="CK50" s="14"/>
    </row>
    <row r="51" spans="2:90" x14ac:dyDescent="0.25">
      <c r="B51" s="7">
        <f>'PLAN DE NECESIDADES'!B42</f>
        <v>26</v>
      </c>
      <c r="C51" s="7">
        <f>'PLAN DE NECESIDADES'!C42</f>
        <v>3532105</v>
      </c>
      <c r="D51" s="62" t="str">
        <f>'PLAN DE NECESIDADES'!D42</f>
        <v>JABÓN DE BAÑO ANTIBACTERIAL
130 GRAMOS: ESPECIFICACIONES SEGÚN NORMA TÉCNICA NO. NTMD-0356 A2 ÍTEM  3.1.1.8</v>
      </c>
      <c r="E51" s="7" t="str">
        <f>'PLAN DE NECESIDADES'!E42</f>
        <v>UNIDAD</v>
      </c>
      <c r="F51" s="7">
        <f>'PLAN DE NECESIDADES'!F42</f>
        <v>0</v>
      </c>
      <c r="G51" s="7">
        <f>'PLAN DE NECESIDADES'!H42</f>
        <v>53131608</v>
      </c>
      <c r="H51" s="7">
        <f>'PLAN DE NECESIDADES'!I42</f>
        <v>1013955</v>
      </c>
      <c r="I51" s="7" t="str">
        <f>'PLAN DE NECESIDADES'!J42</f>
        <v>8520-80-0011401</v>
      </c>
      <c r="J51" s="7">
        <v>2</v>
      </c>
      <c r="K51" s="87">
        <v>69</v>
      </c>
      <c r="L51" s="87">
        <v>217</v>
      </c>
      <c r="M51" s="87">
        <v>279</v>
      </c>
      <c r="N51" s="87">
        <v>217</v>
      </c>
      <c r="O51" s="87">
        <v>248</v>
      </c>
      <c r="P51" s="87">
        <v>248</v>
      </c>
      <c r="Q51" s="87">
        <v>279</v>
      </c>
      <c r="R51" s="87">
        <v>125</v>
      </c>
      <c r="S51" s="87">
        <v>62</v>
      </c>
      <c r="T51" s="87">
        <v>279</v>
      </c>
      <c r="U51" s="87">
        <v>186</v>
      </c>
      <c r="V51" s="87">
        <v>32</v>
      </c>
      <c r="W51" s="87">
        <v>12</v>
      </c>
      <c r="X51" s="87">
        <v>186</v>
      </c>
      <c r="Y51" s="87">
        <v>186</v>
      </c>
      <c r="Z51" s="87">
        <f t="shared" si="281"/>
        <v>5312</v>
      </c>
      <c r="AA51" s="7">
        <f t="shared" si="282"/>
        <v>2882</v>
      </c>
      <c r="AB51" s="7">
        <f t="shared" si="283"/>
        <v>2430</v>
      </c>
      <c r="AC51" s="12">
        <v>5800</v>
      </c>
      <c r="AD51" s="7">
        <f t="shared" si="284"/>
        <v>138</v>
      </c>
      <c r="AE51" s="7">
        <f t="shared" ref="AE51" si="350">J51*38</f>
        <v>76</v>
      </c>
      <c r="AF51" s="8">
        <f t="shared" si="285"/>
        <v>62</v>
      </c>
      <c r="AG51" s="14">
        <f t="shared" si="286"/>
        <v>440800</v>
      </c>
      <c r="AH51" s="7">
        <f t="shared" si="287"/>
        <v>434</v>
      </c>
      <c r="AI51" s="7">
        <f>J51*120</f>
        <v>240</v>
      </c>
      <c r="AJ51" s="8">
        <f t="shared" si="288"/>
        <v>194</v>
      </c>
      <c r="AK51" s="14">
        <f t="shared" si="289"/>
        <v>1392000</v>
      </c>
      <c r="AL51" s="7">
        <f t="shared" si="290"/>
        <v>558</v>
      </c>
      <c r="AM51" s="7">
        <f t="shared" si="346"/>
        <v>308</v>
      </c>
      <c r="AN51" s="8">
        <f t="shared" si="291"/>
        <v>250</v>
      </c>
      <c r="AO51" s="14">
        <f t="shared" si="292"/>
        <v>1786400</v>
      </c>
      <c r="AP51" s="7">
        <f t="shared" si="293"/>
        <v>434</v>
      </c>
      <c r="AQ51" s="7">
        <f t="shared" ref="AQ51" si="351">J51*120</f>
        <v>240</v>
      </c>
      <c r="AR51" s="8">
        <f t="shared" si="294"/>
        <v>194</v>
      </c>
      <c r="AS51" s="14">
        <f t="shared" si="295"/>
        <v>1392000</v>
      </c>
      <c r="AT51" s="7">
        <f t="shared" si="296"/>
        <v>558</v>
      </c>
      <c r="AU51" s="7">
        <f t="shared" si="328"/>
        <v>274</v>
      </c>
      <c r="AV51" s="8">
        <f t="shared" si="297"/>
        <v>284</v>
      </c>
      <c r="AW51" s="14">
        <f t="shared" si="298"/>
        <v>1589200</v>
      </c>
      <c r="AX51" s="7">
        <f t="shared" si="329"/>
        <v>496</v>
      </c>
      <c r="AY51" s="7">
        <f t="shared" si="330"/>
        <v>274</v>
      </c>
      <c r="AZ51" s="8">
        <f t="shared" ref="AZ51:AZ52" si="352">AX51-AY51</f>
        <v>222</v>
      </c>
      <c r="BA51" s="14">
        <f t="shared" ref="BA51" si="353">AC51*AY51</f>
        <v>1589200</v>
      </c>
      <c r="BB51" s="7">
        <f t="shared" ref="BB51:BB52" si="354">Q51*J51</f>
        <v>558</v>
      </c>
      <c r="BC51" s="7">
        <f t="shared" si="347"/>
        <v>308</v>
      </c>
      <c r="BD51" s="8">
        <f t="shared" ref="BD51:BD52" si="355">BB51-BC51</f>
        <v>250</v>
      </c>
      <c r="BE51" s="14">
        <f t="shared" ref="BE51:BE52" si="356">BC51*AC51</f>
        <v>1786400</v>
      </c>
      <c r="BF51" s="7">
        <f t="shared" si="303"/>
        <v>250</v>
      </c>
      <c r="BG51" s="7">
        <f t="shared" si="336"/>
        <v>116</v>
      </c>
      <c r="BH51" s="8">
        <f t="shared" si="304"/>
        <v>134</v>
      </c>
      <c r="BI51" s="14">
        <f t="shared" si="305"/>
        <v>672800</v>
      </c>
      <c r="BJ51" s="7">
        <f t="shared" si="337"/>
        <v>124</v>
      </c>
      <c r="BK51" s="7">
        <f t="shared" si="338"/>
        <v>68</v>
      </c>
      <c r="BL51" s="8">
        <f t="shared" si="306"/>
        <v>56</v>
      </c>
      <c r="BM51" s="14">
        <f t="shared" si="307"/>
        <v>394400</v>
      </c>
      <c r="BN51" s="7">
        <f t="shared" si="339"/>
        <v>558</v>
      </c>
      <c r="BO51" s="7">
        <f>J51*155</f>
        <v>310</v>
      </c>
      <c r="BP51" s="8">
        <f t="shared" si="341"/>
        <v>248</v>
      </c>
      <c r="BQ51" s="14">
        <f t="shared" si="342"/>
        <v>1798000</v>
      </c>
      <c r="BR51" s="7">
        <f t="shared" si="311"/>
        <v>372</v>
      </c>
      <c r="BS51" s="7">
        <f t="shared" si="343"/>
        <v>206</v>
      </c>
      <c r="BT51" s="8">
        <f t="shared" si="312"/>
        <v>166</v>
      </c>
      <c r="BU51" s="14">
        <f t="shared" si="313"/>
        <v>1194800</v>
      </c>
      <c r="BV51" s="7">
        <f t="shared" si="314"/>
        <v>64</v>
      </c>
      <c r="BW51" s="7">
        <f t="shared" si="344"/>
        <v>36</v>
      </c>
      <c r="BX51" s="8">
        <f t="shared" si="315"/>
        <v>28</v>
      </c>
      <c r="BY51" s="14">
        <f t="shared" si="316"/>
        <v>208800</v>
      </c>
      <c r="BZ51" s="7">
        <f t="shared" si="317"/>
        <v>24</v>
      </c>
      <c r="CA51" s="7">
        <f t="shared" ref="CA51:CA52" si="357">J51*7</f>
        <v>14</v>
      </c>
      <c r="CB51" s="8">
        <f t="shared" si="318"/>
        <v>10</v>
      </c>
      <c r="CC51" s="14">
        <f t="shared" si="319"/>
        <v>81200</v>
      </c>
      <c r="CD51" s="7">
        <f t="shared" si="320"/>
        <v>372</v>
      </c>
      <c r="CE51" s="7">
        <f t="shared" si="345"/>
        <v>206</v>
      </c>
      <c r="CF51" s="8">
        <f t="shared" si="321"/>
        <v>166</v>
      </c>
      <c r="CG51" s="14">
        <f t="shared" si="322"/>
        <v>1194800</v>
      </c>
      <c r="CH51" s="7">
        <f t="shared" si="323"/>
        <v>372</v>
      </c>
      <c r="CI51" s="7">
        <f t="shared" si="349"/>
        <v>206</v>
      </c>
      <c r="CJ51" s="8">
        <f t="shared" si="324"/>
        <v>166</v>
      </c>
      <c r="CK51" s="14">
        <f t="shared" si="325"/>
        <v>1194800</v>
      </c>
    </row>
    <row r="52" spans="2:90" x14ac:dyDescent="0.25">
      <c r="B52" s="7">
        <f>'PLAN DE NECESIDADES'!B43</f>
        <v>27</v>
      </c>
      <c r="C52" s="7">
        <f>'PLAN DE NECESIDADES'!C43</f>
        <v>3532101</v>
      </c>
      <c r="D52" s="62" t="str">
        <f>'PLAN DE NECESIDADES'!D43</f>
        <v>JABÓN PARA LAVAR ROPA:
DE 300 GRAMOS, ESPECIFICACIONES SEGÚN NORMA TÉCNICA NO. NTMD-0356 A2  ÍTEM  3.1.1.13</v>
      </c>
      <c r="E52" s="7" t="str">
        <f>'PLAN DE NECESIDADES'!E43</f>
        <v>UNIDAD</v>
      </c>
      <c r="F52" s="7">
        <f>'PLAN DE NECESIDADES'!F43</f>
        <v>0</v>
      </c>
      <c r="G52" s="7">
        <f>'PLAN DE NECESIDADES'!H43</f>
        <v>47131811</v>
      </c>
      <c r="H52" s="7">
        <f>'PLAN DE NECESIDADES'!I43</f>
        <v>1298675</v>
      </c>
      <c r="I52" s="7" t="str">
        <f>'PLAN DE NECESIDADES'!J43</f>
        <v>7930-80-0011405</v>
      </c>
      <c r="J52" s="7">
        <v>1</v>
      </c>
      <c r="K52" s="87">
        <v>69</v>
      </c>
      <c r="L52" s="87">
        <v>217</v>
      </c>
      <c r="M52" s="87">
        <v>279</v>
      </c>
      <c r="N52" s="87">
        <v>217</v>
      </c>
      <c r="O52" s="87">
        <v>248</v>
      </c>
      <c r="P52" s="87">
        <v>248</v>
      </c>
      <c r="Q52" s="87">
        <v>279</v>
      </c>
      <c r="R52" s="87">
        <v>125</v>
      </c>
      <c r="S52" s="87">
        <v>62</v>
      </c>
      <c r="T52" s="87">
        <v>279</v>
      </c>
      <c r="U52" s="87">
        <v>186</v>
      </c>
      <c r="V52" s="87">
        <v>32</v>
      </c>
      <c r="W52" s="87">
        <v>12</v>
      </c>
      <c r="X52" s="87">
        <v>186</v>
      </c>
      <c r="Y52" s="87">
        <v>186</v>
      </c>
      <c r="Z52" s="87">
        <f t="shared" si="281"/>
        <v>2656</v>
      </c>
      <c r="AA52" s="7">
        <f t="shared" si="282"/>
        <v>1447</v>
      </c>
      <c r="AB52" s="7">
        <f t="shared" si="283"/>
        <v>1209</v>
      </c>
      <c r="AC52" s="12">
        <v>3100</v>
      </c>
      <c r="AD52" s="7">
        <f t="shared" si="284"/>
        <v>69</v>
      </c>
      <c r="AE52" s="7">
        <f>J52*40</f>
        <v>40</v>
      </c>
      <c r="AF52" s="8">
        <f t="shared" si="285"/>
        <v>29</v>
      </c>
      <c r="AG52" s="14">
        <f t="shared" si="286"/>
        <v>124000</v>
      </c>
      <c r="AH52" s="7">
        <f t="shared" si="287"/>
        <v>217</v>
      </c>
      <c r="AI52" s="7">
        <f>J52*119</f>
        <v>119</v>
      </c>
      <c r="AJ52" s="8">
        <f t="shared" si="288"/>
        <v>98</v>
      </c>
      <c r="AK52" s="14">
        <f t="shared" si="289"/>
        <v>368900</v>
      </c>
      <c r="AL52" s="7">
        <f t="shared" si="290"/>
        <v>279</v>
      </c>
      <c r="AM52" s="7">
        <f>J52*155</f>
        <v>155</v>
      </c>
      <c r="AN52" s="8">
        <f t="shared" si="291"/>
        <v>124</v>
      </c>
      <c r="AO52" s="14">
        <f t="shared" si="292"/>
        <v>480500</v>
      </c>
      <c r="AP52" s="7">
        <f t="shared" si="293"/>
        <v>217</v>
      </c>
      <c r="AQ52" s="7">
        <f>J52*119</f>
        <v>119</v>
      </c>
      <c r="AR52" s="8">
        <f t="shared" si="294"/>
        <v>98</v>
      </c>
      <c r="AS52" s="14">
        <f t="shared" si="295"/>
        <v>368900</v>
      </c>
      <c r="AT52" s="7">
        <f t="shared" si="296"/>
        <v>279</v>
      </c>
      <c r="AU52" s="7">
        <f>J52*139</f>
        <v>139</v>
      </c>
      <c r="AV52" s="8">
        <f t="shared" si="297"/>
        <v>140</v>
      </c>
      <c r="AW52" s="14">
        <f t="shared" si="298"/>
        <v>430900</v>
      </c>
      <c r="AX52" s="7">
        <f t="shared" si="329"/>
        <v>248</v>
      </c>
      <c r="AY52" s="7">
        <f>J52*139</f>
        <v>139</v>
      </c>
      <c r="AZ52" s="8">
        <f t="shared" si="352"/>
        <v>109</v>
      </c>
      <c r="BA52" s="14">
        <f>AC52*AY52</f>
        <v>430900</v>
      </c>
      <c r="BB52" s="7">
        <f t="shared" si="354"/>
        <v>279</v>
      </c>
      <c r="BC52" s="7">
        <f>J52*155</f>
        <v>155</v>
      </c>
      <c r="BD52" s="8">
        <f t="shared" si="355"/>
        <v>124</v>
      </c>
      <c r="BE52" s="14">
        <f t="shared" si="356"/>
        <v>480500</v>
      </c>
      <c r="BF52" s="7">
        <f>R52*J52</f>
        <v>125</v>
      </c>
      <c r="BG52" s="7">
        <f t="shared" si="336"/>
        <v>58</v>
      </c>
      <c r="BH52" s="8">
        <f t="shared" si="304"/>
        <v>67</v>
      </c>
      <c r="BI52" s="14">
        <f t="shared" si="305"/>
        <v>179800</v>
      </c>
      <c r="BJ52" s="7">
        <f t="shared" si="337"/>
        <v>62</v>
      </c>
      <c r="BK52" s="7">
        <f>J52*35</f>
        <v>35</v>
      </c>
      <c r="BL52" s="8">
        <f t="shared" si="306"/>
        <v>27</v>
      </c>
      <c r="BM52" s="14">
        <f t="shared" si="307"/>
        <v>108500</v>
      </c>
      <c r="BN52" s="7">
        <f t="shared" si="339"/>
        <v>279</v>
      </c>
      <c r="BO52" s="7">
        <f>J52*154</f>
        <v>154</v>
      </c>
      <c r="BP52" s="8">
        <f t="shared" si="341"/>
        <v>125</v>
      </c>
      <c r="BQ52" s="14">
        <f t="shared" si="342"/>
        <v>477400</v>
      </c>
      <c r="BR52" s="7">
        <f t="shared" si="311"/>
        <v>186</v>
      </c>
      <c r="BS52" s="7">
        <f t="shared" si="343"/>
        <v>103</v>
      </c>
      <c r="BT52" s="8">
        <f t="shared" si="312"/>
        <v>83</v>
      </c>
      <c r="BU52" s="14">
        <f t="shared" si="313"/>
        <v>319300</v>
      </c>
      <c r="BV52" s="7">
        <f t="shared" si="314"/>
        <v>32</v>
      </c>
      <c r="BW52" s="7">
        <f t="shared" si="344"/>
        <v>18</v>
      </c>
      <c r="BX52" s="8">
        <f t="shared" si="315"/>
        <v>14</v>
      </c>
      <c r="BY52" s="14">
        <f t="shared" si="316"/>
        <v>55800</v>
      </c>
      <c r="BZ52" s="7">
        <f t="shared" si="317"/>
        <v>12</v>
      </c>
      <c r="CA52" s="7">
        <f t="shared" si="357"/>
        <v>7</v>
      </c>
      <c r="CB52" s="8">
        <f t="shared" si="318"/>
        <v>5</v>
      </c>
      <c r="CC52" s="14">
        <f t="shared" si="319"/>
        <v>21700</v>
      </c>
      <c r="CD52" s="7">
        <f t="shared" si="320"/>
        <v>186</v>
      </c>
      <c r="CE52" s="7">
        <f t="shared" si="345"/>
        <v>103</v>
      </c>
      <c r="CF52" s="8">
        <f t="shared" si="321"/>
        <v>83</v>
      </c>
      <c r="CG52" s="14">
        <f t="shared" si="322"/>
        <v>319300</v>
      </c>
      <c r="CH52" s="7">
        <f t="shared" si="323"/>
        <v>186</v>
      </c>
      <c r="CI52" s="7">
        <f t="shared" si="349"/>
        <v>103</v>
      </c>
      <c r="CJ52" s="8">
        <f t="shared" si="324"/>
        <v>83</v>
      </c>
      <c r="CK52" s="14">
        <f t="shared" si="325"/>
        <v>319300</v>
      </c>
    </row>
    <row r="53" spans="2:90" x14ac:dyDescent="0.25">
      <c r="B53" s="156" t="s">
        <v>18</v>
      </c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43">
        <f>SUM(AG46:AG52)</f>
        <v>2012600</v>
      </c>
      <c r="AE53" s="143"/>
      <c r="AF53" s="143"/>
      <c r="AG53" s="143"/>
      <c r="AH53" s="143">
        <f t="shared" ref="AH53" si="358">SUM(AK46:AK52)</f>
        <v>6332900</v>
      </c>
      <c r="AI53" s="143"/>
      <c r="AJ53" s="143"/>
      <c r="AK53" s="143"/>
      <c r="AL53" s="143">
        <f t="shared" ref="AL53" si="359">SUM(AO46:AO52)</f>
        <v>8143800</v>
      </c>
      <c r="AM53" s="143"/>
      <c r="AN53" s="143"/>
      <c r="AO53" s="143"/>
      <c r="AP53" s="143">
        <f t="shared" ref="AP53" si="360">SUM(AS46:AS52)</f>
        <v>6332900</v>
      </c>
      <c r="AQ53" s="143"/>
      <c r="AR53" s="143"/>
      <c r="AS53" s="143"/>
      <c r="AT53" s="143">
        <f t="shared" ref="AT53" si="361">SUM(AW46:AW52)</f>
        <v>7239800</v>
      </c>
      <c r="AU53" s="143"/>
      <c r="AV53" s="143"/>
      <c r="AW53" s="143"/>
      <c r="AX53" s="143">
        <f t="shared" ref="AX53" si="362">SUM(BA46:BA52)</f>
        <v>7239800</v>
      </c>
      <c r="AY53" s="143"/>
      <c r="AZ53" s="143"/>
      <c r="BA53" s="143"/>
      <c r="BB53" s="143">
        <f t="shared" ref="BB53" si="363">SUM(BE46:BE52)</f>
        <v>8144300</v>
      </c>
      <c r="BC53" s="143"/>
      <c r="BD53" s="143"/>
      <c r="BE53" s="143"/>
      <c r="BF53" s="143">
        <f t="shared" ref="BF53" si="364">SUM(BI46:BI52)</f>
        <v>3646600</v>
      </c>
      <c r="BG53" s="143"/>
      <c r="BH53" s="143"/>
      <c r="BI53" s="143"/>
      <c r="BJ53" s="143">
        <f t="shared" ref="BJ53" si="365">SUM(BM46:BM52)</f>
        <v>1807000</v>
      </c>
      <c r="BK53" s="143"/>
      <c r="BL53" s="143"/>
      <c r="BM53" s="143"/>
      <c r="BN53" s="143">
        <f t="shared" ref="BN53" si="366">SUM(BQ46:BQ52)</f>
        <v>8142800</v>
      </c>
      <c r="BO53" s="143"/>
      <c r="BP53" s="143"/>
      <c r="BQ53" s="143"/>
      <c r="BR53" s="143">
        <f t="shared" ref="BR53" si="367">SUM(BU46:BU52)</f>
        <v>5429700</v>
      </c>
      <c r="BS53" s="143"/>
      <c r="BT53" s="143"/>
      <c r="BU53" s="143"/>
      <c r="BV53" s="143">
        <f t="shared" ref="BV53" si="368">SUM(BY46:BY52)</f>
        <v>931700</v>
      </c>
      <c r="BW53" s="143"/>
      <c r="BX53" s="143"/>
      <c r="BY53" s="143"/>
      <c r="BZ53" s="143">
        <f t="shared" ref="BZ53" si="369">SUM(CC46:CC52)</f>
        <v>350100</v>
      </c>
      <c r="CA53" s="143"/>
      <c r="CB53" s="143"/>
      <c r="CC53" s="143"/>
      <c r="CD53" s="143">
        <f t="shared" ref="CD53" si="370">SUM(CG46:CG52)</f>
        <v>5429700</v>
      </c>
      <c r="CE53" s="143"/>
      <c r="CF53" s="143"/>
      <c r="CG53" s="143"/>
      <c r="CH53" s="143">
        <f t="shared" ref="CH53" si="371">SUM(CK46:CK52)</f>
        <v>5428900</v>
      </c>
      <c r="CI53" s="143"/>
      <c r="CJ53" s="143"/>
      <c r="CK53" s="143"/>
    </row>
    <row r="54" spans="2:90" x14ac:dyDescent="0.25">
      <c r="B54" s="156" t="s">
        <v>19</v>
      </c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43">
        <f>SUMIFS(PRESUPUESTO!$G$105:$G$119,PRESUPUESTO!$E$105:$E$119,AD44)</f>
        <v>2014359.2411428571</v>
      </c>
      <c r="AE54" s="143"/>
      <c r="AF54" s="143"/>
      <c r="AG54" s="143"/>
      <c r="AH54" s="143">
        <f>SUMIFS(PRESUPUESTO!$G$105:$G$119,PRESUPUESTO!$E$105:$E$119,AH44)</f>
        <v>6335013.8453333331</v>
      </c>
      <c r="AI54" s="143"/>
      <c r="AJ54" s="143"/>
      <c r="AK54" s="143"/>
      <c r="AL54" s="143">
        <f>SUMIFS(PRESUPUESTO!$G$105:$G$119,PRESUPUESTO!$E$105:$E$119,AL44)</f>
        <v>8145017.8011428565</v>
      </c>
      <c r="AM54" s="143"/>
      <c r="AN54" s="143"/>
      <c r="AO54" s="143"/>
      <c r="AP54" s="143">
        <f>SUMIFS(PRESUPUESTO!$G$105:$G$119,PRESUPUESTO!$E$105:$E$119,AP44)</f>
        <v>6335013.8453333331</v>
      </c>
      <c r="AQ54" s="143"/>
      <c r="AR54" s="143"/>
      <c r="AS54" s="143"/>
      <c r="AT54" s="143">
        <f>SUMIFS(PRESUPUESTO!$G$105:$G$119,PRESUPUESTO!$E$105:$E$119,AT44)</f>
        <v>7240015.8232380953</v>
      </c>
      <c r="AU54" s="143"/>
      <c r="AV54" s="143"/>
      <c r="AW54" s="143"/>
      <c r="AX54" s="143">
        <f>SUMIFS(PRESUPUESTO!$G$105:$G$119,PRESUPUESTO!$E$105:$E$119,AX44)</f>
        <v>7240015.8232380953</v>
      </c>
      <c r="AY54" s="143"/>
      <c r="AZ54" s="143"/>
      <c r="BA54" s="143"/>
      <c r="BB54" s="143">
        <f>SUMIFS(PRESUPUESTO!$G$105:$G$119,PRESUPUESTO!$E$105:$E$119,BB44)</f>
        <v>8145017.8011428565</v>
      </c>
      <c r="BC54" s="143"/>
      <c r="BD54" s="143"/>
      <c r="BE54" s="143"/>
      <c r="BF54" s="143">
        <f>SUMIFS(PRESUPUESTO!$G$105:$G$119,PRESUPUESTO!$E$105:$E$119,BF44)</f>
        <v>3649201.5238095238</v>
      </c>
      <c r="BG54" s="143"/>
      <c r="BH54" s="143"/>
      <c r="BI54" s="143"/>
      <c r="BJ54" s="143">
        <f>SUMIFS(PRESUPUESTO!$G$105:$G$119,PRESUPUESTO!$E$105:$E$119,BJ44)</f>
        <v>1810003.9558095238</v>
      </c>
      <c r="BK54" s="143"/>
      <c r="BL54" s="143"/>
      <c r="BM54" s="143"/>
      <c r="BN54" s="143">
        <f>SUMIFS(PRESUPUESTO!$G$105:$G$119,PRESUPUESTO!$E$105:$E$119,BN44)</f>
        <v>8145017.8011428565</v>
      </c>
      <c r="BO54" s="143"/>
      <c r="BP54" s="143"/>
      <c r="BQ54" s="143"/>
      <c r="BR54" s="143">
        <f>SUMIFS(PRESUPUESTO!$G$105:$G$119,PRESUPUESTO!$E$105:$E$119,BR44)</f>
        <v>5430011.867428571</v>
      </c>
      <c r="BS54" s="143"/>
      <c r="BT54" s="143"/>
      <c r="BU54" s="143"/>
      <c r="BV54" s="143">
        <f>SUMIFS(PRESUPUESTO!$G$105:$G$119,PRESUPUESTO!$E$105:$E$119,BV44)</f>
        <v>934195.59009523806</v>
      </c>
      <c r="BW54" s="143"/>
      <c r="BX54" s="143"/>
      <c r="BY54" s="143"/>
      <c r="BZ54" s="143">
        <f>SUMIFS(PRESUPUESTO!$G$105:$G$119,PRESUPUESTO!$E$105:$E$119,BZ44)</f>
        <v>350323.3462857143</v>
      </c>
      <c r="CA54" s="143"/>
      <c r="CB54" s="143"/>
      <c r="CC54" s="143"/>
      <c r="CD54" s="143">
        <f>SUMIFS(PRESUPUESTO!$G$105:$G$119,PRESUPUESTO!$E$105:$E$119,CD44)</f>
        <v>5430011.867428571</v>
      </c>
      <c r="CE54" s="143"/>
      <c r="CF54" s="143"/>
      <c r="CG54" s="143"/>
      <c r="CH54" s="143">
        <f>SUMIFS(PRESUPUESTO!$G$105:$G$119,PRESUPUESTO!$E$105:$E$119,CH44)</f>
        <v>5430011.867428571</v>
      </c>
      <c r="CI54" s="143"/>
      <c r="CJ54" s="143"/>
      <c r="CK54" s="143"/>
      <c r="CL54" s="37">
        <f>SUM(AD54:CK54)</f>
        <v>76633232</v>
      </c>
    </row>
    <row r="55" spans="2:90" x14ac:dyDescent="0.25">
      <c r="B55" s="156" t="s">
        <v>10</v>
      </c>
      <c r="C55" s="156"/>
      <c r="D55" s="156"/>
      <c r="E55" s="156"/>
      <c r="F55" s="156"/>
      <c r="G55" s="156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167">
        <f>AD54-AD53</f>
        <v>1759.2411428571213</v>
      </c>
      <c r="AE55" s="168"/>
      <c r="AF55" s="168"/>
      <c r="AG55" s="169"/>
      <c r="AH55" s="163">
        <f>AH54-AH53</f>
        <v>2113.8453333331272</v>
      </c>
      <c r="AI55" s="163"/>
      <c r="AJ55" s="163"/>
      <c r="AK55" s="163"/>
      <c r="AL55" s="163">
        <f>AL54-AL53</f>
        <v>1217.8011428564787</v>
      </c>
      <c r="AM55" s="163"/>
      <c r="AN55" s="163"/>
      <c r="AO55" s="163"/>
      <c r="AP55" s="163">
        <f t="shared" ref="AP55" si="372">AP54-AP53</f>
        <v>2113.8453333331272</v>
      </c>
      <c r="AQ55" s="163"/>
      <c r="AR55" s="163"/>
      <c r="AS55" s="163"/>
      <c r="AT55" s="163">
        <f>AT54-AT53</f>
        <v>215.82323809526861</v>
      </c>
      <c r="AU55" s="163"/>
      <c r="AV55" s="163"/>
      <c r="AW55" s="163"/>
      <c r="AX55" s="163">
        <f>AX54-AX53</f>
        <v>215.82323809526861</v>
      </c>
      <c r="AY55" s="163"/>
      <c r="AZ55" s="163"/>
      <c r="BA55" s="163"/>
      <c r="BB55" s="163">
        <f>BB54-BB53</f>
        <v>717.80114285647869</v>
      </c>
      <c r="BC55" s="163"/>
      <c r="BD55" s="163"/>
      <c r="BE55" s="163"/>
      <c r="BF55" s="163">
        <f t="shared" ref="BF55" si="373">BF54-BF53</f>
        <v>2601.5238095237873</v>
      </c>
      <c r="BG55" s="163"/>
      <c r="BH55" s="163"/>
      <c r="BI55" s="163"/>
      <c r="BJ55" s="163">
        <f>BJ54-BJ53</f>
        <v>3003.9558095238172</v>
      </c>
      <c r="BK55" s="163"/>
      <c r="BL55" s="163"/>
      <c r="BM55" s="163"/>
      <c r="BN55" s="163">
        <f>BN54-BN53</f>
        <v>2217.8011428564787</v>
      </c>
      <c r="BO55" s="163"/>
      <c r="BP55" s="163"/>
      <c r="BQ55" s="163"/>
      <c r="BR55" s="163">
        <f>BR54-BR53</f>
        <v>311.86742857098579</v>
      </c>
      <c r="BS55" s="163"/>
      <c r="BT55" s="163"/>
      <c r="BU55" s="163"/>
      <c r="BV55" s="163">
        <f t="shared" ref="BV55" si="374">BV54-BV53</f>
        <v>2495.5900952380616</v>
      </c>
      <c r="BW55" s="163"/>
      <c r="BX55" s="163"/>
      <c r="BY55" s="163"/>
      <c r="BZ55" s="163">
        <f>BZ54-BZ53</f>
        <v>223.34628571430221</v>
      </c>
      <c r="CA55" s="163"/>
      <c r="CB55" s="163"/>
      <c r="CC55" s="163"/>
      <c r="CD55" s="163">
        <f>CD54-CD53</f>
        <v>311.86742857098579</v>
      </c>
      <c r="CE55" s="163"/>
      <c r="CF55" s="163"/>
      <c r="CG55" s="163"/>
      <c r="CH55" s="163">
        <f>CH54-CH53</f>
        <v>1111.8674285709858</v>
      </c>
      <c r="CI55" s="163"/>
      <c r="CJ55" s="163"/>
      <c r="CK55" s="163"/>
    </row>
    <row r="57" spans="2:90" x14ac:dyDescent="0.25">
      <c r="B57" s="159" t="s">
        <v>47</v>
      </c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59"/>
      <c r="AE57" s="160"/>
      <c r="AF57" s="160"/>
      <c r="AG57" s="160"/>
      <c r="AH57" s="160"/>
      <c r="AI57" s="160"/>
      <c r="AJ57" s="160"/>
      <c r="AK57" s="160"/>
      <c r="AL57" s="160"/>
      <c r="AM57" s="160"/>
      <c r="AN57" s="160"/>
      <c r="AO57" s="160"/>
      <c r="AP57" s="160"/>
      <c r="AQ57" s="159"/>
      <c r="AR57" s="160"/>
      <c r="AS57" s="160"/>
      <c r="AT57" s="160"/>
      <c r="AU57" s="160"/>
      <c r="AV57" s="160"/>
      <c r="AW57" s="160"/>
      <c r="AX57" s="160"/>
      <c r="AY57" s="160"/>
      <c r="AZ57" s="160"/>
      <c r="BA57" s="160"/>
      <c r="BB57" s="160"/>
      <c r="BC57" s="160"/>
      <c r="BD57" s="159"/>
      <c r="BE57" s="160"/>
      <c r="BF57" s="160"/>
      <c r="BG57" s="160"/>
      <c r="BH57" s="160"/>
      <c r="BI57" s="160"/>
      <c r="BJ57" s="160"/>
      <c r="BK57" s="160"/>
      <c r="BL57" s="160"/>
      <c r="BM57" s="160"/>
      <c r="BN57" s="160"/>
      <c r="BO57" s="160"/>
      <c r="BP57" s="160"/>
      <c r="BQ57" s="159"/>
      <c r="BR57" s="160"/>
      <c r="BS57" s="160"/>
      <c r="BT57" s="160"/>
      <c r="BU57" s="160"/>
      <c r="BV57" s="160"/>
      <c r="BW57" s="160"/>
      <c r="BX57" s="160"/>
      <c r="BY57" s="160"/>
      <c r="BZ57" s="160"/>
      <c r="CA57" s="160"/>
      <c r="CB57" s="160"/>
      <c r="CC57" s="160"/>
      <c r="CD57" s="159"/>
      <c r="CE57" s="160"/>
      <c r="CF57" s="160"/>
      <c r="CG57" s="160"/>
      <c r="CH57" s="160"/>
      <c r="CI57" s="160"/>
      <c r="CJ57" s="160"/>
      <c r="CK57" s="160"/>
    </row>
    <row r="58" spans="2:90" ht="28.5" customHeight="1" x14ac:dyDescent="0.25">
      <c r="B58" s="158" t="str">
        <f>'PLAN DE NECESIDADES'!B47</f>
        <v>ÍTEM</v>
      </c>
      <c r="C58" s="158" t="str">
        <f>'PLAN DE NECESIDADES'!C47</f>
        <v>CÓDIGO DANE</v>
      </c>
      <c r="D58" s="158" t="str">
        <f>'PLAN DE NECESIDADES'!D47</f>
        <v xml:space="preserve">DESCRIPCIÓN DEL BIEN Y/O SERVICIO </v>
      </c>
      <c r="E58" s="158" t="str">
        <f>'PLAN DE NECESIDADES'!E47</f>
        <v>UNIDAD MEDIDA</v>
      </c>
      <c r="F58" s="158" t="str">
        <f>'PLAN DE NECESIDADES'!F47</f>
        <v>EXISTENCIAS (STOCK - INVENTARIOS)</v>
      </c>
      <c r="G58" s="158" t="str">
        <f>'PLAN DE NECESIDADES'!H47</f>
        <v>UNSPSC (CCE)</v>
      </c>
      <c r="H58" s="158" t="str">
        <f>'PLAN DE NECESIDADES'!I47</f>
        <v xml:space="preserve">CÓDIGO MATERIAL SAP </v>
      </c>
      <c r="I58" s="158" t="str">
        <f>'PLAN DE NECESIDADES'!J47</f>
        <v xml:space="preserve">CÓDIGO OTAN - NOC </v>
      </c>
      <c r="J58" s="161" t="s">
        <v>155</v>
      </c>
      <c r="K58" s="139" t="str">
        <f>AD58</f>
        <v>BAABS3</v>
      </c>
      <c r="L58" s="139" t="str">
        <f>AH58</f>
        <v>BAACA10</v>
      </c>
      <c r="M58" s="139" t="str">
        <f>AL58</f>
        <v>BAACA2</v>
      </c>
      <c r="N58" s="139" t="str">
        <f>AP58</f>
        <v>BAADA1</v>
      </c>
      <c r="O58" s="139" t="str">
        <f>AT58</f>
        <v>BAEEV2</v>
      </c>
      <c r="P58" s="139" t="str">
        <f>AX58</f>
        <v>BAEEV3</v>
      </c>
      <c r="Q58" s="139" t="str">
        <f>BB58</f>
        <v>BAMMA7</v>
      </c>
      <c r="R58" s="139" t="str">
        <f>BF58</f>
        <v>BASPC10</v>
      </c>
      <c r="S58" s="139" t="str">
        <f>BJ58</f>
        <v>BASAC</v>
      </c>
      <c r="T58" s="139" t="str">
        <f>BN58</f>
        <v>BICAR</v>
      </c>
      <c r="U58" s="139" t="str">
        <f>BR58</f>
        <v>BIMOC70</v>
      </c>
      <c r="V58" s="139" t="str">
        <f>BV58</f>
        <v>BITER10</v>
      </c>
      <c r="W58" s="139" t="str">
        <f>BZ58</f>
        <v>DIM15</v>
      </c>
      <c r="X58" s="139" t="str">
        <f>CD58</f>
        <v>GMMAT</v>
      </c>
      <c r="Y58" s="139" t="str">
        <f>CH58</f>
        <v>GMRON</v>
      </c>
      <c r="Z58" s="141" t="s">
        <v>13</v>
      </c>
      <c r="AA58" s="157" t="s">
        <v>14</v>
      </c>
      <c r="AB58" s="157" t="s">
        <v>12</v>
      </c>
      <c r="AC58" s="157" t="s">
        <v>4</v>
      </c>
      <c r="AD58" s="144" t="s">
        <v>29</v>
      </c>
      <c r="AE58" s="145"/>
      <c r="AF58" s="145"/>
      <c r="AG58" s="146"/>
      <c r="AH58" s="147" t="s">
        <v>30</v>
      </c>
      <c r="AI58" s="148"/>
      <c r="AJ58" s="148"/>
      <c r="AK58" s="149"/>
      <c r="AL58" s="150" t="s">
        <v>31</v>
      </c>
      <c r="AM58" s="151"/>
      <c r="AN58" s="151"/>
      <c r="AO58" s="152"/>
      <c r="AP58" s="153" t="s">
        <v>32</v>
      </c>
      <c r="AQ58" s="154"/>
      <c r="AR58" s="154"/>
      <c r="AS58" s="155"/>
      <c r="AT58" s="144" t="s">
        <v>27</v>
      </c>
      <c r="AU58" s="145"/>
      <c r="AV58" s="145"/>
      <c r="AW58" s="146"/>
      <c r="AX58" s="147" t="s">
        <v>33</v>
      </c>
      <c r="AY58" s="148"/>
      <c r="AZ58" s="148"/>
      <c r="BA58" s="149"/>
      <c r="BB58" s="150" t="s">
        <v>66</v>
      </c>
      <c r="BC58" s="151"/>
      <c r="BD58" s="151"/>
      <c r="BE58" s="152"/>
      <c r="BF58" s="153" t="s">
        <v>67</v>
      </c>
      <c r="BG58" s="154"/>
      <c r="BH58" s="154"/>
      <c r="BI58" s="155"/>
      <c r="BJ58" s="144" t="s">
        <v>34</v>
      </c>
      <c r="BK58" s="145"/>
      <c r="BL58" s="145"/>
      <c r="BM58" s="146"/>
      <c r="BN58" s="147" t="s">
        <v>35</v>
      </c>
      <c r="BO58" s="148"/>
      <c r="BP58" s="148"/>
      <c r="BQ58" s="149"/>
      <c r="BR58" s="150" t="s">
        <v>68</v>
      </c>
      <c r="BS58" s="151"/>
      <c r="BT58" s="151"/>
      <c r="BU58" s="152"/>
      <c r="BV58" s="153" t="s">
        <v>36</v>
      </c>
      <c r="BW58" s="154"/>
      <c r="BX58" s="154"/>
      <c r="BY58" s="155"/>
      <c r="BZ58" s="144" t="s">
        <v>37</v>
      </c>
      <c r="CA58" s="145"/>
      <c r="CB58" s="145"/>
      <c r="CC58" s="146"/>
      <c r="CD58" s="147" t="s">
        <v>69</v>
      </c>
      <c r="CE58" s="148"/>
      <c r="CF58" s="148"/>
      <c r="CG58" s="149"/>
      <c r="CH58" s="150" t="s">
        <v>38</v>
      </c>
      <c r="CI58" s="151"/>
      <c r="CJ58" s="151"/>
      <c r="CK58" s="152"/>
    </row>
    <row r="59" spans="2:90" ht="28.5" customHeight="1" x14ac:dyDescent="0.25">
      <c r="B59" s="158"/>
      <c r="C59" s="158"/>
      <c r="D59" s="158"/>
      <c r="E59" s="158"/>
      <c r="F59" s="158"/>
      <c r="G59" s="158"/>
      <c r="H59" s="158"/>
      <c r="I59" s="158"/>
      <c r="J59" s="162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2"/>
      <c r="AA59" s="157"/>
      <c r="AB59" s="157"/>
      <c r="AC59" s="157"/>
      <c r="AD59" s="20" t="s">
        <v>15</v>
      </c>
      <c r="AE59" s="21" t="s">
        <v>16</v>
      </c>
      <c r="AF59" s="22" t="s">
        <v>17</v>
      </c>
      <c r="AG59" s="20" t="s">
        <v>20</v>
      </c>
      <c r="AH59" s="3" t="s">
        <v>15</v>
      </c>
      <c r="AI59" s="4" t="s">
        <v>16</v>
      </c>
      <c r="AJ59" s="5" t="s">
        <v>17</v>
      </c>
      <c r="AK59" s="3" t="s">
        <v>20</v>
      </c>
      <c r="AL59" s="53" t="s">
        <v>15</v>
      </c>
      <c r="AM59" s="23" t="s">
        <v>16</v>
      </c>
      <c r="AN59" s="24" t="s">
        <v>17</v>
      </c>
      <c r="AO59" s="53" t="s">
        <v>20</v>
      </c>
      <c r="AP59" s="25" t="s">
        <v>15</v>
      </c>
      <c r="AQ59" s="26" t="s">
        <v>16</v>
      </c>
      <c r="AR59" s="27" t="s">
        <v>17</v>
      </c>
      <c r="AS59" s="25" t="s">
        <v>20</v>
      </c>
      <c r="AT59" s="20" t="s">
        <v>15</v>
      </c>
      <c r="AU59" s="21" t="s">
        <v>16</v>
      </c>
      <c r="AV59" s="22" t="s">
        <v>17</v>
      </c>
      <c r="AW59" s="20" t="s">
        <v>20</v>
      </c>
      <c r="AX59" s="3" t="s">
        <v>15</v>
      </c>
      <c r="AY59" s="4" t="s">
        <v>16</v>
      </c>
      <c r="AZ59" s="5" t="s">
        <v>17</v>
      </c>
      <c r="BA59" s="3" t="s">
        <v>20</v>
      </c>
      <c r="BB59" s="53" t="s">
        <v>15</v>
      </c>
      <c r="BC59" s="23" t="s">
        <v>16</v>
      </c>
      <c r="BD59" s="24" t="s">
        <v>17</v>
      </c>
      <c r="BE59" s="53" t="s">
        <v>20</v>
      </c>
      <c r="BF59" s="25" t="s">
        <v>15</v>
      </c>
      <c r="BG59" s="26" t="s">
        <v>16</v>
      </c>
      <c r="BH59" s="27" t="s">
        <v>17</v>
      </c>
      <c r="BI59" s="25" t="s">
        <v>20</v>
      </c>
      <c r="BJ59" s="20" t="s">
        <v>15</v>
      </c>
      <c r="BK59" s="21" t="s">
        <v>16</v>
      </c>
      <c r="BL59" s="22" t="s">
        <v>17</v>
      </c>
      <c r="BM59" s="20" t="s">
        <v>20</v>
      </c>
      <c r="BN59" s="3" t="s">
        <v>15</v>
      </c>
      <c r="BO59" s="4" t="s">
        <v>16</v>
      </c>
      <c r="BP59" s="5" t="s">
        <v>17</v>
      </c>
      <c r="BQ59" s="3" t="s">
        <v>20</v>
      </c>
      <c r="BR59" s="53" t="s">
        <v>15</v>
      </c>
      <c r="BS59" s="23" t="s">
        <v>16</v>
      </c>
      <c r="BT59" s="24" t="s">
        <v>17</v>
      </c>
      <c r="BU59" s="53" t="s">
        <v>20</v>
      </c>
      <c r="BV59" s="25" t="s">
        <v>15</v>
      </c>
      <c r="BW59" s="26" t="s">
        <v>16</v>
      </c>
      <c r="BX59" s="27" t="s">
        <v>17</v>
      </c>
      <c r="BY59" s="25" t="s">
        <v>20</v>
      </c>
      <c r="BZ59" s="20" t="s">
        <v>15</v>
      </c>
      <c r="CA59" s="21" t="s">
        <v>16</v>
      </c>
      <c r="CB59" s="22" t="s">
        <v>17</v>
      </c>
      <c r="CC59" s="20" t="s">
        <v>20</v>
      </c>
      <c r="CD59" s="3" t="s">
        <v>15</v>
      </c>
      <c r="CE59" s="4" t="s">
        <v>16</v>
      </c>
      <c r="CF59" s="5" t="s">
        <v>17</v>
      </c>
      <c r="CG59" s="3" t="s">
        <v>20</v>
      </c>
      <c r="CH59" s="53" t="s">
        <v>15</v>
      </c>
      <c r="CI59" s="23" t="s">
        <v>16</v>
      </c>
      <c r="CJ59" s="24" t="s">
        <v>17</v>
      </c>
      <c r="CK59" s="53" t="s">
        <v>20</v>
      </c>
    </row>
    <row r="60" spans="2:90" x14ac:dyDescent="0.25">
      <c r="B60" s="7">
        <f>'PLAN DE NECESIDADES'!B48</f>
        <v>28</v>
      </c>
      <c r="C60" s="7">
        <f>'PLAN DE NECESIDADES'!C48</f>
        <v>3699056</v>
      </c>
      <c r="D60" s="62" t="str">
        <f>'PLAN DE NECESIDADES'!D48</f>
        <v>PROTECTORES  AUDITIVOS: 
DEBEN SER PRES MOLDEADOS DE TIPO TAPÓN, SE DEBEN AJUSTAR AL CANAL AUDITIVO DE CASI TODAS LAS PERSONAS. DEBEN LLEVAR TRIPLE REBORDE CON DISEÑO DE FÁCIL INSERCIÓN: ESPECIFICACIONES SEGÚN NORMA TÉCNICA NO. NTMD-0356 A2 ÍTEM  3.1.1.1</v>
      </c>
      <c r="E60" s="7" t="str">
        <f>'PLAN DE NECESIDADES'!E48</f>
        <v>UNIDAD</v>
      </c>
      <c r="F60" s="7">
        <f>'PLAN DE NECESIDADES'!F48</f>
        <v>0</v>
      </c>
      <c r="G60" s="7">
        <f>'PLAN DE NECESIDADES'!H48</f>
        <v>46181902</v>
      </c>
      <c r="H60" s="7">
        <f>'PLAN DE NECESIDADES'!I48</f>
        <v>1447319</v>
      </c>
      <c r="I60" s="7" t="str">
        <f>'PLAN DE NECESIDADES'!J48</f>
        <v>6515-80-0011408</v>
      </c>
      <c r="J60" s="7">
        <v>1</v>
      </c>
      <c r="K60" s="87">
        <v>69</v>
      </c>
      <c r="L60" s="87">
        <v>217</v>
      </c>
      <c r="M60" s="87">
        <v>279</v>
      </c>
      <c r="N60" s="87">
        <v>217</v>
      </c>
      <c r="O60" s="87">
        <v>248</v>
      </c>
      <c r="P60" s="87">
        <v>248</v>
      </c>
      <c r="Q60" s="87">
        <v>279</v>
      </c>
      <c r="R60" s="87">
        <v>125</v>
      </c>
      <c r="S60" s="87">
        <v>62</v>
      </c>
      <c r="T60" s="87">
        <v>279</v>
      </c>
      <c r="U60" s="87">
        <v>186</v>
      </c>
      <c r="V60" s="87">
        <v>32</v>
      </c>
      <c r="W60" s="87">
        <v>12</v>
      </c>
      <c r="X60" s="87">
        <v>186</v>
      </c>
      <c r="Y60" s="87">
        <v>186</v>
      </c>
      <c r="Z60" s="87">
        <f t="shared" ref="Z60:Z62" si="375">SUM(AD60,AH60,AL60,AP60,AT60,AX60,BB60,BF60,BJ60,BN60,BR60,BV60,BZ60,CD60,CH60)</f>
        <v>2656</v>
      </c>
      <c r="AA60" s="7">
        <f t="shared" ref="AA60:AA62" si="376">SUM(AE60,AI60,AM60,AQ60,AU60,AY60,BC60,BG60,BK60,BO60,BS60,BW60,CA60,CE60,CI60)</f>
        <v>1805</v>
      </c>
      <c r="AB60" s="7">
        <f t="shared" ref="AB60:AB62" si="377">SUM(AF60,AJ60,AN60,AR60,AV60,AZ60,BD60,BH60,BL60,BP60,BT60,BX60,CB60,CF60,CJ60)</f>
        <v>851</v>
      </c>
      <c r="AC60" s="12">
        <v>2500</v>
      </c>
      <c r="AD60" s="7">
        <f t="shared" ref="AD60:AD62" si="378">K60*J60</f>
        <v>69</v>
      </c>
      <c r="AE60" s="7">
        <f>J60*47</f>
        <v>47</v>
      </c>
      <c r="AF60" s="8">
        <f t="shared" ref="AF60:AF62" si="379">AD60-AE60</f>
        <v>22</v>
      </c>
      <c r="AG60" s="14">
        <f t="shared" ref="AG60:AG62" si="380">AC60*AE60</f>
        <v>117500</v>
      </c>
      <c r="AH60" s="7">
        <f t="shared" ref="AH60:AH62" si="381">L60*J60</f>
        <v>217</v>
      </c>
      <c r="AI60" s="7">
        <f>J60*149</f>
        <v>149</v>
      </c>
      <c r="AJ60" s="8">
        <f t="shared" ref="AJ60:AJ62" si="382">AH60-AI60</f>
        <v>68</v>
      </c>
      <c r="AK60" s="14">
        <f t="shared" ref="AK60:AK62" si="383">AC60*AI60</f>
        <v>372500</v>
      </c>
      <c r="AL60" s="7">
        <f t="shared" ref="AL60:AL62" si="384">M60*J60</f>
        <v>279</v>
      </c>
      <c r="AM60" s="7">
        <f>J60*192</f>
        <v>192</v>
      </c>
      <c r="AN60" s="8">
        <f t="shared" ref="AN60:AN62" si="385">AL60-AM60</f>
        <v>87</v>
      </c>
      <c r="AO60" s="14">
        <f t="shared" ref="AO60:AO62" si="386">AC60*AM60</f>
        <v>480000</v>
      </c>
      <c r="AP60" s="7">
        <f t="shared" ref="AP60:AP62" si="387">N60*J60</f>
        <v>217</v>
      </c>
      <c r="AQ60" s="7">
        <f>J60*149</f>
        <v>149</v>
      </c>
      <c r="AR60" s="8">
        <f t="shared" ref="AR60:AR62" si="388">AP60-AQ60</f>
        <v>68</v>
      </c>
      <c r="AS60" s="14">
        <f t="shared" ref="AS60:AS62" si="389">AC60*AQ60</f>
        <v>372500</v>
      </c>
      <c r="AT60" s="7">
        <f t="shared" ref="AT60:AT62" si="390">M60*J60</f>
        <v>279</v>
      </c>
      <c r="AU60" s="7">
        <f>J60*171</f>
        <v>171</v>
      </c>
      <c r="AV60" s="8">
        <f t="shared" ref="AV60:AV62" si="391">AT60-AU60</f>
        <v>108</v>
      </c>
      <c r="AW60" s="14">
        <f t="shared" ref="AW60:AW62" si="392">AU60*AC60</f>
        <v>427500</v>
      </c>
      <c r="AX60" s="7">
        <f>P60*J60</f>
        <v>248</v>
      </c>
      <c r="AY60" s="7">
        <f>J60*171</f>
        <v>171</v>
      </c>
      <c r="AZ60" s="8">
        <f t="shared" ref="AZ60" si="393">AX60-AY60</f>
        <v>77</v>
      </c>
      <c r="BA60" s="14">
        <f>AC60*AY60</f>
        <v>427500</v>
      </c>
      <c r="BB60" s="7">
        <f t="shared" ref="BB60" si="394">Q60*J60</f>
        <v>279</v>
      </c>
      <c r="BC60" s="7">
        <f>J60*192</f>
        <v>192</v>
      </c>
      <c r="BD60" s="8">
        <f t="shared" ref="BD60" si="395">BB60-BC60</f>
        <v>87</v>
      </c>
      <c r="BE60" s="14">
        <f t="shared" ref="BE60" si="396">BC60*AC60</f>
        <v>480000</v>
      </c>
      <c r="BF60" s="7">
        <f>R60*J60</f>
        <v>125</v>
      </c>
      <c r="BG60" s="7">
        <f>J60*86</f>
        <v>86</v>
      </c>
      <c r="BH60" s="8">
        <f t="shared" ref="BH60" si="397">BF60-BG60</f>
        <v>39</v>
      </c>
      <c r="BI60" s="14">
        <f t="shared" ref="BI60" si="398">BG60*AC60</f>
        <v>215000</v>
      </c>
      <c r="BJ60" s="7">
        <f t="shared" ref="BJ60:BJ62" si="399">S60*J60</f>
        <v>62</v>
      </c>
      <c r="BK60" s="7">
        <f>J60*42</f>
        <v>42</v>
      </c>
      <c r="BL60" s="8">
        <f t="shared" ref="BL60:BL62" si="400">BJ60-BK60</f>
        <v>20</v>
      </c>
      <c r="BM60" s="14">
        <f t="shared" ref="BM60:BM62" si="401">BK60*AC60</f>
        <v>105000</v>
      </c>
      <c r="BN60" s="7">
        <f t="shared" ref="BN60:BN62" si="402">T60*J60</f>
        <v>279</v>
      </c>
      <c r="BO60" s="7">
        <f>J60*192</f>
        <v>192</v>
      </c>
      <c r="BP60" s="8">
        <f t="shared" ref="BP60:BP62" si="403">BN60-BO60</f>
        <v>87</v>
      </c>
      <c r="BQ60" s="14">
        <f t="shared" ref="BQ60:BQ62" si="404">BO60*AC60</f>
        <v>480000</v>
      </c>
      <c r="BR60" s="7">
        <f t="shared" ref="BR60:BR62" si="405">U60*J60</f>
        <v>186</v>
      </c>
      <c r="BS60" s="7">
        <f>J60*128</f>
        <v>128</v>
      </c>
      <c r="BT60" s="8">
        <f t="shared" ref="BT60:BT62" si="406">BR60-BS60</f>
        <v>58</v>
      </c>
      <c r="BU60" s="14">
        <f t="shared" ref="BU60:BU62" si="407">BS60*AC60</f>
        <v>320000</v>
      </c>
      <c r="BV60" s="7">
        <f t="shared" ref="BV60:BV62" si="408">V60*J60</f>
        <v>32</v>
      </c>
      <c r="BW60" s="7">
        <f>J60*22</f>
        <v>22</v>
      </c>
      <c r="BX60" s="8">
        <f t="shared" ref="BX60:BX62" si="409">BV60-BW60</f>
        <v>10</v>
      </c>
      <c r="BY60" s="14">
        <f t="shared" ref="BY60:BY62" si="410">BW60*AC60</f>
        <v>55000</v>
      </c>
      <c r="BZ60" s="7">
        <f t="shared" ref="BZ60:BZ62" si="411">W60*J60</f>
        <v>12</v>
      </c>
      <c r="CA60" s="7">
        <f>J60*8</f>
        <v>8</v>
      </c>
      <c r="CB60" s="8">
        <f t="shared" ref="CB60:CB62" si="412">BZ60-CA60</f>
        <v>4</v>
      </c>
      <c r="CC60" s="14">
        <f t="shared" ref="CC60:CC62" si="413">CA60*AC60</f>
        <v>20000</v>
      </c>
      <c r="CD60" s="7">
        <f t="shared" ref="CD60:CD62" si="414">X60*J60</f>
        <v>186</v>
      </c>
      <c r="CE60" s="7">
        <f>J60*128</f>
        <v>128</v>
      </c>
      <c r="CF60" s="8">
        <f t="shared" ref="CF60:CF62" si="415">CD60-CE60</f>
        <v>58</v>
      </c>
      <c r="CG60" s="14">
        <f t="shared" ref="CG60:CG62" si="416">CE60*AC60</f>
        <v>320000</v>
      </c>
      <c r="CH60" s="7">
        <f t="shared" ref="CH60:CH62" si="417">Y60*J60</f>
        <v>186</v>
      </c>
      <c r="CI60" s="7">
        <f>J60*128</f>
        <v>128</v>
      </c>
      <c r="CJ60" s="8">
        <f t="shared" ref="CJ60:CJ62" si="418">CH60-CI60</f>
        <v>58</v>
      </c>
      <c r="CK60" s="14">
        <f t="shared" ref="CK60:CK62" si="419">CI60*AC60</f>
        <v>320000</v>
      </c>
    </row>
    <row r="61" spans="2:90" x14ac:dyDescent="0.25">
      <c r="B61" s="7">
        <f>'PLAN DE NECESIDADES'!B49</f>
        <v>29</v>
      </c>
      <c r="C61" s="7">
        <f>'PLAN DE NECESIDADES'!C49</f>
        <v>3694006</v>
      </c>
      <c r="D61" s="62" t="str">
        <f>'PLAN DE NECESIDADES'!D49</f>
        <v>JABONERA: 
PLÁSTICA CAPACIDAD JABÓN 130 GRAMOS ESPECIFICACIONES SEGÚN NORMA TÉCNICA NO. NTMD-0356 A2 ÍTEM  3.1.1.9</v>
      </c>
      <c r="E61" s="7" t="str">
        <f>'PLAN DE NECESIDADES'!E49</f>
        <v>UNIDAD</v>
      </c>
      <c r="F61" s="7">
        <f>'PLAN DE NECESIDADES'!F49</f>
        <v>0</v>
      </c>
      <c r="G61" s="7">
        <f>'PLAN DE NECESIDADES'!H49</f>
        <v>30181601</v>
      </c>
      <c r="H61" s="7">
        <f>'PLAN DE NECESIDADES'!I49</f>
        <v>1082381</v>
      </c>
      <c r="I61" s="7" t="str">
        <f>'PLAN DE NECESIDADES'!J49</f>
        <v>8530-80-0011402</v>
      </c>
      <c r="J61" s="7">
        <v>1</v>
      </c>
      <c r="K61" s="87">
        <v>69</v>
      </c>
      <c r="L61" s="87">
        <v>217</v>
      </c>
      <c r="M61" s="87">
        <v>279</v>
      </c>
      <c r="N61" s="87">
        <v>217</v>
      </c>
      <c r="O61" s="87">
        <v>248</v>
      </c>
      <c r="P61" s="87">
        <v>248</v>
      </c>
      <c r="Q61" s="87">
        <v>279</v>
      </c>
      <c r="R61" s="87">
        <v>125</v>
      </c>
      <c r="S61" s="87">
        <v>62</v>
      </c>
      <c r="T61" s="87">
        <v>279</v>
      </c>
      <c r="U61" s="87">
        <v>186</v>
      </c>
      <c r="V61" s="87">
        <v>32</v>
      </c>
      <c r="W61" s="87">
        <v>12</v>
      </c>
      <c r="X61" s="87">
        <v>186</v>
      </c>
      <c r="Y61" s="87">
        <v>186</v>
      </c>
      <c r="Z61" s="87">
        <f t="shared" si="375"/>
        <v>2656</v>
      </c>
      <c r="AA61" s="7">
        <f t="shared" si="376"/>
        <v>1812</v>
      </c>
      <c r="AB61" s="7">
        <f t="shared" si="377"/>
        <v>844</v>
      </c>
      <c r="AC61" s="12">
        <v>1800</v>
      </c>
      <c r="AD61" s="7">
        <f t="shared" si="378"/>
        <v>69</v>
      </c>
      <c r="AE61" s="7">
        <f>J61*48</f>
        <v>48</v>
      </c>
      <c r="AF61" s="8">
        <f t="shared" si="379"/>
        <v>21</v>
      </c>
      <c r="AG61" s="14">
        <f t="shared" si="380"/>
        <v>86400</v>
      </c>
      <c r="AH61" s="7">
        <f t="shared" si="381"/>
        <v>217</v>
      </c>
      <c r="AI61" s="7">
        <f t="shared" ref="AI61:AI62" si="420">J61*150</f>
        <v>150</v>
      </c>
      <c r="AJ61" s="8">
        <f t="shared" si="382"/>
        <v>67</v>
      </c>
      <c r="AK61" s="14">
        <f t="shared" si="383"/>
        <v>270000</v>
      </c>
      <c r="AL61" s="7">
        <f t="shared" si="384"/>
        <v>279</v>
      </c>
      <c r="AM61" s="7">
        <f>J61*193</f>
        <v>193</v>
      </c>
      <c r="AN61" s="8">
        <f t="shared" si="385"/>
        <v>86</v>
      </c>
      <c r="AO61" s="14">
        <f t="shared" si="386"/>
        <v>347400</v>
      </c>
      <c r="AP61" s="7">
        <f t="shared" si="387"/>
        <v>217</v>
      </c>
      <c r="AQ61" s="7">
        <f t="shared" ref="AQ61:AQ62" si="421">J61*150</f>
        <v>150</v>
      </c>
      <c r="AR61" s="8">
        <f t="shared" si="388"/>
        <v>67</v>
      </c>
      <c r="AS61" s="14">
        <f t="shared" si="389"/>
        <v>270000</v>
      </c>
      <c r="AT61" s="7">
        <f t="shared" si="390"/>
        <v>279</v>
      </c>
      <c r="AU61" s="7">
        <f t="shared" ref="AU61" si="422">J61*171</f>
        <v>171</v>
      </c>
      <c r="AV61" s="8">
        <f t="shared" si="391"/>
        <v>108</v>
      </c>
      <c r="AW61" s="14">
        <f t="shared" si="392"/>
        <v>307800</v>
      </c>
      <c r="AX61" s="7">
        <f t="shared" ref="AX61:AX62" si="423">P61*J61</f>
        <v>248</v>
      </c>
      <c r="AY61" s="7">
        <f t="shared" ref="AY61" si="424">J61*171</f>
        <v>171</v>
      </c>
      <c r="AZ61" s="8">
        <f t="shared" ref="AZ61:AZ62" si="425">AX61-AY61</f>
        <v>77</v>
      </c>
      <c r="BA61" s="14">
        <f t="shared" ref="BA61:BA62" si="426">AC61*AY61</f>
        <v>307800</v>
      </c>
      <c r="BB61" s="7">
        <f t="shared" ref="BB61:BB62" si="427">Q61*J61</f>
        <v>279</v>
      </c>
      <c r="BC61" s="7">
        <f>J61*193</f>
        <v>193</v>
      </c>
      <c r="BD61" s="8">
        <f t="shared" ref="BD61:BD62" si="428">BB61-BC61</f>
        <v>86</v>
      </c>
      <c r="BE61" s="14">
        <f t="shared" ref="BE61:BE62" si="429">BC61*AC61</f>
        <v>347400</v>
      </c>
      <c r="BF61" s="7">
        <f t="shared" ref="BF61:BF62" si="430">R61*J61</f>
        <v>125</v>
      </c>
      <c r="BG61" s="7">
        <f t="shared" ref="BG61:BG62" si="431">J61*86</f>
        <v>86</v>
      </c>
      <c r="BH61" s="8">
        <f t="shared" ref="BH61:BH62" si="432">BF61-BG61</f>
        <v>39</v>
      </c>
      <c r="BI61" s="14">
        <f t="shared" ref="BI61:BI62" si="433">BG61*AC61</f>
        <v>154800</v>
      </c>
      <c r="BJ61" s="7">
        <f t="shared" si="399"/>
        <v>62</v>
      </c>
      <c r="BK61" s="7">
        <f>J61*43</f>
        <v>43</v>
      </c>
      <c r="BL61" s="8">
        <f t="shared" si="400"/>
        <v>19</v>
      </c>
      <c r="BM61" s="14">
        <f t="shared" si="401"/>
        <v>77400</v>
      </c>
      <c r="BN61" s="7">
        <f t="shared" si="402"/>
        <v>279</v>
      </c>
      <c r="BO61" s="7">
        <f>J61*193</f>
        <v>193</v>
      </c>
      <c r="BP61" s="8">
        <f t="shared" si="403"/>
        <v>86</v>
      </c>
      <c r="BQ61" s="14">
        <f t="shared" si="404"/>
        <v>347400</v>
      </c>
      <c r="BR61" s="7">
        <f t="shared" si="405"/>
        <v>186</v>
      </c>
      <c r="BS61" s="7">
        <f t="shared" ref="BS61:BS62" si="434">J61*128</f>
        <v>128</v>
      </c>
      <c r="BT61" s="8">
        <f t="shared" si="406"/>
        <v>58</v>
      </c>
      <c r="BU61" s="14">
        <f t="shared" si="407"/>
        <v>230400</v>
      </c>
      <c r="BV61" s="7">
        <f t="shared" si="408"/>
        <v>32</v>
      </c>
      <c r="BW61" s="7">
        <f t="shared" ref="BW61:BW62" si="435">J61*22</f>
        <v>22</v>
      </c>
      <c r="BX61" s="8">
        <f t="shared" si="409"/>
        <v>10</v>
      </c>
      <c r="BY61" s="14">
        <f t="shared" si="410"/>
        <v>39600</v>
      </c>
      <c r="BZ61" s="7">
        <f t="shared" si="411"/>
        <v>12</v>
      </c>
      <c r="CA61" s="7">
        <f>J61*8</f>
        <v>8</v>
      </c>
      <c r="CB61" s="8">
        <f t="shared" si="412"/>
        <v>4</v>
      </c>
      <c r="CC61" s="14">
        <f t="shared" si="413"/>
        <v>14400</v>
      </c>
      <c r="CD61" s="7">
        <f t="shared" si="414"/>
        <v>186</v>
      </c>
      <c r="CE61" s="7">
        <f t="shared" ref="CE61:CE62" si="436">J61*128</f>
        <v>128</v>
      </c>
      <c r="CF61" s="8">
        <f t="shared" si="415"/>
        <v>58</v>
      </c>
      <c r="CG61" s="14">
        <f t="shared" si="416"/>
        <v>230400</v>
      </c>
      <c r="CH61" s="7">
        <f t="shared" si="417"/>
        <v>186</v>
      </c>
      <c r="CI61" s="7">
        <f t="shared" ref="CI61:CI62" si="437">J61*128</f>
        <v>128</v>
      </c>
      <c r="CJ61" s="8">
        <f t="shared" si="418"/>
        <v>58</v>
      </c>
      <c r="CK61" s="14">
        <f t="shared" si="419"/>
        <v>230400</v>
      </c>
    </row>
    <row r="62" spans="2:90" x14ac:dyDescent="0.25">
      <c r="B62" s="7">
        <f>'PLAN DE NECESIDADES'!B50</f>
        <v>30</v>
      </c>
      <c r="C62" s="7">
        <f>'PLAN DE NECESIDADES'!C50</f>
        <v>3649006</v>
      </c>
      <c r="D62" s="62" t="str">
        <f>'PLAN DE NECESIDADES'!D50</f>
        <v>PORTA CEPILLO DE DIENTES: ELABORADO EN PLÁSTICO ESPECIFICACIONES SEGÚN NORMA TÉCNICA NO. NTMD-0356 A2 ÍTEM  3.1.1.11</v>
      </c>
      <c r="E62" s="7" t="str">
        <f>'PLAN DE NECESIDADES'!E50</f>
        <v>UNIDAD</v>
      </c>
      <c r="F62" s="7">
        <f>'PLAN DE NECESIDADES'!F50</f>
        <v>0</v>
      </c>
      <c r="G62" s="7">
        <f>'PLAN DE NECESIDADES'!H50</f>
        <v>53121800</v>
      </c>
      <c r="H62" s="7">
        <f>'PLAN DE NECESIDADES'!I50</f>
        <v>1330024</v>
      </c>
      <c r="I62" s="7" t="str">
        <f>'PLAN DE NECESIDADES'!J50</f>
        <v>4510-80-0011407</v>
      </c>
      <c r="J62" s="7">
        <v>1</v>
      </c>
      <c r="K62" s="87">
        <v>69</v>
      </c>
      <c r="L62" s="87">
        <v>217</v>
      </c>
      <c r="M62" s="87">
        <v>279</v>
      </c>
      <c r="N62" s="87">
        <v>217</v>
      </c>
      <c r="O62" s="87">
        <v>248</v>
      </c>
      <c r="P62" s="87">
        <v>248</v>
      </c>
      <c r="Q62" s="87">
        <v>279</v>
      </c>
      <c r="R62" s="87">
        <v>125</v>
      </c>
      <c r="S62" s="87">
        <v>62</v>
      </c>
      <c r="T62" s="87">
        <v>279</v>
      </c>
      <c r="U62" s="87">
        <v>186</v>
      </c>
      <c r="V62" s="87">
        <v>32</v>
      </c>
      <c r="W62" s="87">
        <v>12</v>
      </c>
      <c r="X62" s="87">
        <v>186</v>
      </c>
      <c r="Y62" s="87">
        <v>186</v>
      </c>
      <c r="Z62" s="87">
        <f t="shared" si="375"/>
        <v>2656</v>
      </c>
      <c r="AA62" s="7">
        <f t="shared" si="376"/>
        <v>1807</v>
      </c>
      <c r="AB62" s="7">
        <f t="shared" si="377"/>
        <v>849</v>
      </c>
      <c r="AC62" s="12">
        <v>1600</v>
      </c>
      <c r="AD62" s="7">
        <f t="shared" si="378"/>
        <v>69</v>
      </c>
      <c r="AE62" s="7">
        <f>J62*47</f>
        <v>47</v>
      </c>
      <c r="AF62" s="8">
        <f t="shared" si="379"/>
        <v>22</v>
      </c>
      <c r="AG62" s="14">
        <f t="shared" si="380"/>
        <v>75200</v>
      </c>
      <c r="AH62" s="7">
        <f t="shared" si="381"/>
        <v>217</v>
      </c>
      <c r="AI62" s="7">
        <f t="shared" si="420"/>
        <v>150</v>
      </c>
      <c r="AJ62" s="8">
        <f t="shared" si="382"/>
        <v>67</v>
      </c>
      <c r="AK62" s="14">
        <f t="shared" si="383"/>
        <v>240000</v>
      </c>
      <c r="AL62" s="7">
        <f t="shared" si="384"/>
        <v>279</v>
      </c>
      <c r="AM62" s="7">
        <f t="shared" ref="AM62" si="438">J62*192</f>
        <v>192</v>
      </c>
      <c r="AN62" s="8">
        <f t="shared" si="385"/>
        <v>87</v>
      </c>
      <c r="AO62" s="14">
        <f t="shared" si="386"/>
        <v>307200</v>
      </c>
      <c r="AP62" s="7">
        <f t="shared" si="387"/>
        <v>217</v>
      </c>
      <c r="AQ62" s="7">
        <f t="shared" si="421"/>
        <v>150</v>
      </c>
      <c r="AR62" s="8">
        <f t="shared" si="388"/>
        <v>67</v>
      </c>
      <c r="AS62" s="14">
        <f t="shared" si="389"/>
        <v>240000</v>
      </c>
      <c r="AT62" s="7">
        <f t="shared" si="390"/>
        <v>279</v>
      </c>
      <c r="AU62" s="7">
        <f>J62*170</f>
        <v>170</v>
      </c>
      <c r="AV62" s="8">
        <f t="shared" si="391"/>
        <v>109</v>
      </c>
      <c r="AW62" s="14">
        <f t="shared" si="392"/>
        <v>272000</v>
      </c>
      <c r="AX62" s="7">
        <f t="shared" si="423"/>
        <v>248</v>
      </c>
      <c r="AY62" s="7">
        <f>J62*170</f>
        <v>170</v>
      </c>
      <c r="AZ62" s="8">
        <f t="shared" si="425"/>
        <v>78</v>
      </c>
      <c r="BA62" s="14">
        <f t="shared" si="426"/>
        <v>272000</v>
      </c>
      <c r="BB62" s="7">
        <f t="shared" si="427"/>
        <v>279</v>
      </c>
      <c r="BC62" s="7">
        <f t="shared" ref="BC62" si="439">J62*192</f>
        <v>192</v>
      </c>
      <c r="BD62" s="8">
        <f t="shared" si="428"/>
        <v>87</v>
      </c>
      <c r="BE62" s="14">
        <f t="shared" si="429"/>
        <v>307200</v>
      </c>
      <c r="BF62" s="7">
        <f t="shared" si="430"/>
        <v>125</v>
      </c>
      <c r="BG62" s="7">
        <f t="shared" si="431"/>
        <v>86</v>
      </c>
      <c r="BH62" s="8">
        <f t="shared" si="432"/>
        <v>39</v>
      </c>
      <c r="BI62" s="14">
        <f t="shared" si="433"/>
        <v>137600</v>
      </c>
      <c r="BJ62" s="7">
        <f t="shared" si="399"/>
        <v>62</v>
      </c>
      <c r="BK62" s="7">
        <f>J62*43</f>
        <v>43</v>
      </c>
      <c r="BL62" s="8">
        <f t="shared" si="400"/>
        <v>19</v>
      </c>
      <c r="BM62" s="14">
        <f t="shared" si="401"/>
        <v>68800</v>
      </c>
      <c r="BN62" s="7">
        <f t="shared" si="402"/>
        <v>279</v>
      </c>
      <c r="BO62" s="7">
        <f t="shared" ref="BO62" si="440">J62*192</f>
        <v>192</v>
      </c>
      <c r="BP62" s="8">
        <f t="shared" si="403"/>
        <v>87</v>
      </c>
      <c r="BQ62" s="14">
        <f t="shared" si="404"/>
        <v>307200</v>
      </c>
      <c r="BR62" s="7">
        <f t="shared" si="405"/>
        <v>186</v>
      </c>
      <c r="BS62" s="7">
        <f t="shared" si="434"/>
        <v>128</v>
      </c>
      <c r="BT62" s="8">
        <f t="shared" si="406"/>
        <v>58</v>
      </c>
      <c r="BU62" s="14">
        <f t="shared" si="407"/>
        <v>204800</v>
      </c>
      <c r="BV62" s="7">
        <f t="shared" si="408"/>
        <v>32</v>
      </c>
      <c r="BW62" s="7">
        <f t="shared" si="435"/>
        <v>22</v>
      </c>
      <c r="BX62" s="8">
        <f t="shared" si="409"/>
        <v>10</v>
      </c>
      <c r="BY62" s="14">
        <f t="shared" si="410"/>
        <v>35200</v>
      </c>
      <c r="BZ62" s="7">
        <f t="shared" si="411"/>
        <v>12</v>
      </c>
      <c r="CA62" s="7">
        <f>J62*9</f>
        <v>9</v>
      </c>
      <c r="CB62" s="8">
        <f t="shared" si="412"/>
        <v>3</v>
      </c>
      <c r="CC62" s="14">
        <f t="shared" si="413"/>
        <v>14400</v>
      </c>
      <c r="CD62" s="7">
        <f t="shared" si="414"/>
        <v>186</v>
      </c>
      <c r="CE62" s="7">
        <f t="shared" si="436"/>
        <v>128</v>
      </c>
      <c r="CF62" s="8">
        <f t="shared" si="415"/>
        <v>58</v>
      </c>
      <c r="CG62" s="14">
        <f t="shared" si="416"/>
        <v>204800</v>
      </c>
      <c r="CH62" s="7">
        <f t="shared" si="417"/>
        <v>186</v>
      </c>
      <c r="CI62" s="7">
        <f t="shared" si="437"/>
        <v>128</v>
      </c>
      <c r="CJ62" s="8">
        <f t="shared" si="418"/>
        <v>58</v>
      </c>
      <c r="CK62" s="14">
        <f t="shared" si="419"/>
        <v>204800</v>
      </c>
    </row>
    <row r="63" spans="2:90" x14ac:dyDescent="0.25">
      <c r="B63" s="156" t="s">
        <v>18</v>
      </c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  <c r="AC63" s="156"/>
      <c r="AD63" s="143">
        <f>SUM(AG60:AG62)</f>
        <v>279100</v>
      </c>
      <c r="AE63" s="143"/>
      <c r="AF63" s="143"/>
      <c r="AG63" s="143"/>
      <c r="AH63" s="143">
        <f t="shared" ref="AH63" si="441">SUM(AK60:AK62)</f>
        <v>882500</v>
      </c>
      <c r="AI63" s="143"/>
      <c r="AJ63" s="143"/>
      <c r="AK63" s="143"/>
      <c r="AL63" s="143">
        <f t="shared" ref="AL63" si="442">SUM(AO60:AO62)</f>
        <v>1134600</v>
      </c>
      <c r="AM63" s="143"/>
      <c r="AN63" s="143"/>
      <c r="AO63" s="143"/>
      <c r="AP63" s="143">
        <f t="shared" ref="AP63" si="443">SUM(AS60:AS62)</f>
        <v>882500</v>
      </c>
      <c r="AQ63" s="143"/>
      <c r="AR63" s="143"/>
      <c r="AS63" s="143"/>
      <c r="AT63" s="143">
        <f t="shared" ref="AT63" si="444">SUM(AW60:AW62)</f>
        <v>1007300</v>
      </c>
      <c r="AU63" s="143"/>
      <c r="AV63" s="143"/>
      <c r="AW63" s="143"/>
      <c r="AX63" s="143">
        <f t="shared" ref="AX63" si="445">SUM(BA60:BA62)</f>
        <v>1007300</v>
      </c>
      <c r="AY63" s="143"/>
      <c r="AZ63" s="143"/>
      <c r="BA63" s="143"/>
      <c r="BB63" s="143">
        <f t="shared" ref="BB63" si="446">SUM(BE60:BE62)</f>
        <v>1134600</v>
      </c>
      <c r="BC63" s="143"/>
      <c r="BD63" s="143"/>
      <c r="BE63" s="143"/>
      <c r="BF63" s="143">
        <f t="shared" ref="BF63" si="447">SUM(BI60:BI62)</f>
        <v>507400</v>
      </c>
      <c r="BG63" s="143"/>
      <c r="BH63" s="143"/>
      <c r="BI63" s="143"/>
      <c r="BJ63" s="143">
        <f t="shared" ref="BJ63" si="448">SUM(BM60:BM62)</f>
        <v>251200</v>
      </c>
      <c r="BK63" s="143"/>
      <c r="BL63" s="143"/>
      <c r="BM63" s="143"/>
      <c r="BN63" s="143">
        <f t="shared" ref="BN63" si="449">SUM(BQ60:BQ62)</f>
        <v>1134600</v>
      </c>
      <c r="BO63" s="143"/>
      <c r="BP63" s="143"/>
      <c r="BQ63" s="143"/>
      <c r="BR63" s="143">
        <f t="shared" ref="BR63" si="450">SUM(BU60:BU62)</f>
        <v>755200</v>
      </c>
      <c r="BS63" s="143"/>
      <c r="BT63" s="143"/>
      <c r="BU63" s="143"/>
      <c r="BV63" s="143">
        <f t="shared" ref="BV63" si="451">SUM(BY60:BY62)</f>
        <v>129800</v>
      </c>
      <c r="BW63" s="143"/>
      <c r="BX63" s="143"/>
      <c r="BY63" s="143"/>
      <c r="BZ63" s="143">
        <f t="shared" ref="BZ63" si="452">SUM(CC60:CC62)</f>
        <v>48800</v>
      </c>
      <c r="CA63" s="143"/>
      <c r="CB63" s="143"/>
      <c r="CC63" s="143"/>
      <c r="CD63" s="143">
        <f t="shared" ref="CD63" si="453">SUM(CG60:CG62)</f>
        <v>755200</v>
      </c>
      <c r="CE63" s="143"/>
      <c r="CF63" s="143"/>
      <c r="CG63" s="143"/>
      <c r="CH63" s="143">
        <f t="shared" ref="CH63" si="454">SUM(CK60:CK62)</f>
        <v>755200</v>
      </c>
      <c r="CI63" s="143"/>
      <c r="CJ63" s="143"/>
      <c r="CK63" s="143"/>
    </row>
    <row r="64" spans="2:90" x14ac:dyDescent="0.25">
      <c r="B64" s="156" t="s">
        <v>19</v>
      </c>
      <c r="C64" s="156"/>
      <c r="D64" s="156"/>
      <c r="E64" s="156"/>
      <c r="F64" s="156"/>
      <c r="G64" s="156"/>
      <c r="H64" s="156"/>
      <c r="I64" s="156"/>
      <c r="J64" s="156"/>
      <c r="K64" s="156"/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  <c r="AC64" s="156"/>
      <c r="AD64" s="143">
        <f>SUMIFS(PRESUPUESTO!$G$123:$G$137,PRESUPUESTO!$E$123:$E$137,MÍNIMAS!AD58)</f>
        <v>280686.848</v>
      </c>
      <c r="AE64" s="143"/>
      <c r="AF64" s="143"/>
      <c r="AG64" s="143"/>
      <c r="AH64" s="143">
        <f>SUMIFS(PRESUPUESTO!$G$123:$G$137,PRESUPUESTO!$E$123:$E$137,MÍNIMAS!AH58)</f>
        <v>882739.79733333329</v>
      </c>
      <c r="AI64" s="143"/>
      <c r="AJ64" s="143"/>
      <c r="AK64" s="143"/>
      <c r="AL64" s="143">
        <f>SUMIFS(PRESUPUESTO!$G$123:$G$137,PRESUPUESTO!$E$123:$E$137,MÍNIMAS!AL58)</f>
        <v>1134951.1679999998</v>
      </c>
      <c r="AM64" s="143"/>
      <c r="AN64" s="143"/>
      <c r="AO64" s="143"/>
      <c r="AP64" s="143">
        <f>SUMIFS(PRESUPUESTO!$G$123:$G$137,PRESUPUESTO!$E$123:$E$137,MÍNIMAS!AP58)</f>
        <v>882739.79733333329</v>
      </c>
      <c r="AQ64" s="143"/>
      <c r="AR64" s="143"/>
      <c r="AS64" s="143"/>
      <c r="AT64" s="143">
        <f>SUMIFS(PRESUPUESTO!$G$123:$G$137,PRESUPUESTO!$E$123:$E$137,MÍNIMAS!AT58)</f>
        <v>1008845.4826666666</v>
      </c>
      <c r="AU64" s="143"/>
      <c r="AV64" s="143"/>
      <c r="AW64" s="143"/>
      <c r="AX64" s="143">
        <f>SUMIFS(PRESUPUESTO!$G$123:$G$137,PRESUPUESTO!$E$123:$E$137,MÍNIMAS!AX58)</f>
        <v>1008845.4826666666</v>
      </c>
      <c r="AY64" s="143"/>
      <c r="AZ64" s="143"/>
      <c r="BA64" s="143"/>
      <c r="BB64" s="143">
        <f>SUMIFS(PRESUPUESTO!$G$123:$G$137,PRESUPUESTO!$E$123:$E$137,MÍNIMAS!BB58)</f>
        <v>1134951.1679999998</v>
      </c>
      <c r="BC64" s="143"/>
      <c r="BD64" s="143"/>
      <c r="BE64" s="143"/>
      <c r="BF64" s="143">
        <f>SUMIFS(PRESUPUESTO!$G$123:$G$137,PRESUPUESTO!$E$123:$E$137,MÍNIMAS!BF58)</f>
        <v>508490.66666666663</v>
      </c>
      <c r="BG64" s="143"/>
      <c r="BH64" s="143"/>
      <c r="BI64" s="143"/>
      <c r="BJ64" s="143">
        <f>SUMIFS(PRESUPUESTO!$G$123:$G$137,PRESUPUESTO!$E$123:$E$137,MÍNIMAS!BJ58)</f>
        <v>252211.37066666665</v>
      </c>
      <c r="BK64" s="143"/>
      <c r="BL64" s="143"/>
      <c r="BM64" s="143"/>
      <c r="BN64" s="143">
        <f>SUMIFS(PRESUPUESTO!$G$123:$G$137,PRESUPUESTO!$E$123:$E$137,MÍNIMAS!BN58)</f>
        <v>1134951.1679999998</v>
      </c>
      <c r="BO64" s="143"/>
      <c r="BP64" s="143"/>
      <c r="BQ64" s="143"/>
      <c r="BR64" s="143">
        <f>SUMIFS(PRESUPUESTO!$G$123:$G$137,PRESUPUESTO!$E$123:$E$137,MÍNIMAS!BR58)</f>
        <v>756634.11199999996</v>
      </c>
      <c r="BS64" s="143"/>
      <c r="BT64" s="143"/>
      <c r="BU64" s="143"/>
      <c r="BV64" s="143">
        <f>SUMIFS(PRESUPUESTO!$G$123:$G$137,PRESUPUESTO!$E$123:$E$137,MÍNIMAS!BV58)</f>
        <v>130173.61066666666</v>
      </c>
      <c r="BW64" s="143"/>
      <c r="BX64" s="143"/>
      <c r="BY64" s="143"/>
      <c r="BZ64" s="143">
        <f>SUMIFS(PRESUPUESTO!$G$123:$G$137,PRESUPUESTO!$E$123:$E$137,MÍNIMAS!BZ58)</f>
        <v>48815.103999999999</v>
      </c>
      <c r="CA64" s="143"/>
      <c r="CB64" s="143"/>
      <c r="CC64" s="143"/>
      <c r="CD64" s="143">
        <f>SUMIFS(PRESUPUESTO!$G$123:$G$137,PRESUPUESTO!$E$123:$E$137,MÍNIMAS!CD58)</f>
        <v>756634.11199999996</v>
      </c>
      <c r="CE64" s="143"/>
      <c r="CF64" s="143"/>
      <c r="CG64" s="143"/>
      <c r="CH64" s="143">
        <f>SUMIFS(PRESUPUESTO!$G$123:$G$137,PRESUPUESTO!$E$123:$E$137,MÍNIMAS!CH58)</f>
        <v>756634.11199999996</v>
      </c>
      <c r="CI64" s="143"/>
      <c r="CJ64" s="143"/>
      <c r="CK64" s="143"/>
      <c r="CL64" s="37">
        <f>SUM(AD64:CK64)</f>
        <v>10678303.999999998</v>
      </c>
    </row>
    <row r="65" spans="2:90" x14ac:dyDescent="0.25">
      <c r="B65" s="156" t="s">
        <v>10</v>
      </c>
      <c r="C65" s="156"/>
      <c r="D65" s="156"/>
      <c r="E65" s="156"/>
      <c r="F65" s="156"/>
      <c r="G65" s="156"/>
      <c r="H65" s="156"/>
      <c r="I65" s="156"/>
      <c r="J65" s="156"/>
      <c r="K65" s="156"/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  <c r="AC65" s="156"/>
      <c r="AD65" s="163">
        <f>AD64-AD63</f>
        <v>1586.8479999999981</v>
      </c>
      <c r="AE65" s="163"/>
      <c r="AF65" s="163"/>
      <c r="AG65" s="163"/>
      <c r="AH65" s="163">
        <f>AH64-AH63</f>
        <v>239.79733333329204</v>
      </c>
      <c r="AI65" s="163"/>
      <c r="AJ65" s="163"/>
      <c r="AK65" s="163"/>
      <c r="AL65" s="163">
        <f>AL64-AL63</f>
        <v>351.1679999998305</v>
      </c>
      <c r="AM65" s="163"/>
      <c r="AN65" s="163"/>
      <c r="AO65" s="163"/>
      <c r="AP65" s="163">
        <f t="shared" ref="AP65" si="455">AP64-AP63</f>
        <v>239.79733333329204</v>
      </c>
      <c r="AQ65" s="163"/>
      <c r="AR65" s="163"/>
      <c r="AS65" s="163"/>
      <c r="AT65" s="163">
        <f>AT64-AT63</f>
        <v>1545.4826666666195</v>
      </c>
      <c r="AU65" s="163"/>
      <c r="AV65" s="163"/>
      <c r="AW65" s="163"/>
      <c r="AX65" s="163">
        <f>AX64-AX63</f>
        <v>1545.4826666666195</v>
      </c>
      <c r="AY65" s="163"/>
      <c r="AZ65" s="163"/>
      <c r="BA65" s="163"/>
      <c r="BB65" s="163">
        <f>BB64-BB63</f>
        <v>351.1679999998305</v>
      </c>
      <c r="BC65" s="163"/>
      <c r="BD65" s="163"/>
      <c r="BE65" s="163"/>
      <c r="BF65" s="163">
        <f t="shared" ref="BF65" si="456">BF64-BF63</f>
        <v>1090.6666666666279</v>
      </c>
      <c r="BG65" s="163"/>
      <c r="BH65" s="163"/>
      <c r="BI65" s="163"/>
      <c r="BJ65" s="163">
        <f>BJ64-BJ63</f>
        <v>1011.3706666666549</v>
      </c>
      <c r="BK65" s="163"/>
      <c r="BL65" s="163"/>
      <c r="BM65" s="163"/>
      <c r="BN65" s="163">
        <f>BN64-BN63</f>
        <v>351.1679999998305</v>
      </c>
      <c r="BO65" s="163"/>
      <c r="BP65" s="163"/>
      <c r="BQ65" s="163"/>
      <c r="BR65" s="163">
        <f>BR64-BR63</f>
        <v>1434.1119999999646</v>
      </c>
      <c r="BS65" s="163"/>
      <c r="BT65" s="163"/>
      <c r="BU65" s="163"/>
      <c r="BV65" s="163">
        <f t="shared" ref="BV65" si="457">BV64-BV63</f>
        <v>373.61066666666011</v>
      </c>
      <c r="BW65" s="163"/>
      <c r="BX65" s="163"/>
      <c r="BY65" s="163"/>
      <c r="BZ65" s="163">
        <f>BZ64-BZ63</f>
        <v>15.10399999999936</v>
      </c>
      <c r="CA65" s="163"/>
      <c r="CB65" s="163"/>
      <c r="CC65" s="163"/>
      <c r="CD65" s="163">
        <f>CD64-CD63</f>
        <v>1434.1119999999646</v>
      </c>
      <c r="CE65" s="163"/>
      <c r="CF65" s="163"/>
      <c r="CG65" s="163"/>
      <c r="CH65" s="163">
        <f>CH64-CH63</f>
        <v>1434.1119999999646</v>
      </c>
      <c r="CI65" s="163"/>
      <c r="CJ65" s="163"/>
      <c r="CK65" s="163"/>
    </row>
    <row r="67" spans="2:90" x14ac:dyDescent="0.25">
      <c r="B67" s="159" t="s">
        <v>48</v>
      </c>
      <c r="C67" s="160"/>
      <c r="D67" s="160"/>
      <c r="E67" s="160"/>
      <c r="F67" s="160"/>
      <c r="G67" s="160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60"/>
      <c r="Z67" s="160"/>
      <c r="AA67" s="160"/>
      <c r="AB67" s="160"/>
      <c r="AC67" s="160"/>
      <c r="AD67" s="159"/>
      <c r="AE67" s="160"/>
      <c r="AF67" s="160"/>
      <c r="AG67" s="160"/>
      <c r="AH67" s="160"/>
      <c r="AI67" s="160"/>
      <c r="AJ67" s="160"/>
      <c r="AK67" s="160"/>
      <c r="AL67" s="160"/>
      <c r="AM67" s="160"/>
      <c r="AN67" s="160"/>
      <c r="AO67" s="160"/>
      <c r="AP67" s="160"/>
      <c r="AQ67" s="159"/>
      <c r="AR67" s="160"/>
      <c r="AS67" s="160"/>
      <c r="AT67" s="160"/>
      <c r="AU67" s="160"/>
      <c r="AV67" s="160"/>
      <c r="AW67" s="160"/>
      <c r="AX67" s="160"/>
      <c r="AY67" s="160"/>
      <c r="AZ67" s="160"/>
      <c r="BA67" s="160"/>
      <c r="BB67" s="160"/>
      <c r="BC67" s="160"/>
      <c r="BD67" s="159"/>
      <c r="BE67" s="160"/>
      <c r="BF67" s="160"/>
      <c r="BG67" s="160"/>
      <c r="BH67" s="160"/>
      <c r="BI67" s="160"/>
      <c r="BJ67" s="160"/>
      <c r="BK67" s="160"/>
      <c r="BL67" s="160"/>
      <c r="BM67" s="160"/>
      <c r="BN67" s="160"/>
      <c r="BO67" s="160"/>
      <c r="BP67" s="160"/>
      <c r="BQ67" s="159"/>
      <c r="BR67" s="160"/>
      <c r="BS67" s="160"/>
      <c r="BT67" s="160"/>
      <c r="BU67" s="160"/>
      <c r="BV67" s="160"/>
      <c r="BW67" s="160"/>
      <c r="BX67" s="160"/>
      <c r="BY67" s="160"/>
      <c r="BZ67" s="160"/>
      <c r="CA67" s="160"/>
      <c r="CB67" s="160"/>
      <c r="CC67" s="160"/>
      <c r="CD67" s="159"/>
      <c r="CE67" s="160"/>
      <c r="CF67" s="160"/>
      <c r="CG67" s="160"/>
      <c r="CH67" s="160"/>
      <c r="CI67" s="160"/>
      <c r="CJ67" s="160"/>
      <c r="CK67" s="160"/>
    </row>
    <row r="68" spans="2:90" ht="28.5" customHeight="1" x14ac:dyDescent="0.25">
      <c r="B68" s="158" t="str">
        <f>'PLAN DE NECESIDADES'!B54</f>
        <v>ÍTEM</v>
      </c>
      <c r="C68" s="158" t="str">
        <f>'PLAN DE NECESIDADES'!C54</f>
        <v>CÓDIGO DANE</v>
      </c>
      <c r="D68" s="158" t="str">
        <f>'PLAN DE NECESIDADES'!D54</f>
        <v xml:space="preserve">DESCRIPCIÓN DEL BIEN Y/O SERVICIO </v>
      </c>
      <c r="E68" s="158" t="str">
        <f>'PLAN DE NECESIDADES'!E54</f>
        <v>UNIDAD MEDIDA</v>
      </c>
      <c r="F68" s="158" t="str">
        <f>'PLAN DE NECESIDADES'!F54</f>
        <v>EXISTENCIAS (STOCK - INVENTARIOS)</v>
      </c>
      <c r="G68" s="158" t="str">
        <f>'PLAN DE NECESIDADES'!H54</f>
        <v>UNSPSC (CCE)</v>
      </c>
      <c r="H68" s="158" t="str">
        <f>'PLAN DE NECESIDADES'!I54</f>
        <v xml:space="preserve">CÓDIGO MATERIAL SAP </v>
      </c>
      <c r="I68" s="158" t="str">
        <f>'PLAN DE NECESIDADES'!J54</f>
        <v xml:space="preserve">CÓDIGO OTAN - NOC </v>
      </c>
      <c r="J68" s="161" t="s">
        <v>155</v>
      </c>
      <c r="K68" s="139" t="str">
        <f>AD68</f>
        <v>BAABS3</v>
      </c>
      <c r="L68" s="139" t="str">
        <f>AH68</f>
        <v>BAACA10</v>
      </c>
      <c r="M68" s="139" t="str">
        <f>AL68</f>
        <v>BAACA2</v>
      </c>
      <c r="N68" s="139" t="str">
        <f>AP68</f>
        <v>BAADA1</v>
      </c>
      <c r="O68" s="139" t="str">
        <f>AT68</f>
        <v>BAEEV2</v>
      </c>
      <c r="P68" s="139" t="str">
        <f>AX68</f>
        <v>BAEEV3</v>
      </c>
      <c r="Q68" s="139" t="str">
        <f>BB68</f>
        <v>BAMMA7</v>
      </c>
      <c r="R68" s="139" t="str">
        <f>BF68</f>
        <v>BASPC10</v>
      </c>
      <c r="S68" s="139" t="str">
        <f>BJ68</f>
        <v>BASAC</v>
      </c>
      <c r="T68" s="139" t="str">
        <f>BN68</f>
        <v>BICAR</v>
      </c>
      <c r="U68" s="139" t="str">
        <f>BR68</f>
        <v>BIMOC70</v>
      </c>
      <c r="V68" s="139" t="str">
        <f>BV68</f>
        <v>BITER10</v>
      </c>
      <c r="W68" s="139" t="str">
        <f>BZ68</f>
        <v>DIM15</v>
      </c>
      <c r="X68" s="139" t="str">
        <f>CD68</f>
        <v>GMMAT</v>
      </c>
      <c r="Y68" s="139" t="str">
        <f>CH68</f>
        <v>GMRON</v>
      </c>
      <c r="Z68" s="141" t="s">
        <v>13</v>
      </c>
      <c r="AA68" s="157" t="s">
        <v>14</v>
      </c>
      <c r="AB68" s="157" t="s">
        <v>12</v>
      </c>
      <c r="AC68" s="157" t="s">
        <v>4</v>
      </c>
      <c r="AD68" s="144" t="s">
        <v>29</v>
      </c>
      <c r="AE68" s="145"/>
      <c r="AF68" s="145"/>
      <c r="AG68" s="146"/>
      <c r="AH68" s="147" t="s">
        <v>30</v>
      </c>
      <c r="AI68" s="148"/>
      <c r="AJ68" s="148"/>
      <c r="AK68" s="149"/>
      <c r="AL68" s="150" t="s">
        <v>31</v>
      </c>
      <c r="AM68" s="151"/>
      <c r="AN68" s="151"/>
      <c r="AO68" s="152"/>
      <c r="AP68" s="153" t="s">
        <v>32</v>
      </c>
      <c r="AQ68" s="154"/>
      <c r="AR68" s="154"/>
      <c r="AS68" s="155"/>
      <c r="AT68" s="144" t="s">
        <v>27</v>
      </c>
      <c r="AU68" s="145"/>
      <c r="AV68" s="145"/>
      <c r="AW68" s="146"/>
      <c r="AX68" s="147" t="s">
        <v>33</v>
      </c>
      <c r="AY68" s="148"/>
      <c r="AZ68" s="148"/>
      <c r="BA68" s="149"/>
      <c r="BB68" s="150" t="s">
        <v>66</v>
      </c>
      <c r="BC68" s="151"/>
      <c r="BD68" s="151"/>
      <c r="BE68" s="152"/>
      <c r="BF68" s="153" t="s">
        <v>67</v>
      </c>
      <c r="BG68" s="154"/>
      <c r="BH68" s="154"/>
      <c r="BI68" s="155"/>
      <c r="BJ68" s="144" t="s">
        <v>34</v>
      </c>
      <c r="BK68" s="145"/>
      <c r="BL68" s="145"/>
      <c r="BM68" s="146"/>
      <c r="BN68" s="147" t="s">
        <v>35</v>
      </c>
      <c r="BO68" s="148"/>
      <c r="BP68" s="148"/>
      <c r="BQ68" s="149"/>
      <c r="BR68" s="150" t="s">
        <v>68</v>
      </c>
      <c r="BS68" s="151"/>
      <c r="BT68" s="151"/>
      <c r="BU68" s="152"/>
      <c r="BV68" s="153" t="s">
        <v>36</v>
      </c>
      <c r="BW68" s="154"/>
      <c r="BX68" s="154"/>
      <c r="BY68" s="155"/>
      <c r="BZ68" s="144" t="s">
        <v>37</v>
      </c>
      <c r="CA68" s="145"/>
      <c r="CB68" s="145"/>
      <c r="CC68" s="146"/>
      <c r="CD68" s="147" t="s">
        <v>69</v>
      </c>
      <c r="CE68" s="148"/>
      <c r="CF68" s="148"/>
      <c r="CG68" s="149"/>
      <c r="CH68" s="150" t="s">
        <v>38</v>
      </c>
      <c r="CI68" s="151"/>
      <c r="CJ68" s="151"/>
      <c r="CK68" s="152"/>
    </row>
    <row r="69" spans="2:90" ht="28.5" customHeight="1" x14ac:dyDescent="0.25">
      <c r="B69" s="158"/>
      <c r="C69" s="158"/>
      <c r="D69" s="158"/>
      <c r="E69" s="158"/>
      <c r="F69" s="158"/>
      <c r="G69" s="158"/>
      <c r="H69" s="158"/>
      <c r="I69" s="158"/>
      <c r="J69" s="162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0"/>
      <c r="Y69" s="140"/>
      <c r="Z69" s="142"/>
      <c r="AA69" s="157"/>
      <c r="AB69" s="157"/>
      <c r="AC69" s="157"/>
      <c r="AD69" s="20" t="s">
        <v>15</v>
      </c>
      <c r="AE69" s="21" t="s">
        <v>16</v>
      </c>
      <c r="AF69" s="22" t="s">
        <v>17</v>
      </c>
      <c r="AG69" s="20" t="s">
        <v>20</v>
      </c>
      <c r="AH69" s="3" t="s">
        <v>15</v>
      </c>
      <c r="AI69" s="4" t="s">
        <v>16</v>
      </c>
      <c r="AJ69" s="5" t="s">
        <v>17</v>
      </c>
      <c r="AK69" s="3" t="s">
        <v>20</v>
      </c>
      <c r="AL69" s="53" t="s">
        <v>15</v>
      </c>
      <c r="AM69" s="23" t="s">
        <v>16</v>
      </c>
      <c r="AN69" s="24" t="s">
        <v>17</v>
      </c>
      <c r="AO69" s="53" t="s">
        <v>20</v>
      </c>
      <c r="AP69" s="25" t="s">
        <v>15</v>
      </c>
      <c r="AQ69" s="26" t="s">
        <v>16</v>
      </c>
      <c r="AR69" s="27" t="s">
        <v>17</v>
      </c>
      <c r="AS69" s="25" t="s">
        <v>20</v>
      </c>
      <c r="AT69" s="20" t="s">
        <v>15</v>
      </c>
      <c r="AU69" s="21" t="s">
        <v>16</v>
      </c>
      <c r="AV69" s="22" t="s">
        <v>17</v>
      </c>
      <c r="AW69" s="20" t="s">
        <v>20</v>
      </c>
      <c r="AX69" s="3" t="s">
        <v>15</v>
      </c>
      <c r="AY69" s="4" t="s">
        <v>16</v>
      </c>
      <c r="AZ69" s="5" t="s">
        <v>17</v>
      </c>
      <c r="BA69" s="3" t="s">
        <v>20</v>
      </c>
      <c r="BB69" s="53" t="s">
        <v>15</v>
      </c>
      <c r="BC69" s="23" t="s">
        <v>16</v>
      </c>
      <c r="BD69" s="24" t="s">
        <v>17</v>
      </c>
      <c r="BE69" s="53" t="s">
        <v>20</v>
      </c>
      <c r="BF69" s="25" t="s">
        <v>15</v>
      </c>
      <c r="BG69" s="26" t="s">
        <v>16</v>
      </c>
      <c r="BH69" s="27" t="s">
        <v>17</v>
      </c>
      <c r="BI69" s="25" t="s">
        <v>20</v>
      </c>
      <c r="BJ69" s="20" t="s">
        <v>15</v>
      </c>
      <c r="BK69" s="21" t="s">
        <v>16</v>
      </c>
      <c r="BL69" s="22" t="s">
        <v>17</v>
      </c>
      <c r="BM69" s="20" t="s">
        <v>20</v>
      </c>
      <c r="BN69" s="3" t="s">
        <v>15</v>
      </c>
      <c r="BO69" s="4" t="s">
        <v>16</v>
      </c>
      <c r="BP69" s="5" t="s">
        <v>17</v>
      </c>
      <c r="BQ69" s="3" t="s">
        <v>20</v>
      </c>
      <c r="BR69" s="53" t="s">
        <v>15</v>
      </c>
      <c r="BS69" s="23" t="s">
        <v>16</v>
      </c>
      <c r="BT69" s="24" t="s">
        <v>17</v>
      </c>
      <c r="BU69" s="53" t="s">
        <v>20</v>
      </c>
      <c r="BV69" s="25" t="s">
        <v>15</v>
      </c>
      <c r="BW69" s="26" t="s">
        <v>16</v>
      </c>
      <c r="BX69" s="27" t="s">
        <v>17</v>
      </c>
      <c r="BY69" s="25" t="s">
        <v>20</v>
      </c>
      <c r="BZ69" s="20" t="s">
        <v>15</v>
      </c>
      <c r="CA69" s="21" t="s">
        <v>16</v>
      </c>
      <c r="CB69" s="22" t="s">
        <v>17</v>
      </c>
      <c r="CC69" s="20" t="s">
        <v>20</v>
      </c>
      <c r="CD69" s="3" t="s">
        <v>15</v>
      </c>
      <c r="CE69" s="4" t="s">
        <v>16</v>
      </c>
      <c r="CF69" s="5" t="s">
        <v>17</v>
      </c>
      <c r="CG69" s="3" t="s">
        <v>20</v>
      </c>
      <c r="CH69" s="53" t="s">
        <v>15</v>
      </c>
      <c r="CI69" s="23" t="s">
        <v>16</v>
      </c>
      <c r="CJ69" s="24" t="s">
        <v>17</v>
      </c>
      <c r="CK69" s="53" t="s">
        <v>20</v>
      </c>
    </row>
    <row r="70" spans="2:90" x14ac:dyDescent="0.25">
      <c r="B70" s="7">
        <f>'PLAN DE NECESIDADES'!B55</f>
        <v>31</v>
      </c>
      <c r="C70" s="7">
        <f>'PLAN DE NECESIDADES'!C55</f>
        <v>3899307</v>
      </c>
      <c r="D70" s="62" t="str">
        <f>'PLAN DE NECESIDADES'!D55</f>
        <v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v>
      </c>
      <c r="E70" s="7" t="str">
        <f>'PLAN DE NECESIDADES'!E55</f>
        <v>UNIDAD</v>
      </c>
      <c r="F70" s="7">
        <f>'PLAN DE NECESIDADES'!F55</f>
        <v>0</v>
      </c>
      <c r="G70" s="7">
        <f>'PLAN DE NECESIDADES'!H55</f>
        <v>53131503</v>
      </c>
      <c r="H70" s="7">
        <f>'PLAN DE NECESIDADES'!I55</f>
        <v>1349993</v>
      </c>
      <c r="I70" s="7" t="str">
        <f>'PLAN DE NECESIDADES'!J55</f>
        <v>8530-80-0011406</v>
      </c>
      <c r="J70" s="7">
        <v>1</v>
      </c>
      <c r="K70" s="87">
        <v>69</v>
      </c>
      <c r="L70" s="87">
        <v>217</v>
      </c>
      <c r="M70" s="87">
        <v>279</v>
      </c>
      <c r="N70" s="87">
        <v>217</v>
      </c>
      <c r="O70" s="87">
        <v>248</v>
      </c>
      <c r="P70" s="87">
        <v>248</v>
      </c>
      <c r="Q70" s="87">
        <v>279</v>
      </c>
      <c r="R70" s="87">
        <v>125</v>
      </c>
      <c r="S70" s="87">
        <v>62</v>
      </c>
      <c r="T70" s="87">
        <v>279</v>
      </c>
      <c r="U70" s="87">
        <v>186</v>
      </c>
      <c r="V70" s="87">
        <v>32</v>
      </c>
      <c r="W70" s="87">
        <v>12</v>
      </c>
      <c r="X70" s="87">
        <v>186</v>
      </c>
      <c r="Y70" s="87">
        <v>186</v>
      </c>
      <c r="Z70" s="87">
        <f t="shared" ref="Z70:Z73" si="458">SUM(AD70,AH70,AL70,AP70,AT70,AX70,BB70,BF70,BJ70,BN70,BR70,BV70,BZ70,CD70,CH70)</f>
        <v>2656</v>
      </c>
      <c r="AA70" s="7">
        <f t="shared" ref="AA70:AA73" si="459">SUM(AE70,AI70,AM70,AQ70,AU70,AY70,BC70,BG70,BK70,BO70,BS70,BW70,CA70,CE70,CI70)</f>
        <v>1532</v>
      </c>
      <c r="AB70" s="7">
        <f t="shared" ref="AB70:AB73" si="460">SUM(AF70,AJ70,AN70,AR70,AV70,AZ70,BD70,BH70,BL70,BP70,BT70,BX70,CB70,CF70,CJ70)</f>
        <v>1124</v>
      </c>
      <c r="AC70" s="12">
        <v>3000</v>
      </c>
      <c r="AD70" s="7">
        <f t="shared" ref="AD70:AD73" si="461">K70*J70</f>
        <v>69</v>
      </c>
      <c r="AE70" s="7">
        <f>J70*40</f>
        <v>40</v>
      </c>
      <c r="AF70" s="8">
        <f t="shared" ref="AF70:AF73" si="462">AD70-AE70</f>
        <v>29</v>
      </c>
      <c r="AG70" s="14">
        <f t="shared" ref="AG70:AG73" si="463">AC70*AE70</f>
        <v>120000</v>
      </c>
      <c r="AH70" s="7">
        <f t="shared" ref="AH70:AH73" si="464">L70*J70</f>
        <v>217</v>
      </c>
      <c r="AI70" s="7">
        <f>J70*126</f>
        <v>126</v>
      </c>
      <c r="AJ70" s="8">
        <f t="shared" ref="AJ70:AJ73" si="465">AH70-AI70</f>
        <v>91</v>
      </c>
      <c r="AK70" s="14">
        <f t="shared" ref="AK70:AK73" si="466">AC70*AI70</f>
        <v>378000</v>
      </c>
      <c r="AL70" s="7">
        <f t="shared" ref="AL70:AL73" si="467">M70*J70</f>
        <v>279</v>
      </c>
      <c r="AM70" s="7">
        <f>J70*163</f>
        <v>163</v>
      </c>
      <c r="AN70" s="8">
        <f t="shared" ref="AN70:AN73" si="468">AL70-AM70</f>
        <v>116</v>
      </c>
      <c r="AO70" s="14">
        <f t="shared" ref="AO70:AO73" si="469">AC70*AM70</f>
        <v>489000</v>
      </c>
      <c r="AP70" s="7">
        <f t="shared" ref="AP70:AP73" si="470">N70*J70</f>
        <v>217</v>
      </c>
      <c r="AQ70" s="7">
        <f>J70*127</f>
        <v>127</v>
      </c>
      <c r="AR70" s="8">
        <f t="shared" ref="AR70:AR73" si="471">AP70-AQ70</f>
        <v>90</v>
      </c>
      <c r="AS70" s="14">
        <f t="shared" ref="AS70:AS73" si="472">AC70*AQ70</f>
        <v>381000</v>
      </c>
      <c r="AT70" s="7">
        <f t="shared" ref="AT70:AT73" si="473">M70*J70</f>
        <v>279</v>
      </c>
      <c r="AU70" s="7">
        <f>J70*143</f>
        <v>143</v>
      </c>
      <c r="AV70" s="8">
        <f t="shared" ref="AV70:AV73" si="474">AT70-AU70</f>
        <v>136</v>
      </c>
      <c r="AW70" s="14">
        <f t="shared" ref="AW70:AW73" si="475">AU70*AC70</f>
        <v>429000</v>
      </c>
      <c r="AX70" s="7">
        <f t="shared" ref="AX70" si="476">P70*J70</f>
        <v>248</v>
      </c>
      <c r="AY70" s="7">
        <f>J70*145</f>
        <v>145</v>
      </c>
      <c r="AZ70" s="8">
        <f t="shared" ref="AZ70" si="477">AX70-AY70</f>
        <v>103</v>
      </c>
      <c r="BA70" s="14">
        <f t="shared" ref="BA70" si="478">AC70*AY70</f>
        <v>435000</v>
      </c>
      <c r="BB70" s="7">
        <f t="shared" ref="BB70" si="479">Q70*J70</f>
        <v>279</v>
      </c>
      <c r="BC70" s="7">
        <f>J70*163</f>
        <v>163</v>
      </c>
      <c r="BD70" s="8">
        <f t="shared" ref="BD70" si="480">BB70-BC70</f>
        <v>116</v>
      </c>
      <c r="BE70" s="14">
        <f t="shared" ref="BE70" si="481">BC70*AC70</f>
        <v>489000</v>
      </c>
      <c r="BF70" s="7">
        <f t="shared" ref="BF70:BF73" si="482">R70*J70</f>
        <v>125</v>
      </c>
      <c r="BG70" s="7">
        <f>J70*74</f>
        <v>74</v>
      </c>
      <c r="BH70" s="8">
        <f t="shared" ref="BH70:BH73" si="483">BF70-BG70</f>
        <v>51</v>
      </c>
      <c r="BI70" s="14">
        <f t="shared" ref="BI70:BI73" si="484">BG70*AC70</f>
        <v>222000</v>
      </c>
      <c r="BJ70" s="7">
        <f>S70*J70</f>
        <v>62</v>
      </c>
      <c r="BK70" s="7">
        <f>J70*36</f>
        <v>36</v>
      </c>
      <c r="BL70" s="8">
        <f t="shared" ref="BL70:BL73" si="485">BJ70-BK70</f>
        <v>26</v>
      </c>
      <c r="BM70" s="14">
        <f t="shared" ref="BM70:BM73" si="486">BK70*AC70</f>
        <v>108000</v>
      </c>
      <c r="BN70" s="7">
        <f t="shared" ref="BN70:BN73" si="487">T70*J70</f>
        <v>279</v>
      </c>
      <c r="BO70" s="7">
        <f>J70*163</f>
        <v>163</v>
      </c>
      <c r="BP70" s="8">
        <f t="shared" ref="BP70:BP73" si="488">BN70-BO70</f>
        <v>116</v>
      </c>
      <c r="BQ70" s="14">
        <f t="shared" ref="BQ70:BQ73" si="489">BO70*AC70</f>
        <v>489000</v>
      </c>
      <c r="BR70" s="7">
        <f t="shared" ref="BR70" si="490">U70*J70</f>
        <v>186</v>
      </c>
      <c r="BS70" s="7">
        <f>J70*109</f>
        <v>109</v>
      </c>
      <c r="BT70" s="8">
        <f t="shared" ref="BT70" si="491">BR70-BS70</f>
        <v>77</v>
      </c>
      <c r="BU70" s="14">
        <f t="shared" ref="BU70" si="492">BS70*AC70</f>
        <v>327000</v>
      </c>
      <c r="BV70" s="7">
        <f t="shared" ref="BV70:BV73" si="493">V70*J70</f>
        <v>32</v>
      </c>
      <c r="BW70" s="7">
        <f>J70*18</f>
        <v>18</v>
      </c>
      <c r="BX70" s="8">
        <f t="shared" ref="BX70:BX73" si="494">BV70-BW70</f>
        <v>14</v>
      </c>
      <c r="BY70" s="14">
        <f t="shared" ref="BY70:BY73" si="495">BW70*AC70</f>
        <v>54000</v>
      </c>
      <c r="BZ70" s="7">
        <f t="shared" ref="BZ70:BZ73" si="496">W70*J70</f>
        <v>12</v>
      </c>
      <c r="CA70" s="7">
        <f t="shared" ref="CA70:CA72" si="497">J70*7</f>
        <v>7</v>
      </c>
      <c r="CB70" s="8">
        <f t="shared" ref="CB70:CB73" si="498">BZ70-CA70</f>
        <v>5</v>
      </c>
      <c r="CC70" s="14">
        <f t="shared" ref="CC70:CC73" si="499">CA70*AC70</f>
        <v>21000</v>
      </c>
      <c r="CD70" s="7">
        <f t="shared" ref="CD70:CD73" si="500">X70*J70</f>
        <v>186</v>
      </c>
      <c r="CE70" s="7">
        <f>J70*109</f>
        <v>109</v>
      </c>
      <c r="CF70" s="8">
        <f t="shared" ref="CF70:CF73" si="501">CD70-CE70</f>
        <v>77</v>
      </c>
      <c r="CG70" s="14">
        <f t="shared" ref="CG70:CG73" si="502">CE70*AC70</f>
        <v>327000</v>
      </c>
      <c r="CH70" s="7">
        <f t="shared" ref="CH70:CH73" si="503">Y70*J70</f>
        <v>186</v>
      </c>
      <c r="CI70" s="7">
        <f>J70*109</f>
        <v>109</v>
      </c>
      <c r="CJ70" s="8">
        <f t="shared" ref="CJ70:CJ73" si="504">CH70-CI70</f>
        <v>77</v>
      </c>
      <c r="CK70" s="14">
        <f t="shared" ref="CK70:CK73" si="505">CI70*AC70</f>
        <v>327000</v>
      </c>
    </row>
    <row r="71" spans="2:90" x14ac:dyDescent="0.25">
      <c r="B71" s="7">
        <f>'PLAN DE NECESIDADES'!B56</f>
        <v>32</v>
      </c>
      <c r="C71" s="7">
        <f>'PLAN DE NECESIDADES'!C56</f>
        <v>3899402</v>
      </c>
      <c r="D71" s="62" t="str">
        <f>'PLAN DE NECESIDADES'!D56</f>
        <v>PEINILLA: 
(LARGO: 120 MM ± 5 MM; ALTO: 28 MM ± 5 MM), ESPECIFICACIONES SEGÚN NORMA TÉCNICA NO. NTMD-0356 A2  ÍTEM  3.1.1.12</v>
      </c>
      <c r="E71" s="7" t="str">
        <f>'PLAN DE NECESIDADES'!E56</f>
        <v>UNIDAD</v>
      </c>
      <c r="F71" s="7">
        <f>'PLAN DE NECESIDADES'!F56</f>
        <v>0</v>
      </c>
      <c r="G71" s="7">
        <f>'PLAN DE NECESIDADES'!H56</f>
        <v>53131604</v>
      </c>
      <c r="H71" s="7">
        <f>'PLAN DE NECESIDADES'!I56</f>
        <v>1082385</v>
      </c>
      <c r="I71" s="7" t="str">
        <f>'PLAN DE NECESIDADES'!J56</f>
        <v>8530-80-0011404</v>
      </c>
      <c r="J71" s="7">
        <v>1</v>
      </c>
      <c r="K71" s="87">
        <v>69</v>
      </c>
      <c r="L71" s="87">
        <v>217</v>
      </c>
      <c r="M71" s="87">
        <v>279</v>
      </c>
      <c r="N71" s="87">
        <v>217</v>
      </c>
      <c r="O71" s="87">
        <v>248</v>
      </c>
      <c r="P71" s="87">
        <v>248</v>
      </c>
      <c r="Q71" s="87">
        <v>279</v>
      </c>
      <c r="R71" s="87">
        <v>125</v>
      </c>
      <c r="S71" s="87">
        <v>62</v>
      </c>
      <c r="T71" s="87">
        <v>279</v>
      </c>
      <c r="U71" s="87">
        <v>186</v>
      </c>
      <c r="V71" s="87">
        <v>32</v>
      </c>
      <c r="W71" s="87">
        <v>12</v>
      </c>
      <c r="X71" s="87">
        <v>186</v>
      </c>
      <c r="Y71" s="87">
        <v>186</v>
      </c>
      <c r="Z71" s="87">
        <f t="shared" si="458"/>
        <v>2656</v>
      </c>
      <c r="AA71" s="7">
        <f t="shared" si="459"/>
        <v>1529</v>
      </c>
      <c r="AB71" s="7">
        <f t="shared" si="460"/>
        <v>1127</v>
      </c>
      <c r="AC71" s="12">
        <v>1700</v>
      </c>
      <c r="AD71" s="7">
        <f t="shared" si="461"/>
        <v>69</v>
      </c>
      <c r="AE71" s="7">
        <f>J71*41</f>
        <v>41</v>
      </c>
      <c r="AF71" s="8">
        <f t="shared" si="462"/>
        <v>28</v>
      </c>
      <c r="AG71" s="14">
        <f t="shared" si="463"/>
        <v>69700</v>
      </c>
      <c r="AH71" s="7">
        <f t="shared" si="464"/>
        <v>217</v>
      </c>
      <c r="AI71" s="7">
        <f>J71*128</f>
        <v>128</v>
      </c>
      <c r="AJ71" s="8">
        <f t="shared" si="465"/>
        <v>89</v>
      </c>
      <c r="AK71" s="14">
        <f t="shared" si="466"/>
        <v>217600</v>
      </c>
      <c r="AL71" s="7">
        <f t="shared" si="467"/>
        <v>279</v>
      </c>
      <c r="AM71" s="7">
        <f>J71*163</f>
        <v>163</v>
      </c>
      <c r="AN71" s="8">
        <f t="shared" si="468"/>
        <v>116</v>
      </c>
      <c r="AO71" s="14">
        <f t="shared" si="469"/>
        <v>277100</v>
      </c>
      <c r="AP71" s="7">
        <f t="shared" si="470"/>
        <v>217</v>
      </c>
      <c r="AQ71" s="7">
        <f t="shared" ref="AQ71:AQ73" si="506">J71*126</f>
        <v>126</v>
      </c>
      <c r="AR71" s="8">
        <f t="shared" si="471"/>
        <v>91</v>
      </c>
      <c r="AS71" s="14">
        <f t="shared" si="472"/>
        <v>214200</v>
      </c>
      <c r="AT71" s="7">
        <f t="shared" si="473"/>
        <v>279</v>
      </c>
      <c r="AU71" s="7">
        <f>J71*143</f>
        <v>143</v>
      </c>
      <c r="AV71" s="8">
        <f t="shared" si="474"/>
        <v>136</v>
      </c>
      <c r="AW71" s="14">
        <f t="shared" si="475"/>
        <v>243100</v>
      </c>
      <c r="AX71" s="7">
        <f t="shared" ref="AX71:AX73" si="507">P71*J71</f>
        <v>248</v>
      </c>
      <c r="AY71" s="7">
        <f>J71*144</f>
        <v>144</v>
      </c>
      <c r="AZ71" s="8">
        <f t="shared" ref="AZ71:AZ73" si="508">AX71-AY71</f>
        <v>104</v>
      </c>
      <c r="BA71" s="14">
        <f t="shared" ref="BA71:BA73" si="509">AC71*AY71</f>
        <v>244800</v>
      </c>
      <c r="BB71" s="7">
        <f t="shared" ref="BB71:BB73" si="510">Q71*J71</f>
        <v>279</v>
      </c>
      <c r="BC71" s="7">
        <f>J71*163</f>
        <v>163</v>
      </c>
      <c r="BD71" s="8">
        <f t="shared" ref="BD71:BD73" si="511">BB71-BC71</f>
        <v>116</v>
      </c>
      <c r="BE71" s="14">
        <f t="shared" ref="BE71:BE73" si="512">BC71*AC71</f>
        <v>277100</v>
      </c>
      <c r="BF71" s="7">
        <f t="shared" si="482"/>
        <v>125</v>
      </c>
      <c r="BG71" s="7">
        <f>J71*73</f>
        <v>73</v>
      </c>
      <c r="BH71" s="8">
        <f t="shared" si="483"/>
        <v>52</v>
      </c>
      <c r="BI71" s="14">
        <f t="shared" si="484"/>
        <v>124100</v>
      </c>
      <c r="BJ71" s="7">
        <f t="shared" ref="BJ71:BJ73" si="513">S71*J71</f>
        <v>62</v>
      </c>
      <c r="BK71" s="7">
        <f t="shared" ref="BK71:BK73" si="514">J71*36</f>
        <v>36</v>
      </c>
      <c r="BL71" s="8">
        <f t="shared" si="485"/>
        <v>26</v>
      </c>
      <c r="BM71" s="14">
        <f t="shared" si="486"/>
        <v>61200</v>
      </c>
      <c r="BN71" s="7">
        <f t="shared" si="487"/>
        <v>279</v>
      </c>
      <c r="BO71" s="7">
        <f>J71*163</f>
        <v>163</v>
      </c>
      <c r="BP71" s="8">
        <f t="shared" si="488"/>
        <v>116</v>
      </c>
      <c r="BQ71" s="14">
        <f t="shared" si="489"/>
        <v>277100</v>
      </c>
      <c r="BR71" s="7">
        <f t="shared" ref="BR71:BR73" si="515">U71*J71</f>
        <v>186</v>
      </c>
      <c r="BS71" s="7">
        <f t="shared" ref="BS71:BS73" si="516">J71*108</f>
        <v>108</v>
      </c>
      <c r="BT71" s="8">
        <f t="shared" ref="BT71:BT73" si="517">BR71-BS71</f>
        <v>78</v>
      </c>
      <c r="BU71" s="14">
        <f t="shared" ref="BU71:BU73" si="518">BS71*AC71</f>
        <v>183600</v>
      </c>
      <c r="BV71" s="7">
        <f t="shared" si="493"/>
        <v>32</v>
      </c>
      <c r="BW71" s="7">
        <f>J71*18</f>
        <v>18</v>
      </c>
      <c r="BX71" s="8">
        <f t="shared" si="494"/>
        <v>14</v>
      </c>
      <c r="BY71" s="14">
        <f t="shared" si="495"/>
        <v>30600</v>
      </c>
      <c r="BZ71" s="7">
        <f t="shared" si="496"/>
        <v>12</v>
      </c>
      <c r="CA71" s="7">
        <f t="shared" si="497"/>
        <v>7</v>
      </c>
      <c r="CB71" s="8">
        <f t="shared" si="498"/>
        <v>5</v>
      </c>
      <c r="CC71" s="14">
        <f t="shared" si="499"/>
        <v>11900</v>
      </c>
      <c r="CD71" s="7">
        <f t="shared" si="500"/>
        <v>186</v>
      </c>
      <c r="CE71" s="7">
        <f t="shared" ref="CE71:CE73" si="519">J71*108</f>
        <v>108</v>
      </c>
      <c r="CF71" s="8">
        <f t="shared" si="501"/>
        <v>78</v>
      </c>
      <c r="CG71" s="14">
        <f t="shared" si="502"/>
        <v>183600</v>
      </c>
      <c r="CH71" s="7">
        <f t="shared" si="503"/>
        <v>186</v>
      </c>
      <c r="CI71" s="7">
        <f t="shared" ref="CI71:CI73" si="520">J71*108</f>
        <v>108</v>
      </c>
      <c r="CJ71" s="8">
        <f t="shared" si="504"/>
        <v>78</v>
      </c>
      <c r="CK71" s="14">
        <f t="shared" si="505"/>
        <v>183600</v>
      </c>
    </row>
    <row r="72" spans="2:90" x14ac:dyDescent="0.25">
      <c r="B72" s="7">
        <f>'PLAN DE NECESIDADES'!B57</f>
        <v>33</v>
      </c>
      <c r="C72" s="7">
        <f>'PLAN DE NECESIDADES'!C57</f>
        <v>3899306</v>
      </c>
      <c r="D72" s="62" t="str">
        <f>'PLAN DE NECESIDADES'!D57</f>
        <v>CEPILLOS GRANDE Y PEQUEÑO PARA BRILLAR CALZADO: DEBE ESTAR CONFORMADO POR UN MANGO Y UNA BASE, SOBRE LA CUAL SE FIJAN LAS CERDAS, APTOS PARA LIMPIAR, LAVAR, BRILLAR O BARRER, ESPECIFICACIONES SEGÚN NORMA TÉCNICA NO. NTMD-0356 A2  ÍTEM  3.1.1.16</v>
      </c>
      <c r="E72" s="7" t="str">
        <f>'PLAN DE NECESIDADES'!E57</f>
        <v>UNIDAD</v>
      </c>
      <c r="F72" s="7">
        <f>'PLAN DE NECESIDADES'!F57</f>
        <v>0</v>
      </c>
      <c r="G72" s="7">
        <f>'PLAN DE NECESIDADES'!H57</f>
        <v>27113000</v>
      </c>
      <c r="H72" s="7">
        <f>'PLAN DE NECESIDADES'!I57</f>
        <v>1017232</v>
      </c>
      <c r="I72" s="7" t="str">
        <f>'PLAN DE NECESIDADES'!J57</f>
        <v>7920-80-0011395</v>
      </c>
      <c r="J72" s="7">
        <v>1</v>
      </c>
      <c r="K72" s="87">
        <v>69</v>
      </c>
      <c r="L72" s="87">
        <v>217</v>
      </c>
      <c r="M72" s="87">
        <v>279</v>
      </c>
      <c r="N72" s="87">
        <v>217</v>
      </c>
      <c r="O72" s="87">
        <v>248</v>
      </c>
      <c r="P72" s="87">
        <v>248</v>
      </c>
      <c r="Q72" s="87">
        <v>279</v>
      </c>
      <c r="R72" s="87">
        <v>125</v>
      </c>
      <c r="S72" s="87">
        <v>62</v>
      </c>
      <c r="T72" s="87">
        <v>279</v>
      </c>
      <c r="U72" s="87">
        <v>186</v>
      </c>
      <c r="V72" s="87">
        <v>32</v>
      </c>
      <c r="W72" s="87">
        <v>12</v>
      </c>
      <c r="X72" s="87">
        <v>186</v>
      </c>
      <c r="Y72" s="87">
        <v>186</v>
      </c>
      <c r="Z72" s="87">
        <f t="shared" si="458"/>
        <v>2656</v>
      </c>
      <c r="AA72" s="7">
        <f t="shared" si="459"/>
        <v>1525</v>
      </c>
      <c r="AB72" s="7">
        <f t="shared" si="460"/>
        <v>1131</v>
      </c>
      <c r="AC72" s="12">
        <v>8100</v>
      </c>
      <c r="AD72" s="7">
        <f t="shared" si="461"/>
        <v>69</v>
      </c>
      <c r="AE72" s="7">
        <f>J72*40</f>
        <v>40</v>
      </c>
      <c r="AF72" s="8">
        <f t="shared" si="462"/>
        <v>29</v>
      </c>
      <c r="AG72" s="14">
        <f t="shared" si="463"/>
        <v>324000</v>
      </c>
      <c r="AH72" s="7">
        <f t="shared" si="464"/>
        <v>217</v>
      </c>
      <c r="AI72" s="7">
        <f t="shared" ref="AI72:AI73" si="521">J72*126</f>
        <v>126</v>
      </c>
      <c r="AJ72" s="8">
        <f t="shared" si="465"/>
        <v>91</v>
      </c>
      <c r="AK72" s="14">
        <f t="shared" si="466"/>
        <v>1020600</v>
      </c>
      <c r="AL72" s="7">
        <f t="shared" si="467"/>
        <v>279</v>
      </c>
      <c r="AM72" s="7">
        <f t="shared" ref="AM72:AM73" si="522">J72*162</f>
        <v>162</v>
      </c>
      <c r="AN72" s="8">
        <f t="shared" si="468"/>
        <v>117</v>
      </c>
      <c r="AO72" s="14">
        <f t="shared" si="469"/>
        <v>1312200</v>
      </c>
      <c r="AP72" s="7">
        <f t="shared" si="470"/>
        <v>217</v>
      </c>
      <c r="AQ72" s="7">
        <f t="shared" si="506"/>
        <v>126</v>
      </c>
      <c r="AR72" s="8">
        <f t="shared" si="471"/>
        <v>91</v>
      </c>
      <c r="AS72" s="14">
        <f t="shared" si="472"/>
        <v>1020600</v>
      </c>
      <c r="AT72" s="7">
        <f t="shared" si="473"/>
        <v>279</v>
      </c>
      <c r="AU72" s="7">
        <f t="shared" ref="AU72" si="523">J72*145</f>
        <v>145</v>
      </c>
      <c r="AV72" s="8">
        <f t="shared" si="474"/>
        <v>134</v>
      </c>
      <c r="AW72" s="14">
        <f t="shared" si="475"/>
        <v>1174500</v>
      </c>
      <c r="AX72" s="7">
        <f t="shared" si="507"/>
        <v>248</v>
      </c>
      <c r="AY72" s="7">
        <f>J72*144</f>
        <v>144</v>
      </c>
      <c r="AZ72" s="8">
        <f t="shared" si="508"/>
        <v>104</v>
      </c>
      <c r="BA72" s="14">
        <f t="shared" si="509"/>
        <v>1166400</v>
      </c>
      <c r="BB72" s="7">
        <f t="shared" si="510"/>
        <v>279</v>
      </c>
      <c r="BC72" s="7">
        <f t="shared" ref="BC72:BC73" si="524">J72*162</f>
        <v>162</v>
      </c>
      <c r="BD72" s="8">
        <f t="shared" si="511"/>
        <v>117</v>
      </c>
      <c r="BE72" s="14">
        <f t="shared" si="512"/>
        <v>1312200</v>
      </c>
      <c r="BF72" s="7">
        <f t="shared" si="482"/>
        <v>125</v>
      </c>
      <c r="BG72" s="7">
        <f t="shared" ref="BG72" si="525">J72*72</f>
        <v>72</v>
      </c>
      <c r="BH72" s="8">
        <f t="shared" si="483"/>
        <v>53</v>
      </c>
      <c r="BI72" s="14">
        <f t="shared" si="484"/>
        <v>583200</v>
      </c>
      <c r="BJ72" s="7">
        <f t="shared" si="513"/>
        <v>62</v>
      </c>
      <c r="BK72" s="7">
        <f t="shared" si="514"/>
        <v>36</v>
      </c>
      <c r="BL72" s="8">
        <f t="shared" si="485"/>
        <v>26</v>
      </c>
      <c r="BM72" s="14">
        <f t="shared" si="486"/>
        <v>291600</v>
      </c>
      <c r="BN72" s="7">
        <f t="shared" si="487"/>
        <v>279</v>
      </c>
      <c r="BO72" s="7">
        <f t="shared" ref="BO72:BO73" si="526">J72*162</f>
        <v>162</v>
      </c>
      <c r="BP72" s="8">
        <f t="shared" si="488"/>
        <v>117</v>
      </c>
      <c r="BQ72" s="14">
        <f t="shared" si="489"/>
        <v>1312200</v>
      </c>
      <c r="BR72" s="7">
        <f t="shared" si="515"/>
        <v>186</v>
      </c>
      <c r="BS72" s="7">
        <f t="shared" si="516"/>
        <v>108</v>
      </c>
      <c r="BT72" s="8">
        <f t="shared" si="517"/>
        <v>78</v>
      </c>
      <c r="BU72" s="14">
        <f t="shared" si="518"/>
        <v>874800</v>
      </c>
      <c r="BV72" s="7">
        <f t="shared" si="493"/>
        <v>32</v>
      </c>
      <c r="BW72" s="7">
        <f t="shared" ref="BW72" si="527">J72*19</f>
        <v>19</v>
      </c>
      <c r="BX72" s="8">
        <f t="shared" si="494"/>
        <v>13</v>
      </c>
      <c r="BY72" s="14">
        <f t="shared" si="495"/>
        <v>153900</v>
      </c>
      <c r="BZ72" s="7">
        <f t="shared" si="496"/>
        <v>12</v>
      </c>
      <c r="CA72" s="7">
        <f t="shared" si="497"/>
        <v>7</v>
      </c>
      <c r="CB72" s="8">
        <f t="shared" si="498"/>
        <v>5</v>
      </c>
      <c r="CC72" s="14">
        <f t="shared" si="499"/>
        <v>56700</v>
      </c>
      <c r="CD72" s="7">
        <f t="shared" si="500"/>
        <v>186</v>
      </c>
      <c r="CE72" s="7">
        <f t="shared" si="519"/>
        <v>108</v>
      </c>
      <c r="CF72" s="8">
        <f t="shared" si="501"/>
        <v>78</v>
      </c>
      <c r="CG72" s="14">
        <f t="shared" si="502"/>
        <v>874800</v>
      </c>
      <c r="CH72" s="7">
        <f t="shared" si="503"/>
        <v>186</v>
      </c>
      <c r="CI72" s="7">
        <f t="shared" si="520"/>
        <v>108</v>
      </c>
      <c r="CJ72" s="8">
        <f t="shared" si="504"/>
        <v>78</v>
      </c>
      <c r="CK72" s="14">
        <f t="shared" si="505"/>
        <v>874800</v>
      </c>
    </row>
    <row r="73" spans="2:90" x14ac:dyDescent="0.25">
      <c r="B73" s="7">
        <f>'PLAN DE NECESIDADES'!B58</f>
        <v>34</v>
      </c>
      <c r="C73" s="7">
        <f>'PLAN DE NECESIDADES'!C58</f>
        <v>3891103</v>
      </c>
      <c r="D73" s="62" t="str">
        <f>'PLAN DE NECESIDADES'!D58</f>
        <v>LAPICERO:
(14 CM DE LONGITUD Y 7 MM DE DIÁMETRO), ESPECIFICACIONES SEGÚN NORMA TÉCNICA NO. NTMD-0356 A2  ÍTEM  3.1.1.19</v>
      </c>
      <c r="E73" s="7" t="str">
        <f>'PLAN DE NECESIDADES'!E58</f>
        <v>UNIDAD</v>
      </c>
      <c r="F73" s="7">
        <f>'PLAN DE NECESIDADES'!F58</f>
        <v>0</v>
      </c>
      <c r="G73" s="7">
        <f>'PLAN DE NECESIDADES'!H58</f>
        <v>44121701</v>
      </c>
      <c r="H73" s="7">
        <f>'PLAN DE NECESIDADES'!I58</f>
        <v>1749319</v>
      </c>
      <c r="I73" s="7" t="str">
        <f>'PLAN DE NECESIDADES'!J58</f>
        <v>SIN CREAR</v>
      </c>
      <c r="J73" s="7">
        <v>1</v>
      </c>
      <c r="K73" s="87">
        <v>69</v>
      </c>
      <c r="L73" s="87">
        <v>217</v>
      </c>
      <c r="M73" s="87">
        <v>279</v>
      </c>
      <c r="N73" s="87">
        <v>217</v>
      </c>
      <c r="O73" s="87">
        <v>248</v>
      </c>
      <c r="P73" s="87">
        <v>248</v>
      </c>
      <c r="Q73" s="87">
        <v>279</v>
      </c>
      <c r="R73" s="87">
        <v>125</v>
      </c>
      <c r="S73" s="87">
        <v>62</v>
      </c>
      <c r="T73" s="87">
        <v>279</v>
      </c>
      <c r="U73" s="87">
        <v>186</v>
      </c>
      <c r="V73" s="87">
        <v>32</v>
      </c>
      <c r="W73" s="87">
        <v>12</v>
      </c>
      <c r="X73" s="87">
        <v>186</v>
      </c>
      <c r="Y73" s="87">
        <v>186</v>
      </c>
      <c r="Z73" s="87">
        <f t="shared" si="458"/>
        <v>2656</v>
      </c>
      <c r="AA73" s="7">
        <f t="shared" si="459"/>
        <v>1525</v>
      </c>
      <c r="AB73" s="7">
        <f t="shared" si="460"/>
        <v>1131</v>
      </c>
      <c r="AC73" s="12">
        <v>1200</v>
      </c>
      <c r="AD73" s="7">
        <f t="shared" si="461"/>
        <v>69</v>
      </c>
      <c r="AE73" s="7">
        <f>J73*40</f>
        <v>40</v>
      </c>
      <c r="AF73" s="8">
        <f t="shared" si="462"/>
        <v>29</v>
      </c>
      <c r="AG73" s="14">
        <f t="shared" si="463"/>
        <v>48000</v>
      </c>
      <c r="AH73" s="7">
        <f t="shared" si="464"/>
        <v>217</v>
      </c>
      <c r="AI73" s="7">
        <f t="shared" si="521"/>
        <v>126</v>
      </c>
      <c r="AJ73" s="8">
        <f t="shared" si="465"/>
        <v>91</v>
      </c>
      <c r="AK73" s="14">
        <f t="shared" si="466"/>
        <v>151200</v>
      </c>
      <c r="AL73" s="7">
        <f t="shared" si="467"/>
        <v>279</v>
      </c>
      <c r="AM73" s="7">
        <f t="shared" si="522"/>
        <v>162</v>
      </c>
      <c r="AN73" s="8">
        <f t="shared" si="468"/>
        <v>117</v>
      </c>
      <c r="AO73" s="14">
        <f t="shared" si="469"/>
        <v>194400</v>
      </c>
      <c r="AP73" s="7">
        <f t="shared" si="470"/>
        <v>217</v>
      </c>
      <c r="AQ73" s="7">
        <f t="shared" si="506"/>
        <v>126</v>
      </c>
      <c r="AR73" s="8">
        <f t="shared" si="471"/>
        <v>91</v>
      </c>
      <c r="AS73" s="14">
        <f t="shared" si="472"/>
        <v>151200</v>
      </c>
      <c r="AT73" s="7">
        <f t="shared" si="473"/>
        <v>279</v>
      </c>
      <c r="AU73" s="7">
        <f>J73*144</f>
        <v>144</v>
      </c>
      <c r="AV73" s="8">
        <f t="shared" si="474"/>
        <v>135</v>
      </c>
      <c r="AW73" s="14">
        <f t="shared" si="475"/>
        <v>172800</v>
      </c>
      <c r="AX73" s="7">
        <f t="shared" si="507"/>
        <v>248</v>
      </c>
      <c r="AY73" s="7">
        <f t="shared" ref="AY73" si="528">J73*145</f>
        <v>145</v>
      </c>
      <c r="AZ73" s="8">
        <f t="shared" si="508"/>
        <v>103</v>
      </c>
      <c r="BA73" s="14">
        <f t="shared" si="509"/>
        <v>174000</v>
      </c>
      <c r="BB73" s="7">
        <f t="shared" si="510"/>
        <v>279</v>
      </c>
      <c r="BC73" s="7">
        <f t="shared" si="524"/>
        <v>162</v>
      </c>
      <c r="BD73" s="8">
        <f t="shared" si="511"/>
        <v>117</v>
      </c>
      <c r="BE73" s="14">
        <f t="shared" si="512"/>
        <v>194400</v>
      </c>
      <c r="BF73" s="7">
        <f t="shared" si="482"/>
        <v>125</v>
      </c>
      <c r="BG73" s="7">
        <f>J73*74</f>
        <v>74</v>
      </c>
      <c r="BH73" s="8">
        <f t="shared" si="483"/>
        <v>51</v>
      </c>
      <c r="BI73" s="14">
        <f t="shared" si="484"/>
        <v>88800</v>
      </c>
      <c r="BJ73" s="7">
        <f t="shared" si="513"/>
        <v>62</v>
      </c>
      <c r="BK73" s="7">
        <f t="shared" si="514"/>
        <v>36</v>
      </c>
      <c r="BL73" s="8">
        <f t="shared" si="485"/>
        <v>26</v>
      </c>
      <c r="BM73" s="14">
        <f t="shared" si="486"/>
        <v>43200</v>
      </c>
      <c r="BN73" s="7">
        <f t="shared" si="487"/>
        <v>279</v>
      </c>
      <c r="BO73" s="7">
        <f t="shared" si="526"/>
        <v>162</v>
      </c>
      <c r="BP73" s="8">
        <f t="shared" si="488"/>
        <v>117</v>
      </c>
      <c r="BQ73" s="14">
        <f t="shared" si="489"/>
        <v>194400</v>
      </c>
      <c r="BR73" s="7">
        <f t="shared" si="515"/>
        <v>186</v>
      </c>
      <c r="BS73" s="7">
        <f t="shared" si="516"/>
        <v>108</v>
      </c>
      <c r="BT73" s="8">
        <f t="shared" si="517"/>
        <v>78</v>
      </c>
      <c r="BU73" s="14">
        <f t="shared" si="518"/>
        <v>129600</v>
      </c>
      <c r="BV73" s="7">
        <f t="shared" si="493"/>
        <v>32</v>
      </c>
      <c r="BW73" s="7">
        <f>J73*18</f>
        <v>18</v>
      </c>
      <c r="BX73" s="8">
        <f t="shared" si="494"/>
        <v>14</v>
      </c>
      <c r="BY73" s="14">
        <f t="shared" si="495"/>
        <v>21600</v>
      </c>
      <c r="BZ73" s="7">
        <f t="shared" si="496"/>
        <v>12</v>
      </c>
      <c r="CA73" s="7">
        <f>J73*6</f>
        <v>6</v>
      </c>
      <c r="CB73" s="8">
        <f t="shared" si="498"/>
        <v>6</v>
      </c>
      <c r="CC73" s="14">
        <f t="shared" si="499"/>
        <v>7200</v>
      </c>
      <c r="CD73" s="7">
        <f t="shared" si="500"/>
        <v>186</v>
      </c>
      <c r="CE73" s="7">
        <f t="shared" si="519"/>
        <v>108</v>
      </c>
      <c r="CF73" s="8">
        <f t="shared" si="501"/>
        <v>78</v>
      </c>
      <c r="CG73" s="14">
        <f t="shared" si="502"/>
        <v>129600</v>
      </c>
      <c r="CH73" s="7">
        <f t="shared" si="503"/>
        <v>186</v>
      </c>
      <c r="CI73" s="7">
        <f t="shared" si="520"/>
        <v>108</v>
      </c>
      <c r="CJ73" s="8">
        <f t="shared" si="504"/>
        <v>78</v>
      </c>
      <c r="CK73" s="14">
        <f t="shared" si="505"/>
        <v>129600</v>
      </c>
    </row>
    <row r="74" spans="2:90" x14ac:dyDescent="0.25">
      <c r="B74" s="156" t="s">
        <v>18</v>
      </c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  <c r="AC74" s="156"/>
      <c r="AD74" s="143">
        <f>SUM(AG70:AG73)</f>
        <v>561700</v>
      </c>
      <c r="AE74" s="143"/>
      <c r="AF74" s="143"/>
      <c r="AG74" s="143"/>
      <c r="AH74" s="143">
        <f t="shared" ref="AH74" si="529">SUM(AK70:AK73)</f>
        <v>1767400</v>
      </c>
      <c r="AI74" s="143"/>
      <c r="AJ74" s="143"/>
      <c r="AK74" s="143"/>
      <c r="AL74" s="143">
        <f t="shared" ref="AL74" si="530">SUM(AO70:AO73)</f>
        <v>2272700</v>
      </c>
      <c r="AM74" s="143"/>
      <c r="AN74" s="143"/>
      <c r="AO74" s="143"/>
      <c r="AP74" s="143">
        <f t="shared" ref="AP74" si="531">SUM(AS70:AS73)</f>
        <v>1767000</v>
      </c>
      <c r="AQ74" s="143"/>
      <c r="AR74" s="143"/>
      <c r="AS74" s="143"/>
      <c r="AT74" s="143">
        <f t="shared" ref="AT74" si="532">SUM(AW70:AW73)</f>
        <v>2019400</v>
      </c>
      <c r="AU74" s="143"/>
      <c r="AV74" s="143"/>
      <c r="AW74" s="143"/>
      <c r="AX74" s="143">
        <f t="shared" ref="AX74" si="533">SUM(BA70:BA73)</f>
        <v>2020200</v>
      </c>
      <c r="AY74" s="143"/>
      <c r="AZ74" s="143"/>
      <c r="BA74" s="143"/>
      <c r="BB74" s="143">
        <f t="shared" ref="BB74" si="534">SUM(BE70:BE73)</f>
        <v>2272700</v>
      </c>
      <c r="BC74" s="143"/>
      <c r="BD74" s="143"/>
      <c r="BE74" s="143"/>
      <c r="BF74" s="143">
        <f t="shared" ref="BF74" si="535">SUM(BI70:BI73)</f>
        <v>1018100</v>
      </c>
      <c r="BG74" s="143"/>
      <c r="BH74" s="143"/>
      <c r="BI74" s="143"/>
      <c r="BJ74" s="143">
        <f t="shared" ref="BJ74" si="536">SUM(BM70:BM73)</f>
        <v>504000</v>
      </c>
      <c r="BK74" s="143"/>
      <c r="BL74" s="143"/>
      <c r="BM74" s="143"/>
      <c r="BN74" s="143">
        <f t="shared" ref="BN74" si="537">SUM(BQ70:BQ73)</f>
        <v>2272700</v>
      </c>
      <c r="BO74" s="143"/>
      <c r="BP74" s="143"/>
      <c r="BQ74" s="143"/>
      <c r="BR74" s="143">
        <f t="shared" ref="BR74" si="538">SUM(BU70:BU73)</f>
        <v>1515000</v>
      </c>
      <c r="BS74" s="143"/>
      <c r="BT74" s="143"/>
      <c r="BU74" s="143"/>
      <c r="BV74" s="143">
        <f t="shared" ref="BV74" si="539">SUM(BY70:BY73)</f>
        <v>260100</v>
      </c>
      <c r="BW74" s="143"/>
      <c r="BX74" s="143"/>
      <c r="BY74" s="143"/>
      <c r="BZ74" s="143">
        <f t="shared" ref="BZ74" si="540">SUM(CC70:CC73)</f>
        <v>96800</v>
      </c>
      <c r="CA74" s="143"/>
      <c r="CB74" s="143"/>
      <c r="CC74" s="143"/>
      <c r="CD74" s="143">
        <f t="shared" ref="CD74" si="541">SUM(CG70:CG73)</f>
        <v>1515000</v>
      </c>
      <c r="CE74" s="143"/>
      <c r="CF74" s="143"/>
      <c r="CG74" s="143"/>
      <c r="CH74" s="143">
        <f t="shared" ref="CH74" si="542">SUM(CK70:CK73)</f>
        <v>1515000</v>
      </c>
      <c r="CI74" s="143"/>
      <c r="CJ74" s="143"/>
      <c r="CK74" s="143"/>
    </row>
    <row r="75" spans="2:90" x14ac:dyDescent="0.25">
      <c r="B75" s="156" t="s">
        <v>19</v>
      </c>
      <c r="C75" s="156"/>
      <c r="D75" s="156"/>
      <c r="E75" s="156"/>
      <c r="F75" s="156"/>
      <c r="G75" s="156"/>
      <c r="H75" s="156"/>
      <c r="I75" s="156"/>
      <c r="J75" s="156"/>
      <c r="K75" s="156"/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  <c r="AC75" s="156"/>
      <c r="AD75" s="143">
        <f>SUMIFS(PRESUPUESTO!$G$141:$G$155,PRESUPUESTO!$E$141:$E$155,MÍNIMAS!AD68)</f>
        <v>562100.86400000006</v>
      </c>
      <c r="AE75" s="143"/>
      <c r="AF75" s="143"/>
      <c r="AG75" s="143"/>
      <c r="AH75" s="143">
        <f>SUMIFS(PRESUPUESTO!$G$141:$G$155,PRESUPUESTO!$E$141:$E$155,MÍNIMAS!AH68)</f>
        <v>1767766.4853333335</v>
      </c>
      <c r="AI75" s="143"/>
      <c r="AJ75" s="143"/>
      <c r="AK75" s="143"/>
      <c r="AL75" s="143">
        <f>SUMIFS(PRESUPUESTO!$G$141:$G$155,PRESUPUESTO!$E$141:$E$155,MÍNIMAS!AL68)</f>
        <v>2272842.6239999998</v>
      </c>
      <c r="AM75" s="143"/>
      <c r="AN75" s="143"/>
      <c r="AO75" s="143"/>
      <c r="AP75" s="143">
        <f>SUMIFS(PRESUPUESTO!$G$141:$G$155,PRESUPUESTO!$E$141:$E$155,MÍNIMAS!AP68)</f>
        <v>1767766.4853333335</v>
      </c>
      <c r="AQ75" s="143"/>
      <c r="AR75" s="143"/>
      <c r="AS75" s="143"/>
      <c r="AT75" s="143">
        <f>SUMIFS(PRESUPUESTO!$G$141:$G$155,PRESUPUESTO!$E$141:$E$155,MÍNIMAS!AT68)</f>
        <v>2020304.5546666668</v>
      </c>
      <c r="AU75" s="143"/>
      <c r="AV75" s="143"/>
      <c r="AW75" s="143"/>
      <c r="AX75" s="143">
        <f>SUMIFS(PRESUPUESTO!$G$141:$G$155,PRESUPUESTO!$E$141:$E$155,MÍNIMAS!AX68)</f>
        <v>2020304.5546666668</v>
      </c>
      <c r="AY75" s="143"/>
      <c r="AZ75" s="143"/>
      <c r="BA75" s="143"/>
      <c r="BB75" s="143">
        <f>SUMIFS(PRESUPUESTO!$G$141:$G$155,PRESUPUESTO!$E$141:$E$155,MÍNIMAS!BB68)</f>
        <v>2272842.6239999998</v>
      </c>
      <c r="BC75" s="143"/>
      <c r="BD75" s="143"/>
      <c r="BE75" s="143"/>
      <c r="BF75" s="143">
        <f>SUMIFS(PRESUPUESTO!$G$141:$G$155,PRESUPUESTO!$E$141:$E$155,MÍNIMAS!BF68)</f>
        <v>1018298.6666666667</v>
      </c>
      <c r="BG75" s="143"/>
      <c r="BH75" s="143"/>
      <c r="BI75" s="143"/>
      <c r="BJ75" s="143">
        <f>SUMIFS(PRESUPUESTO!$G$141:$G$155,PRESUPUESTO!$E$141:$E$155,MÍNIMAS!BJ68)</f>
        <v>505076.13866666669</v>
      </c>
      <c r="BK75" s="143"/>
      <c r="BL75" s="143"/>
      <c r="BM75" s="143"/>
      <c r="BN75" s="143">
        <f>SUMIFS(PRESUPUESTO!$G$141:$G$155,PRESUPUESTO!$E$141:$E$155,MÍNIMAS!BN68)</f>
        <v>2272842.6239999998</v>
      </c>
      <c r="BO75" s="143"/>
      <c r="BP75" s="143"/>
      <c r="BQ75" s="143"/>
      <c r="BR75" s="143">
        <f>SUMIFS(PRESUPUESTO!$G$141:$G$155,PRESUPUESTO!$E$141:$E$155,MÍNIMAS!BR68)</f>
        <v>1515228.416</v>
      </c>
      <c r="BS75" s="143"/>
      <c r="BT75" s="143"/>
      <c r="BU75" s="143"/>
      <c r="BV75" s="143">
        <f>SUMIFS(PRESUPUESTO!$G$141:$G$155,PRESUPUESTO!$E$141:$E$155,MÍNIMAS!BV68)</f>
        <v>260684.45866666667</v>
      </c>
      <c r="BW75" s="143"/>
      <c r="BX75" s="143"/>
      <c r="BY75" s="143"/>
      <c r="BZ75" s="143">
        <f>SUMIFS(PRESUPUESTO!$G$141:$G$155,PRESUPUESTO!$E$141:$E$155,MÍNIMAS!BZ68)</f>
        <v>97756.672000000006</v>
      </c>
      <c r="CA75" s="143"/>
      <c r="CB75" s="143"/>
      <c r="CC75" s="143"/>
      <c r="CD75" s="143">
        <f>SUMIFS(PRESUPUESTO!$G$141:$G$155,PRESUPUESTO!$E$141:$E$155,MÍNIMAS!CD68)</f>
        <v>1515228.416</v>
      </c>
      <c r="CE75" s="143"/>
      <c r="CF75" s="143"/>
      <c r="CG75" s="143"/>
      <c r="CH75" s="143">
        <f>SUMIFS(PRESUPUESTO!$G$141:$G$155,PRESUPUESTO!$E$141:$E$155,MÍNIMAS!CH68)</f>
        <v>1515228.416</v>
      </c>
      <c r="CI75" s="143"/>
      <c r="CJ75" s="143"/>
      <c r="CK75" s="143"/>
      <c r="CL75" s="37">
        <f>SUM(AD75:CK75)</f>
        <v>21384272</v>
      </c>
    </row>
    <row r="76" spans="2:90" x14ac:dyDescent="0.25">
      <c r="B76" s="156" t="s">
        <v>10</v>
      </c>
      <c r="C76" s="156"/>
      <c r="D76" s="156"/>
      <c r="E76" s="156"/>
      <c r="F76" s="156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  <c r="AD76" s="163">
        <f>AD75-AD74</f>
        <v>400.8640000000596</v>
      </c>
      <c r="AE76" s="163"/>
      <c r="AF76" s="163"/>
      <c r="AG76" s="163"/>
      <c r="AH76" s="163">
        <f>AH75-AH74</f>
        <v>366.48533333349042</v>
      </c>
      <c r="AI76" s="163"/>
      <c r="AJ76" s="163"/>
      <c r="AK76" s="163"/>
      <c r="AL76" s="163">
        <f>AL75-AL74</f>
        <v>142.62399999983609</v>
      </c>
      <c r="AM76" s="163"/>
      <c r="AN76" s="163"/>
      <c r="AO76" s="163"/>
      <c r="AP76" s="163">
        <f t="shared" ref="AP76" si="543">AP75-AP74</f>
        <v>766.48533333349042</v>
      </c>
      <c r="AQ76" s="163"/>
      <c r="AR76" s="163"/>
      <c r="AS76" s="163"/>
      <c r="AT76" s="163">
        <f>AT75-AT74</f>
        <v>904.55466666677967</v>
      </c>
      <c r="AU76" s="163"/>
      <c r="AV76" s="163"/>
      <c r="AW76" s="163"/>
      <c r="AX76" s="163">
        <f>AX75-AX74</f>
        <v>104.55466666677967</v>
      </c>
      <c r="AY76" s="163"/>
      <c r="AZ76" s="163"/>
      <c r="BA76" s="163"/>
      <c r="BB76" s="163">
        <f>BB75-BB74</f>
        <v>142.62399999983609</v>
      </c>
      <c r="BC76" s="163"/>
      <c r="BD76" s="163"/>
      <c r="BE76" s="163"/>
      <c r="BF76" s="163">
        <f t="shared" ref="BF76" si="544">BF75-BF74</f>
        <v>198.66666666674428</v>
      </c>
      <c r="BG76" s="163"/>
      <c r="BH76" s="163"/>
      <c r="BI76" s="163"/>
      <c r="BJ76" s="163">
        <f>BJ75-BJ74</f>
        <v>1076.1386666666949</v>
      </c>
      <c r="BK76" s="163"/>
      <c r="BL76" s="163"/>
      <c r="BM76" s="163"/>
      <c r="BN76" s="163">
        <f>BN75-BN74</f>
        <v>142.62399999983609</v>
      </c>
      <c r="BO76" s="163"/>
      <c r="BP76" s="163"/>
      <c r="BQ76" s="163"/>
      <c r="BR76" s="163">
        <f>BR75-BR74</f>
        <v>228.41599999996834</v>
      </c>
      <c r="BS76" s="163"/>
      <c r="BT76" s="163"/>
      <c r="BU76" s="163"/>
      <c r="BV76" s="163">
        <f t="shared" ref="BV76" si="545">BV75-BV74</f>
        <v>584.4586666666728</v>
      </c>
      <c r="BW76" s="163"/>
      <c r="BX76" s="163"/>
      <c r="BY76" s="163"/>
      <c r="BZ76" s="163">
        <f>BZ75-BZ74</f>
        <v>956.67200000000594</v>
      </c>
      <c r="CA76" s="163"/>
      <c r="CB76" s="163"/>
      <c r="CC76" s="163"/>
      <c r="CD76" s="163">
        <f>CD75-CD74</f>
        <v>228.41599999996834</v>
      </c>
      <c r="CE76" s="163"/>
      <c r="CF76" s="163"/>
      <c r="CG76" s="163"/>
      <c r="CH76" s="163">
        <f>CH75-CH74</f>
        <v>228.41599999996834</v>
      </c>
      <c r="CI76" s="163"/>
      <c r="CJ76" s="163"/>
      <c r="CK76" s="163"/>
    </row>
    <row r="78" spans="2:90" x14ac:dyDescent="0.25">
      <c r="B78" s="159" t="s">
        <v>149</v>
      </c>
      <c r="C78" s="160"/>
      <c r="D78" s="160"/>
      <c r="E78" s="160"/>
      <c r="F78" s="160"/>
      <c r="G78" s="16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  <c r="V78" s="160"/>
      <c r="W78" s="160"/>
      <c r="X78" s="160"/>
      <c r="Y78" s="160"/>
      <c r="Z78" s="160"/>
      <c r="AA78" s="160"/>
      <c r="AB78" s="160"/>
      <c r="AC78" s="160"/>
      <c r="AD78" s="159"/>
      <c r="AE78" s="160"/>
      <c r="AF78" s="160"/>
      <c r="AG78" s="160"/>
      <c r="AH78" s="160"/>
      <c r="AI78" s="160"/>
      <c r="AJ78" s="160"/>
      <c r="AK78" s="160"/>
      <c r="AL78" s="160"/>
      <c r="AM78" s="160"/>
      <c r="AN78" s="160"/>
      <c r="AO78" s="160"/>
      <c r="AP78" s="160"/>
      <c r="AQ78" s="159"/>
      <c r="AR78" s="160"/>
      <c r="AS78" s="160"/>
      <c r="AT78" s="160"/>
      <c r="AU78" s="160"/>
      <c r="AV78" s="160"/>
      <c r="AW78" s="160"/>
      <c r="AX78" s="160"/>
      <c r="AY78" s="160"/>
      <c r="AZ78" s="160"/>
      <c r="BA78" s="160"/>
      <c r="BB78" s="160"/>
      <c r="BC78" s="160"/>
      <c r="BD78" s="159"/>
      <c r="BE78" s="160"/>
      <c r="BF78" s="160"/>
      <c r="BG78" s="160"/>
      <c r="BH78" s="160"/>
      <c r="BI78" s="160"/>
      <c r="BJ78" s="160"/>
      <c r="BK78" s="160"/>
      <c r="BL78" s="160"/>
      <c r="BM78" s="160"/>
      <c r="BN78" s="160"/>
      <c r="BO78" s="160"/>
      <c r="BP78" s="160"/>
      <c r="BQ78" s="159"/>
      <c r="BR78" s="160"/>
      <c r="BS78" s="160"/>
      <c r="BT78" s="160"/>
      <c r="BU78" s="160"/>
      <c r="BV78" s="160"/>
      <c r="BW78" s="160"/>
      <c r="BX78" s="160"/>
      <c r="BY78" s="160"/>
      <c r="BZ78" s="160"/>
      <c r="CA78" s="160"/>
      <c r="CB78" s="160"/>
      <c r="CC78" s="160"/>
      <c r="CD78" s="159"/>
      <c r="CE78" s="160"/>
      <c r="CF78" s="160"/>
      <c r="CG78" s="160"/>
      <c r="CH78" s="160"/>
      <c r="CI78" s="160"/>
      <c r="CJ78" s="160"/>
      <c r="CK78" s="160"/>
    </row>
    <row r="79" spans="2:90" ht="28.5" customHeight="1" x14ac:dyDescent="0.25">
      <c r="B79" s="158" t="str">
        <f>'PLAN DE NECESIDADES'!B62</f>
        <v>ÍTEM</v>
      </c>
      <c r="C79" s="158" t="str">
        <f>'PLAN DE NECESIDADES'!C62</f>
        <v>CÓDIGO DANE</v>
      </c>
      <c r="D79" s="158" t="str">
        <f>'PLAN DE NECESIDADES'!D62</f>
        <v xml:space="preserve">DESCRIPCIÓN DEL BIEN Y/O SERVICIO </v>
      </c>
      <c r="E79" s="158" t="str">
        <f>'PLAN DE NECESIDADES'!E62</f>
        <v>UNIDAD MEDIDA</v>
      </c>
      <c r="F79" s="158" t="str">
        <f>'PLAN DE NECESIDADES'!F62</f>
        <v>EXISTENCIAS (STOCK - INVENTARIOS)</v>
      </c>
      <c r="G79" s="158" t="str">
        <f>'PLAN DE NECESIDADES'!H62</f>
        <v>UNSPSC (CCE)</v>
      </c>
      <c r="H79" s="158" t="str">
        <f>'PLAN DE NECESIDADES'!I62</f>
        <v xml:space="preserve">CÓDIGO MATERIAL SAP </v>
      </c>
      <c r="I79" s="158" t="str">
        <f>'PLAN DE NECESIDADES'!J62</f>
        <v xml:space="preserve">CÓDIGO OTAN - NOC </v>
      </c>
      <c r="J79" s="161" t="s">
        <v>155</v>
      </c>
      <c r="K79" s="139" t="str">
        <f>AD79</f>
        <v>BAABS3</v>
      </c>
      <c r="L79" s="139" t="str">
        <f>AH79</f>
        <v>BAACA10</v>
      </c>
      <c r="M79" s="139" t="str">
        <f>AL79</f>
        <v>BAACA2</v>
      </c>
      <c r="N79" s="139" t="str">
        <f>AP79</f>
        <v>BAADA1</v>
      </c>
      <c r="O79" s="139" t="str">
        <f>AT79</f>
        <v>BAEEV2</v>
      </c>
      <c r="P79" s="139" t="str">
        <f>AX79</f>
        <v>BAEEV3</v>
      </c>
      <c r="Q79" s="139" t="str">
        <f>BB79</f>
        <v>BAMMA7</v>
      </c>
      <c r="R79" s="139" t="str">
        <f>BF79</f>
        <v>BASPC10</v>
      </c>
      <c r="S79" s="139" t="str">
        <f>BJ79</f>
        <v>BASAC</v>
      </c>
      <c r="T79" s="139" t="str">
        <f>BN79</f>
        <v>BICAR</v>
      </c>
      <c r="U79" s="139" t="str">
        <f>BR79</f>
        <v>BIMOC70</v>
      </c>
      <c r="V79" s="139" t="str">
        <f>BV79</f>
        <v>BITER10</v>
      </c>
      <c r="W79" s="139" t="str">
        <f>BZ79</f>
        <v>DIM15</v>
      </c>
      <c r="X79" s="139" t="str">
        <f>CD79</f>
        <v>GMMAT</v>
      </c>
      <c r="Y79" s="139" t="str">
        <f>CH79</f>
        <v>GMRON</v>
      </c>
      <c r="Z79" s="141" t="s">
        <v>13</v>
      </c>
      <c r="AA79" s="157" t="s">
        <v>14</v>
      </c>
      <c r="AB79" s="157" t="s">
        <v>12</v>
      </c>
      <c r="AC79" s="157" t="s">
        <v>4</v>
      </c>
      <c r="AD79" s="144" t="s">
        <v>29</v>
      </c>
      <c r="AE79" s="145"/>
      <c r="AF79" s="145"/>
      <c r="AG79" s="146"/>
      <c r="AH79" s="147" t="s">
        <v>30</v>
      </c>
      <c r="AI79" s="148"/>
      <c r="AJ79" s="148"/>
      <c r="AK79" s="149"/>
      <c r="AL79" s="150" t="s">
        <v>31</v>
      </c>
      <c r="AM79" s="151"/>
      <c r="AN79" s="151"/>
      <c r="AO79" s="152"/>
      <c r="AP79" s="153" t="s">
        <v>32</v>
      </c>
      <c r="AQ79" s="154"/>
      <c r="AR79" s="154"/>
      <c r="AS79" s="155"/>
      <c r="AT79" s="144" t="s">
        <v>27</v>
      </c>
      <c r="AU79" s="145"/>
      <c r="AV79" s="145"/>
      <c r="AW79" s="146"/>
      <c r="AX79" s="147" t="s">
        <v>33</v>
      </c>
      <c r="AY79" s="148"/>
      <c r="AZ79" s="148"/>
      <c r="BA79" s="149"/>
      <c r="BB79" s="150" t="s">
        <v>66</v>
      </c>
      <c r="BC79" s="151"/>
      <c r="BD79" s="151"/>
      <c r="BE79" s="152"/>
      <c r="BF79" s="153" t="s">
        <v>67</v>
      </c>
      <c r="BG79" s="154"/>
      <c r="BH79" s="154"/>
      <c r="BI79" s="155"/>
      <c r="BJ79" s="144" t="s">
        <v>34</v>
      </c>
      <c r="BK79" s="145"/>
      <c r="BL79" s="145"/>
      <c r="BM79" s="146"/>
      <c r="BN79" s="147" t="s">
        <v>35</v>
      </c>
      <c r="BO79" s="148"/>
      <c r="BP79" s="148"/>
      <c r="BQ79" s="149"/>
      <c r="BR79" s="150" t="s">
        <v>68</v>
      </c>
      <c r="BS79" s="151"/>
      <c r="BT79" s="151"/>
      <c r="BU79" s="152"/>
      <c r="BV79" s="153" t="s">
        <v>36</v>
      </c>
      <c r="BW79" s="154"/>
      <c r="BX79" s="154"/>
      <c r="BY79" s="155"/>
      <c r="BZ79" s="144" t="s">
        <v>37</v>
      </c>
      <c r="CA79" s="145"/>
      <c r="CB79" s="145"/>
      <c r="CC79" s="146"/>
      <c r="CD79" s="147" t="s">
        <v>69</v>
      </c>
      <c r="CE79" s="148"/>
      <c r="CF79" s="148"/>
      <c r="CG79" s="149"/>
      <c r="CH79" s="150" t="s">
        <v>38</v>
      </c>
      <c r="CI79" s="151"/>
      <c r="CJ79" s="151"/>
      <c r="CK79" s="152"/>
    </row>
    <row r="80" spans="2:90" ht="28.5" customHeight="1" x14ac:dyDescent="0.25">
      <c r="B80" s="158"/>
      <c r="C80" s="158"/>
      <c r="D80" s="158"/>
      <c r="E80" s="158"/>
      <c r="F80" s="158"/>
      <c r="G80" s="158"/>
      <c r="H80" s="158"/>
      <c r="I80" s="158"/>
      <c r="J80" s="162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0"/>
      <c r="Y80" s="140"/>
      <c r="Z80" s="142"/>
      <c r="AA80" s="157"/>
      <c r="AB80" s="157"/>
      <c r="AC80" s="157"/>
      <c r="AD80" s="20" t="s">
        <v>15</v>
      </c>
      <c r="AE80" s="21" t="s">
        <v>16</v>
      </c>
      <c r="AF80" s="22" t="s">
        <v>17</v>
      </c>
      <c r="AG80" s="20" t="s">
        <v>20</v>
      </c>
      <c r="AH80" s="3" t="s">
        <v>15</v>
      </c>
      <c r="AI80" s="4" t="s">
        <v>16</v>
      </c>
      <c r="AJ80" s="5" t="s">
        <v>17</v>
      </c>
      <c r="AK80" s="3" t="s">
        <v>20</v>
      </c>
      <c r="AL80" s="53" t="s">
        <v>15</v>
      </c>
      <c r="AM80" s="23" t="s">
        <v>16</v>
      </c>
      <c r="AN80" s="24" t="s">
        <v>17</v>
      </c>
      <c r="AO80" s="53" t="s">
        <v>20</v>
      </c>
      <c r="AP80" s="25" t="s">
        <v>15</v>
      </c>
      <c r="AQ80" s="26" t="s">
        <v>16</v>
      </c>
      <c r="AR80" s="27" t="s">
        <v>17</v>
      </c>
      <c r="AS80" s="25" t="s">
        <v>20</v>
      </c>
      <c r="AT80" s="20" t="s">
        <v>15</v>
      </c>
      <c r="AU80" s="21" t="s">
        <v>16</v>
      </c>
      <c r="AV80" s="22" t="s">
        <v>17</v>
      </c>
      <c r="AW80" s="20" t="s">
        <v>20</v>
      </c>
      <c r="AX80" s="3" t="s">
        <v>15</v>
      </c>
      <c r="AY80" s="4" t="s">
        <v>16</v>
      </c>
      <c r="AZ80" s="5" t="s">
        <v>17</v>
      </c>
      <c r="BA80" s="3" t="s">
        <v>20</v>
      </c>
      <c r="BB80" s="53" t="s">
        <v>15</v>
      </c>
      <c r="BC80" s="23" t="s">
        <v>16</v>
      </c>
      <c r="BD80" s="24" t="s">
        <v>17</v>
      </c>
      <c r="BE80" s="53" t="s">
        <v>20</v>
      </c>
      <c r="BF80" s="25" t="s">
        <v>15</v>
      </c>
      <c r="BG80" s="26" t="s">
        <v>16</v>
      </c>
      <c r="BH80" s="27" t="s">
        <v>17</v>
      </c>
      <c r="BI80" s="25" t="s">
        <v>20</v>
      </c>
      <c r="BJ80" s="20" t="s">
        <v>15</v>
      </c>
      <c r="BK80" s="21" t="s">
        <v>16</v>
      </c>
      <c r="BL80" s="22" t="s">
        <v>17</v>
      </c>
      <c r="BM80" s="20" t="s">
        <v>20</v>
      </c>
      <c r="BN80" s="3" t="s">
        <v>15</v>
      </c>
      <c r="BO80" s="4" t="s">
        <v>16</v>
      </c>
      <c r="BP80" s="5" t="s">
        <v>17</v>
      </c>
      <c r="BQ80" s="3" t="s">
        <v>20</v>
      </c>
      <c r="BR80" s="53" t="s">
        <v>15</v>
      </c>
      <c r="BS80" s="23" t="s">
        <v>16</v>
      </c>
      <c r="BT80" s="24" t="s">
        <v>17</v>
      </c>
      <c r="BU80" s="53" t="s">
        <v>20</v>
      </c>
      <c r="BV80" s="25" t="s">
        <v>15</v>
      </c>
      <c r="BW80" s="26" t="s">
        <v>16</v>
      </c>
      <c r="BX80" s="27" t="s">
        <v>17</v>
      </c>
      <c r="BY80" s="25" t="s">
        <v>20</v>
      </c>
      <c r="BZ80" s="20" t="s">
        <v>15</v>
      </c>
      <c r="CA80" s="21" t="s">
        <v>16</v>
      </c>
      <c r="CB80" s="22" t="s">
        <v>17</v>
      </c>
      <c r="CC80" s="20" t="s">
        <v>20</v>
      </c>
      <c r="CD80" s="3" t="s">
        <v>15</v>
      </c>
      <c r="CE80" s="4" t="s">
        <v>16</v>
      </c>
      <c r="CF80" s="5" t="s">
        <v>17</v>
      </c>
      <c r="CG80" s="3" t="s">
        <v>20</v>
      </c>
      <c r="CH80" s="53" t="s">
        <v>15</v>
      </c>
      <c r="CI80" s="23" t="s">
        <v>16</v>
      </c>
      <c r="CJ80" s="24" t="s">
        <v>17</v>
      </c>
      <c r="CK80" s="53" t="s">
        <v>20</v>
      </c>
    </row>
    <row r="81" spans="2:90" x14ac:dyDescent="0.25">
      <c r="B81" s="7">
        <f>'PLAN DE NECESIDADES'!B63</f>
        <v>35</v>
      </c>
      <c r="C81" s="7">
        <f>'PLAN DE NECESIDADES'!C63</f>
        <v>4291403</v>
      </c>
      <c r="D81" s="62" t="str">
        <f>'PLAN DE NECESIDADES'!D63</f>
        <v>MAQUINA  PARA AFEITAR: DESECHABLE, MÍNIMO TRIPLE HOJA, DEBE TENER BANDA LUBRICANTE ESPECIFICACIONES SEGÚN NORMA TÉCNICA NO. NTMD-0356 A2 ÍTEM  3.1.1.4</v>
      </c>
      <c r="E81" s="7" t="str">
        <f>'PLAN DE NECESIDADES'!E63</f>
        <v>UNIDAD</v>
      </c>
      <c r="F81" s="7">
        <f>'PLAN DE NECESIDADES'!F63</f>
        <v>0</v>
      </c>
      <c r="G81" s="7">
        <f>'PLAN DE NECESIDADES'!H63</f>
        <v>53131603</v>
      </c>
      <c r="H81" s="7">
        <f>'PLAN DE NECESIDADES'!I63</f>
        <v>1266905</v>
      </c>
      <c r="I81" s="7" t="str">
        <f>'PLAN DE NECESIDADES'!J63</f>
        <v>SIN CREAR</v>
      </c>
      <c r="J81" s="7">
        <v>3</v>
      </c>
      <c r="K81" s="87">
        <v>69</v>
      </c>
      <c r="L81" s="87">
        <v>217</v>
      </c>
      <c r="M81" s="87">
        <v>279</v>
      </c>
      <c r="N81" s="87">
        <v>217</v>
      </c>
      <c r="O81" s="87">
        <v>248</v>
      </c>
      <c r="P81" s="87">
        <v>248</v>
      </c>
      <c r="Q81" s="87">
        <v>279</v>
      </c>
      <c r="R81" s="87">
        <v>125</v>
      </c>
      <c r="S81" s="87">
        <v>62</v>
      </c>
      <c r="T81" s="87">
        <v>279</v>
      </c>
      <c r="U81" s="87">
        <v>186</v>
      </c>
      <c r="V81" s="87">
        <v>32</v>
      </c>
      <c r="W81" s="87">
        <v>12</v>
      </c>
      <c r="X81" s="87">
        <v>186</v>
      </c>
      <c r="Y81" s="87">
        <v>186</v>
      </c>
      <c r="Z81" s="87">
        <f t="shared" ref="Z81:Z84" si="546">SUM(AD81,AH81,AL81,AP81,AT81,AX81,BB81,BF81,BJ81,BN81,BR81,BV81,BZ81,CD81,CH81)</f>
        <v>7968</v>
      </c>
      <c r="AA81" s="7">
        <f t="shared" ref="AA81:AA84" si="547">SUM(AE81,AI81,AM81,AQ81,AU81,AY81,BC81,BG81,BK81,BO81,BS81,BW81,CA81,CE81,CI81)</f>
        <v>4908</v>
      </c>
      <c r="AB81" s="7">
        <f t="shared" ref="AB81:AB84" si="548">SUM(AF81,AJ81,AN81,AR81,AV81,AZ81,BD81,BH81,BL81,BP81,BT81,BX81,CB81,CF81,CJ81)</f>
        <v>3060</v>
      </c>
      <c r="AC81" s="12">
        <v>3500</v>
      </c>
      <c r="AD81" s="7">
        <f t="shared" ref="AD81:AD84" si="549">K81*J81</f>
        <v>207</v>
      </c>
      <c r="AE81" s="7">
        <f>J81*44</f>
        <v>132</v>
      </c>
      <c r="AF81" s="8">
        <f t="shared" ref="AF81:AF84" si="550">AD81-AE81</f>
        <v>75</v>
      </c>
      <c r="AG81" s="14">
        <f t="shared" ref="AG81:AG84" si="551">AC81*AE81</f>
        <v>462000</v>
      </c>
      <c r="AH81" s="7">
        <f t="shared" ref="AH81:AH84" si="552">L81*J81</f>
        <v>651</v>
      </c>
      <c r="AI81" s="7">
        <f>J81*135</f>
        <v>405</v>
      </c>
      <c r="AJ81" s="8">
        <f t="shared" ref="AJ81:AJ84" si="553">AH81-AI81</f>
        <v>246</v>
      </c>
      <c r="AK81" s="14">
        <f t="shared" ref="AK81:AK84" si="554">AC81*AI81</f>
        <v>1417500</v>
      </c>
      <c r="AL81" s="7">
        <f t="shared" ref="AL81:AL84" si="555">M81*J81</f>
        <v>837</v>
      </c>
      <c r="AM81" s="7">
        <f>J81*174</f>
        <v>522</v>
      </c>
      <c r="AN81" s="8">
        <f t="shared" ref="AN81:AN84" si="556">AL81-AM81</f>
        <v>315</v>
      </c>
      <c r="AO81" s="14">
        <f t="shared" ref="AO81:AO84" si="557">AC81*AM81</f>
        <v>1827000</v>
      </c>
      <c r="AP81" s="7">
        <f t="shared" ref="AP81:AP84" si="558">N81*J81</f>
        <v>651</v>
      </c>
      <c r="AQ81" s="7">
        <f>J81*135</f>
        <v>405</v>
      </c>
      <c r="AR81" s="8">
        <f t="shared" ref="AR81:AR84" si="559">AP81-AQ81</f>
        <v>246</v>
      </c>
      <c r="AS81" s="14">
        <f t="shared" ref="AS81:AS84" si="560">AC81*AQ81</f>
        <v>1417500</v>
      </c>
      <c r="AT81" s="7">
        <f t="shared" ref="AT81:AT84" si="561">M81*J81</f>
        <v>837</v>
      </c>
      <c r="AU81" s="7">
        <f>J81*155</f>
        <v>465</v>
      </c>
      <c r="AV81" s="8">
        <f t="shared" ref="AV81:AV84" si="562">AT81-AU81</f>
        <v>372</v>
      </c>
      <c r="AW81" s="14">
        <f t="shared" ref="AW81:AW84" si="563">AU81*AC81</f>
        <v>1627500</v>
      </c>
      <c r="AX81" s="7">
        <f t="shared" ref="AX81" si="564">P81*J81</f>
        <v>744</v>
      </c>
      <c r="AY81" s="7">
        <f t="shared" ref="AY81" si="565">J81*155</f>
        <v>465</v>
      </c>
      <c r="AZ81" s="8">
        <f t="shared" ref="AZ81" si="566">AX81-AY81</f>
        <v>279</v>
      </c>
      <c r="BA81" s="14">
        <f t="shared" ref="BA81" si="567">AC81*AY81</f>
        <v>1627500</v>
      </c>
      <c r="BB81" s="7">
        <f t="shared" ref="BB81" si="568">Q81*J81</f>
        <v>837</v>
      </c>
      <c r="BC81" s="7">
        <f>J81*174</f>
        <v>522</v>
      </c>
      <c r="BD81" s="8">
        <f t="shared" ref="BD81" si="569">BB81-BC81</f>
        <v>315</v>
      </c>
      <c r="BE81" s="14">
        <f t="shared" ref="BE81" si="570">BC81*AC81</f>
        <v>1827000</v>
      </c>
      <c r="BF81" s="7">
        <f t="shared" ref="BF81" si="571">R81*J81</f>
        <v>375</v>
      </c>
      <c r="BG81" s="7">
        <f>J81*78</f>
        <v>234</v>
      </c>
      <c r="BH81" s="8">
        <f t="shared" ref="BH81" si="572">BF81-BG81</f>
        <v>141</v>
      </c>
      <c r="BI81" s="14">
        <f t="shared" ref="BI81" si="573">BG81*AC81</f>
        <v>819000</v>
      </c>
      <c r="BJ81" s="7">
        <f t="shared" ref="BJ81:BJ84" si="574">S81*J81</f>
        <v>186</v>
      </c>
      <c r="BK81" s="7">
        <f>J81*39</f>
        <v>117</v>
      </c>
      <c r="BL81" s="8">
        <f t="shared" ref="BL81:BL84" si="575">BJ81-BK81</f>
        <v>69</v>
      </c>
      <c r="BM81" s="14">
        <f t="shared" ref="BM81:BM84" si="576">BK81*AC81</f>
        <v>409500</v>
      </c>
      <c r="BN81" s="7">
        <f t="shared" ref="BN81:BN84" si="577">T81*J81</f>
        <v>837</v>
      </c>
      <c r="BO81" s="7">
        <f>J81*174</f>
        <v>522</v>
      </c>
      <c r="BP81" s="8">
        <f t="shared" ref="BP81:BP84" si="578">BN81-BO81</f>
        <v>315</v>
      </c>
      <c r="BQ81" s="14">
        <f t="shared" ref="BQ81:BQ84" si="579">BO81*AC81</f>
        <v>1827000</v>
      </c>
      <c r="BR81" s="7">
        <f t="shared" ref="BR81:BR84" si="580">U81*J81</f>
        <v>558</v>
      </c>
      <c r="BS81" s="7">
        <f>J81*116</f>
        <v>348</v>
      </c>
      <c r="BT81" s="8">
        <f t="shared" ref="BT81:BT84" si="581">BR81-BS81</f>
        <v>210</v>
      </c>
      <c r="BU81" s="14">
        <f t="shared" ref="BU81:BU84" si="582">BS81*AC81</f>
        <v>1218000</v>
      </c>
      <c r="BV81" s="7">
        <f t="shared" ref="BV81:BV84" si="583">V81*J81</f>
        <v>96</v>
      </c>
      <c r="BW81" s="7">
        <f>J81*20</f>
        <v>60</v>
      </c>
      <c r="BX81" s="8">
        <f t="shared" ref="BX81:BX84" si="584">BV81-BW81</f>
        <v>36</v>
      </c>
      <c r="BY81" s="14">
        <f t="shared" ref="BY81:BY84" si="585">BW81*AC81</f>
        <v>210000</v>
      </c>
      <c r="BZ81" s="7">
        <f t="shared" ref="BZ81:BZ84" si="586">W81*J81</f>
        <v>36</v>
      </c>
      <c r="CA81" s="7">
        <f>J81*7</f>
        <v>21</v>
      </c>
      <c r="CB81" s="8">
        <f t="shared" ref="CB81:CB84" si="587">BZ81-CA81</f>
        <v>15</v>
      </c>
      <c r="CC81" s="14">
        <f t="shared" ref="CC81:CC84" si="588">CA81*AC81</f>
        <v>73500</v>
      </c>
      <c r="CD81" s="7">
        <f t="shared" ref="CD81:CD84" si="589">X81*J81</f>
        <v>558</v>
      </c>
      <c r="CE81" s="7">
        <f>J81*115</f>
        <v>345</v>
      </c>
      <c r="CF81" s="8">
        <f t="shared" ref="CF81:CF84" si="590">CD81-CE81</f>
        <v>213</v>
      </c>
      <c r="CG81" s="14">
        <f t="shared" ref="CG81:CG84" si="591">CE81*AC81</f>
        <v>1207500</v>
      </c>
      <c r="CH81" s="7">
        <f t="shared" ref="CH81:CH84" si="592">Y81*J81</f>
        <v>558</v>
      </c>
      <c r="CI81" s="7">
        <f>J81*115</f>
        <v>345</v>
      </c>
      <c r="CJ81" s="8">
        <f t="shared" ref="CJ81:CJ84" si="593">CH81-CI81</f>
        <v>213</v>
      </c>
      <c r="CK81" s="14">
        <f t="shared" ref="CK81:CK84" si="594">CI81*AC81</f>
        <v>1207500</v>
      </c>
    </row>
    <row r="82" spans="2:90" x14ac:dyDescent="0.25">
      <c r="B82" s="7">
        <f>'PLAN DE NECESIDADES'!B64</f>
        <v>36</v>
      </c>
      <c r="C82" s="7">
        <f>'PLAN DE NECESIDADES'!C64</f>
        <v>4299206</v>
      </c>
      <c r="D82" s="62" t="str">
        <f>'PLAN DE NECESIDADES'!D64</f>
        <v>CANDADO: AALTO 60 MM ± 5 MM
ANCHO 35 MM ± 5 MM, ESPECIFICACIONES SEGÚN NORMA TÉCNICA NO. NTMD-0356 A2 ÍTEM  3.1.1.15</v>
      </c>
      <c r="E82" s="7" t="str">
        <f>'PLAN DE NECESIDADES'!E64</f>
        <v>UNIDAD</v>
      </c>
      <c r="F82" s="7">
        <f>'PLAN DE NECESIDADES'!F64</f>
        <v>0</v>
      </c>
      <c r="G82" s="7">
        <f>'PLAN DE NECESIDADES'!H64</f>
        <v>46171501</v>
      </c>
      <c r="H82" s="7">
        <f>'PLAN DE NECESIDADES'!I64</f>
        <v>1448704</v>
      </c>
      <c r="I82" s="7" t="str">
        <f>'PLAN DE NECESIDADES'!J64</f>
        <v>5340-80-0011396</v>
      </c>
      <c r="J82" s="7">
        <v>1</v>
      </c>
      <c r="K82" s="87">
        <v>69</v>
      </c>
      <c r="L82" s="87">
        <v>217</v>
      </c>
      <c r="M82" s="87">
        <v>279</v>
      </c>
      <c r="N82" s="87">
        <v>217</v>
      </c>
      <c r="O82" s="87">
        <v>248</v>
      </c>
      <c r="P82" s="87">
        <v>248</v>
      </c>
      <c r="Q82" s="87">
        <v>279</v>
      </c>
      <c r="R82" s="87">
        <v>125</v>
      </c>
      <c r="S82" s="87">
        <v>62</v>
      </c>
      <c r="T82" s="87">
        <v>279</v>
      </c>
      <c r="U82" s="87">
        <v>186</v>
      </c>
      <c r="V82" s="87">
        <v>32</v>
      </c>
      <c r="W82" s="87">
        <v>12</v>
      </c>
      <c r="X82" s="87">
        <v>186</v>
      </c>
      <c r="Y82" s="87">
        <v>186</v>
      </c>
      <c r="Z82" s="87">
        <f t="shared" si="546"/>
        <v>2656</v>
      </c>
      <c r="AA82" s="7">
        <f t="shared" si="547"/>
        <v>1635</v>
      </c>
      <c r="AB82" s="7">
        <f t="shared" si="548"/>
        <v>1021</v>
      </c>
      <c r="AC82" s="12">
        <v>5400</v>
      </c>
      <c r="AD82" s="7">
        <f t="shared" si="549"/>
        <v>69</v>
      </c>
      <c r="AE82" s="7">
        <f>J82*43</f>
        <v>43</v>
      </c>
      <c r="AF82" s="8">
        <f t="shared" si="550"/>
        <v>26</v>
      </c>
      <c r="AG82" s="14">
        <f t="shared" si="551"/>
        <v>232200</v>
      </c>
      <c r="AH82" s="7">
        <f t="shared" si="552"/>
        <v>217</v>
      </c>
      <c r="AI82" s="7">
        <f t="shared" ref="AI82:AI84" si="595">J82*135</f>
        <v>135</v>
      </c>
      <c r="AJ82" s="8">
        <f t="shared" si="553"/>
        <v>82</v>
      </c>
      <c r="AK82" s="14">
        <f t="shared" si="554"/>
        <v>729000</v>
      </c>
      <c r="AL82" s="7">
        <f t="shared" si="555"/>
        <v>279</v>
      </c>
      <c r="AM82" s="7">
        <f t="shared" ref="AM82:AM83" si="596">J82*174</f>
        <v>174</v>
      </c>
      <c r="AN82" s="8">
        <f t="shared" si="556"/>
        <v>105</v>
      </c>
      <c r="AO82" s="14">
        <f t="shared" si="557"/>
        <v>939600</v>
      </c>
      <c r="AP82" s="7">
        <f t="shared" si="558"/>
        <v>217</v>
      </c>
      <c r="AQ82" s="7">
        <f t="shared" ref="AQ82:AQ84" si="597">J82*135</f>
        <v>135</v>
      </c>
      <c r="AR82" s="8">
        <f t="shared" si="559"/>
        <v>82</v>
      </c>
      <c r="AS82" s="14">
        <f t="shared" si="560"/>
        <v>729000</v>
      </c>
      <c r="AT82" s="7">
        <f t="shared" si="561"/>
        <v>279</v>
      </c>
      <c r="AU82" s="7">
        <f t="shared" ref="AU82:AU84" si="598">J82*154</f>
        <v>154</v>
      </c>
      <c r="AV82" s="8">
        <f t="shared" si="562"/>
        <v>125</v>
      </c>
      <c r="AW82" s="14">
        <f t="shared" si="563"/>
        <v>831600</v>
      </c>
      <c r="AX82" s="7">
        <f t="shared" ref="AX82:AX84" si="599">P82*J82</f>
        <v>248</v>
      </c>
      <c r="AY82" s="7">
        <f>J82*154</f>
        <v>154</v>
      </c>
      <c r="AZ82" s="8">
        <f t="shared" ref="AZ82:AZ84" si="600">AX82-AY82</f>
        <v>94</v>
      </c>
      <c r="BA82" s="14">
        <f t="shared" ref="BA82:BA84" si="601">AC82*AY82</f>
        <v>831600</v>
      </c>
      <c r="BB82" s="7">
        <f t="shared" ref="BB82:BB84" si="602">Q82*J82</f>
        <v>279</v>
      </c>
      <c r="BC82" s="7">
        <f t="shared" ref="BC82:BC83" si="603">J82*174</f>
        <v>174</v>
      </c>
      <c r="BD82" s="8">
        <f t="shared" ref="BD82:BD84" si="604">BB82-BC82</f>
        <v>105</v>
      </c>
      <c r="BE82" s="14">
        <f t="shared" ref="BE82:BE84" si="605">BC82*AC82</f>
        <v>939600</v>
      </c>
      <c r="BF82" s="7">
        <f t="shared" ref="BF82:BF84" si="606">R82*J82</f>
        <v>125</v>
      </c>
      <c r="BG82" s="7">
        <f>J82*77</f>
        <v>77</v>
      </c>
      <c r="BH82" s="8">
        <f t="shared" ref="BH82:BH84" si="607">BF82-BG82</f>
        <v>48</v>
      </c>
      <c r="BI82" s="14">
        <f t="shared" ref="BI82:BI84" si="608">BG82*AC82</f>
        <v>415800</v>
      </c>
      <c r="BJ82" s="7">
        <f t="shared" si="574"/>
        <v>62</v>
      </c>
      <c r="BK82" s="7">
        <f t="shared" ref="BK82" si="609">J82*39</f>
        <v>39</v>
      </c>
      <c r="BL82" s="8">
        <f t="shared" si="575"/>
        <v>23</v>
      </c>
      <c r="BM82" s="14">
        <f t="shared" si="576"/>
        <v>210600</v>
      </c>
      <c r="BN82" s="7">
        <f t="shared" si="577"/>
        <v>279</v>
      </c>
      <c r="BO82" s="7">
        <f t="shared" ref="BO82:BO83" si="610">J82*174</f>
        <v>174</v>
      </c>
      <c r="BP82" s="8">
        <f t="shared" si="578"/>
        <v>105</v>
      </c>
      <c r="BQ82" s="14">
        <f t="shared" si="579"/>
        <v>939600</v>
      </c>
      <c r="BR82" s="7">
        <f t="shared" si="580"/>
        <v>186</v>
      </c>
      <c r="BS82" s="7">
        <f t="shared" ref="BS82" si="611">J82*116</f>
        <v>116</v>
      </c>
      <c r="BT82" s="8">
        <f t="shared" si="581"/>
        <v>70</v>
      </c>
      <c r="BU82" s="14">
        <f t="shared" si="582"/>
        <v>626400</v>
      </c>
      <c r="BV82" s="7">
        <f t="shared" si="583"/>
        <v>32</v>
      </c>
      <c r="BW82" s="7">
        <f t="shared" ref="BW82:BW84" si="612">J82*20</f>
        <v>20</v>
      </c>
      <c r="BX82" s="8">
        <f t="shared" si="584"/>
        <v>12</v>
      </c>
      <c r="BY82" s="14">
        <f t="shared" si="585"/>
        <v>108000</v>
      </c>
      <c r="BZ82" s="7">
        <f t="shared" si="586"/>
        <v>12</v>
      </c>
      <c r="CA82" s="7">
        <f>J82*8</f>
        <v>8</v>
      </c>
      <c r="CB82" s="8">
        <f t="shared" si="587"/>
        <v>4</v>
      </c>
      <c r="CC82" s="14">
        <f t="shared" si="588"/>
        <v>43200</v>
      </c>
      <c r="CD82" s="7">
        <f t="shared" si="589"/>
        <v>186</v>
      </c>
      <c r="CE82" s="7">
        <f>J82*117</f>
        <v>117</v>
      </c>
      <c r="CF82" s="8">
        <f t="shared" si="590"/>
        <v>69</v>
      </c>
      <c r="CG82" s="14">
        <f t="shared" si="591"/>
        <v>631800</v>
      </c>
      <c r="CH82" s="7">
        <f t="shared" si="592"/>
        <v>186</v>
      </c>
      <c r="CI82" s="7">
        <f>J82*115</f>
        <v>115</v>
      </c>
      <c r="CJ82" s="8">
        <f t="shared" si="593"/>
        <v>71</v>
      </c>
      <c r="CK82" s="14">
        <f t="shared" si="594"/>
        <v>621000</v>
      </c>
    </row>
    <row r="83" spans="2:90" x14ac:dyDescent="0.25">
      <c r="B83" s="7">
        <f>'PLAN DE NECESIDADES'!B65</f>
        <v>37</v>
      </c>
      <c r="C83" s="7">
        <f>'PLAN DE NECESIDADES'!C65</f>
        <v>4291502</v>
      </c>
      <c r="D83" s="62" t="str">
        <f>'PLAN DE NECESIDADES'!D65</f>
        <v>CORTA UÑAS:
80 MM DE LONGITUD  ESPECIFICACIONES SEGÚN NORMA TÉCNICA NO. NTMD-0356 A2 ÍTEM  3.1.1.17</v>
      </c>
      <c r="E83" s="7" t="str">
        <f>'PLAN DE NECESIDADES'!E65</f>
        <v>UNIDAD</v>
      </c>
      <c r="F83" s="7">
        <f>'PLAN DE NECESIDADES'!F65</f>
        <v>0</v>
      </c>
      <c r="G83" s="7">
        <f>'PLAN DE NECESIDADES'!H65</f>
        <v>53131621</v>
      </c>
      <c r="H83" s="7">
        <f>'PLAN DE NECESIDADES'!I65</f>
        <v>1315903</v>
      </c>
      <c r="I83" s="7" t="str">
        <f>'PLAN DE NECESIDADES'!J65</f>
        <v>8530-80-0011403</v>
      </c>
      <c r="J83" s="7">
        <v>1</v>
      </c>
      <c r="K83" s="87">
        <v>69</v>
      </c>
      <c r="L83" s="87">
        <v>217</v>
      </c>
      <c r="M83" s="87">
        <v>279</v>
      </c>
      <c r="N83" s="87">
        <v>217</v>
      </c>
      <c r="O83" s="87">
        <v>248</v>
      </c>
      <c r="P83" s="87">
        <v>248</v>
      </c>
      <c r="Q83" s="87">
        <v>279</v>
      </c>
      <c r="R83" s="87">
        <v>125</v>
      </c>
      <c r="S83" s="87">
        <v>62</v>
      </c>
      <c r="T83" s="87">
        <v>279</v>
      </c>
      <c r="U83" s="87">
        <v>186</v>
      </c>
      <c r="V83" s="87">
        <v>32</v>
      </c>
      <c r="W83" s="87">
        <v>12</v>
      </c>
      <c r="X83" s="87">
        <v>186</v>
      </c>
      <c r="Y83" s="87">
        <v>186</v>
      </c>
      <c r="Z83" s="87">
        <f t="shared" si="546"/>
        <v>2656</v>
      </c>
      <c r="AA83" s="7">
        <f t="shared" si="547"/>
        <v>1634</v>
      </c>
      <c r="AB83" s="7">
        <f t="shared" si="548"/>
        <v>1022</v>
      </c>
      <c r="AC83" s="12">
        <v>4100</v>
      </c>
      <c r="AD83" s="7">
        <f t="shared" si="549"/>
        <v>69</v>
      </c>
      <c r="AE83" s="7">
        <f>J83*42</f>
        <v>42</v>
      </c>
      <c r="AF83" s="8">
        <f t="shared" si="550"/>
        <v>27</v>
      </c>
      <c r="AG83" s="14">
        <f t="shared" si="551"/>
        <v>172200</v>
      </c>
      <c r="AH83" s="7">
        <f t="shared" si="552"/>
        <v>217</v>
      </c>
      <c r="AI83" s="7">
        <f t="shared" si="595"/>
        <v>135</v>
      </c>
      <c r="AJ83" s="8">
        <f t="shared" si="553"/>
        <v>82</v>
      </c>
      <c r="AK83" s="14">
        <f t="shared" si="554"/>
        <v>553500</v>
      </c>
      <c r="AL83" s="7">
        <f t="shared" si="555"/>
        <v>279</v>
      </c>
      <c r="AM83" s="7">
        <f t="shared" si="596"/>
        <v>174</v>
      </c>
      <c r="AN83" s="8">
        <f t="shared" si="556"/>
        <v>105</v>
      </c>
      <c r="AO83" s="14">
        <f t="shared" si="557"/>
        <v>713400</v>
      </c>
      <c r="AP83" s="7">
        <f t="shared" si="558"/>
        <v>217</v>
      </c>
      <c r="AQ83" s="7">
        <f t="shared" si="597"/>
        <v>135</v>
      </c>
      <c r="AR83" s="8">
        <f t="shared" si="559"/>
        <v>82</v>
      </c>
      <c r="AS83" s="14">
        <f t="shared" si="560"/>
        <v>553500</v>
      </c>
      <c r="AT83" s="7">
        <f t="shared" si="561"/>
        <v>279</v>
      </c>
      <c r="AU83" s="7">
        <f t="shared" si="598"/>
        <v>154</v>
      </c>
      <c r="AV83" s="8">
        <f t="shared" si="562"/>
        <v>125</v>
      </c>
      <c r="AW83" s="14">
        <f t="shared" si="563"/>
        <v>631400</v>
      </c>
      <c r="AX83" s="7">
        <f t="shared" si="599"/>
        <v>248</v>
      </c>
      <c r="AY83" s="7">
        <f t="shared" ref="AY83:AY84" si="613">J83*154</f>
        <v>154</v>
      </c>
      <c r="AZ83" s="8">
        <f t="shared" si="600"/>
        <v>94</v>
      </c>
      <c r="BA83" s="14">
        <f t="shared" si="601"/>
        <v>631400</v>
      </c>
      <c r="BB83" s="7">
        <f t="shared" si="602"/>
        <v>279</v>
      </c>
      <c r="BC83" s="7">
        <f t="shared" si="603"/>
        <v>174</v>
      </c>
      <c r="BD83" s="8">
        <f t="shared" si="604"/>
        <v>105</v>
      </c>
      <c r="BE83" s="14">
        <f t="shared" si="605"/>
        <v>713400</v>
      </c>
      <c r="BF83" s="7">
        <f t="shared" si="606"/>
        <v>125</v>
      </c>
      <c r="BG83" s="7">
        <f t="shared" ref="BG83:BG84" si="614">J83*78</f>
        <v>78</v>
      </c>
      <c r="BH83" s="8">
        <f t="shared" si="607"/>
        <v>47</v>
      </c>
      <c r="BI83" s="14">
        <f t="shared" si="608"/>
        <v>319800</v>
      </c>
      <c r="BJ83" s="7">
        <f t="shared" si="574"/>
        <v>62</v>
      </c>
      <c r="BK83" s="7">
        <f>J83*38</f>
        <v>38</v>
      </c>
      <c r="BL83" s="8">
        <f t="shared" si="575"/>
        <v>24</v>
      </c>
      <c r="BM83" s="14">
        <f t="shared" si="576"/>
        <v>155800</v>
      </c>
      <c r="BN83" s="7">
        <f t="shared" si="577"/>
        <v>279</v>
      </c>
      <c r="BO83" s="7">
        <f t="shared" si="610"/>
        <v>174</v>
      </c>
      <c r="BP83" s="8">
        <f t="shared" si="578"/>
        <v>105</v>
      </c>
      <c r="BQ83" s="14">
        <f t="shared" si="579"/>
        <v>713400</v>
      </c>
      <c r="BR83" s="7">
        <f t="shared" si="580"/>
        <v>186</v>
      </c>
      <c r="BS83" s="7">
        <f>J83*117</f>
        <v>117</v>
      </c>
      <c r="BT83" s="8">
        <f t="shared" si="581"/>
        <v>69</v>
      </c>
      <c r="BU83" s="14">
        <f t="shared" si="582"/>
        <v>479700</v>
      </c>
      <c r="BV83" s="7">
        <f t="shared" si="583"/>
        <v>32</v>
      </c>
      <c r="BW83" s="7">
        <f>J83*19</f>
        <v>19</v>
      </c>
      <c r="BX83" s="8">
        <f t="shared" si="584"/>
        <v>13</v>
      </c>
      <c r="BY83" s="14">
        <f t="shared" si="585"/>
        <v>77900</v>
      </c>
      <c r="BZ83" s="7">
        <f t="shared" si="586"/>
        <v>12</v>
      </c>
      <c r="CA83" s="7">
        <f>J83*9</f>
        <v>9</v>
      </c>
      <c r="CB83" s="8">
        <f t="shared" si="587"/>
        <v>3</v>
      </c>
      <c r="CC83" s="14">
        <f t="shared" si="588"/>
        <v>36900</v>
      </c>
      <c r="CD83" s="7">
        <f t="shared" si="589"/>
        <v>186</v>
      </c>
      <c r="CE83" s="7">
        <f>J83*115</f>
        <v>115</v>
      </c>
      <c r="CF83" s="8">
        <f t="shared" si="590"/>
        <v>71</v>
      </c>
      <c r="CG83" s="14">
        <f t="shared" si="591"/>
        <v>471500</v>
      </c>
      <c r="CH83" s="7">
        <f t="shared" si="592"/>
        <v>186</v>
      </c>
      <c r="CI83" s="7">
        <f t="shared" ref="CI83:CI84" si="615">J83*116</f>
        <v>116</v>
      </c>
      <c r="CJ83" s="8">
        <f t="shared" si="593"/>
        <v>70</v>
      </c>
      <c r="CK83" s="14">
        <f t="shared" si="594"/>
        <v>475600</v>
      </c>
    </row>
    <row r="84" spans="2:90" x14ac:dyDescent="0.25">
      <c r="B84" s="7">
        <f>'PLAN DE NECESIDADES'!B66</f>
        <v>38</v>
      </c>
      <c r="C84" s="7">
        <f>'PLAN DE NECESIDADES'!C66</f>
        <v>4299904</v>
      </c>
      <c r="D84" s="62" t="str">
        <f>'PLAN DE NECESIDADES'!D66</f>
        <v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v>
      </c>
      <c r="E84" s="7" t="str">
        <f>'PLAN DE NECESIDADES'!E66</f>
        <v>JUEGO</v>
      </c>
      <c r="F84" s="7">
        <f>'PLAN DE NECESIDADES'!F66</f>
        <v>0</v>
      </c>
      <c r="G84" s="7">
        <f>'PLAN DE NECESIDADES'!H66</f>
        <v>60101717</v>
      </c>
      <c r="H84" s="7">
        <f>'PLAN DE NECESIDADES'!I66</f>
        <v>1108870</v>
      </c>
      <c r="I84" s="7" t="str">
        <f>'PLAN DE NECESIDADES'!J66</f>
        <v>8465-80-0011304</v>
      </c>
      <c r="J84" s="7">
        <v>1</v>
      </c>
      <c r="K84" s="87">
        <v>69</v>
      </c>
      <c r="L84" s="87">
        <v>217</v>
      </c>
      <c r="M84" s="87">
        <v>279</v>
      </c>
      <c r="N84" s="87">
        <v>217</v>
      </c>
      <c r="O84" s="87">
        <v>248</v>
      </c>
      <c r="P84" s="87">
        <v>248</v>
      </c>
      <c r="Q84" s="87">
        <v>279</v>
      </c>
      <c r="R84" s="87">
        <v>125</v>
      </c>
      <c r="S84" s="87">
        <v>62</v>
      </c>
      <c r="T84" s="87">
        <v>279</v>
      </c>
      <c r="U84" s="87">
        <v>186</v>
      </c>
      <c r="V84" s="87">
        <v>32</v>
      </c>
      <c r="W84" s="87">
        <v>12</v>
      </c>
      <c r="X84" s="87">
        <v>186</v>
      </c>
      <c r="Y84" s="87">
        <v>186</v>
      </c>
      <c r="Z84" s="87">
        <f t="shared" si="546"/>
        <v>2656</v>
      </c>
      <c r="AA84" s="7">
        <f t="shared" si="547"/>
        <v>1629</v>
      </c>
      <c r="AB84" s="7">
        <f t="shared" si="548"/>
        <v>1027</v>
      </c>
      <c r="AC84" s="12">
        <v>11300</v>
      </c>
      <c r="AD84" s="7">
        <f t="shared" si="549"/>
        <v>69</v>
      </c>
      <c r="AE84" s="7">
        <f t="shared" ref="AE84" si="616">J84*42</f>
        <v>42</v>
      </c>
      <c r="AF84" s="8">
        <f t="shared" si="550"/>
        <v>27</v>
      </c>
      <c r="AG84" s="14">
        <f t="shared" si="551"/>
        <v>474600</v>
      </c>
      <c r="AH84" s="7">
        <f t="shared" si="552"/>
        <v>217</v>
      </c>
      <c r="AI84" s="7">
        <f t="shared" si="595"/>
        <v>135</v>
      </c>
      <c r="AJ84" s="8">
        <f t="shared" si="553"/>
        <v>82</v>
      </c>
      <c r="AK84" s="14">
        <f t="shared" si="554"/>
        <v>1525500</v>
      </c>
      <c r="AL84" s="7">
        <f t="shared" si="555"/>
        <v>279</v>
      </c>
      <c r="AM84" s="7">
        <f t="shared" ref="AM84" si="617">J84*173</f>
        <v>173</v>
      </c>
      <c r="AN84" s="8">
        <f t="shared" si="556"/>
        <v>106</v>
      </c>
      <c r="AO84" s="14">
        <f t="shared" si="557"/>
        <v>1954900</v>
      </c>
      <c r="AP84" s="7">
        <f t="shared" si="558"/>
        <v>217</v>
      </c>
      <c r="AQ84" s="7">
        <f t="shared" si="597"/>
        <v>135</v>
      </c>
      <c r="AR84" s="8">
        <f t="shared" si="559"/>
        <v>82</v>
      </c>
      <c r="AS84" s="14">
        <f t="shared" si="560"/>
        <v>1525500</v>
      </c>
      <c r="AT84" s="7">
        <f t="shared" si="561"/>
        <v>279</v>
      </c>
      <c r="AU84" s="7">
        <f t="shared" si="598"/>
        <v>154</v>
      </c>
      <c r="AV84" s="8">
        <f t="shared" si="562"/>
        <v>125</v>
      </c>
      <c r="AW84" s="14">
        <f t="shared" si="563"/>
        <v>1740200</v>
      </c>
      <c r="AX84" s="7">
        <f t="shared" si="599"/>
        <v>248</v>
      </c>
      <c r="AY84" s="7">
        <f t="shared" si="613"/>
        <v>154</v>
      </c>
      <c r="AZ84" s="8">
        <f t="shared" si="600"/>
        <v>94</v>
      </c>
      <c r="BA84" s="14">
        <f t="shared" si="601"/>
        <v>1740200</v>
      </c>
      <c r="BB84" s="7">
        <f t="shared" si="602"/>
        <v>279</v>
      </c>
      <c r="BC84" s="7">
        <f>J84*173</f>
        <v>173</v>
      </c>
      <c r="BD84" s="8">
        <f t="shared" si="604"/>
        <v>106</v>
      </c>
      <c r="BE84" s="14">
        <f t="shared" si="605"/>
        <v>1954900</v>
      </c>
      <c r="BF84" s="7">
        <f t="shared" si="606"/>
        <v>125</v>
      </c>
      <c r="BG84" s="7">
        <f t="shared" si="614"/>
        <v>78</v>
      </c>
      <c r="BH84" s="8">
        <f t="shared" si="607"/>
        <v>47</v>
      </c>
      <c r="BI84" s="14">
        <f t="shared" si="608"/>
        <v>881400</v>
      </c>
      <c r="BJ84" s="7">
        <f t="shared" si="574"/>
        <v>62</v>
      </c>
      <c r="BK84" s="7">
        <f t="shared" ref="BK84" si="618">J84*38</f>
        <v>38</v>
      </c>
      <c r="BL84" s="8">
        <f t="shared" si="575"/>
        <v>24</v>
      </c>
      <c r="BM84" s="14">
        <f t="shared" si="576"/>
        <v>429400</v>
      </c>
      <c r="BN84" s="7">
        <f t="shared" si="577"/>
        <v>279</v>
      </c>
      <c r="BO84" s="7">
        <f>J84*173</f>
        <v>173</v>
      </c>
      <c r="BP84" s="8">
        <f t="shared" si="578"/>
        <v>106</v>
      </c>
      <c r="BQ84" s="14">
        <f t="shared" si="579"/>
        <v>1954900</v>
      </c>
      <c r="BR84" s="7">
        <f t="shared" si="580"/>
        <v>186</v>
      </c>
      <c r="BS84" s="7">
        <f t="shared" ref="BS84" si="619">J84*115</f>
        <v>115</v>
      </c>
      <c r="BT84" s="8">
        <f t="shared" si="581"/>
        <v>71</v>
      </c>
      <c r="BU84" s="14">
        <f t="shared" si="582"/>
        <v>1299500</v>
      </c>
      <c r="BV84" s="7">
        <f t="shared" si="583"/>
        <v>32</v>
      </c>
      <c r="BW84" s="7">
        <f t="shared" si="612"/>
        <v>20</v>
      </c>
      <c r="BX84" s="8">
        <f t="shared" si="584"/>
        <v>12</v>
      </c>
      <c r="BY84" s="14">
        <f t="shared" si="585"/>
        <v>226000</v>
      </c>
      <c r="BZ84" s="7">
        <f t="shared" si="586"/>
        <v>12</v>
      </c>
      <c r="CA84" s="7">
        <f t="shared" ref="CA84" si="620">J84*7</f>
        <v>7</v>
      </c>
      <c r="CB84" s="8">
        <f t="shared" si="587"/>
        <v>5</v>
      </c>
      <c r="CC84" s="14">
        <f t="shared" si="588"/>
        <v>79100</v>
      </c>
      <c r="CD84" s="7">
        <f t="shared" si="589"/>
        <v>186</v>
      </c>
      <c r="CE84" s="7">
        <f t="shared" ref="CE84" si="621">J84*116</f>
        <v>116</v>
      </c>
      <c r="CF84" s="8">
        <f t="shared" si="590"/>
        <v>70</v>
      </c>
      <c r="CG84" s="14">
        <f t="shared" si="591"/>
        <v>1310800</v>
      </c>
      <c r="CH84" s="7">
        <f t="shared" si="592"/>
        <v>186</v>
      </c>
      <c r="CI84" s="7">
        <f t="shared" si="615"/>
        <v>116</v>
      </c>
      <c r="CJ84" s="8">
        <f t="shared" si="593"/>
        <v>70</v>
      </c>
      <c r="CK84" s="14">
        <f t="shared" si="594"/>
        <v>1310800</v>
      </c>
    </row>
    <row r="85" spans="2:90" x14ac:dyDescent="0.25">
      <c r="B85" s="156" t="s">
        <v>18</v>
      </c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43">
        <f>SUM(AG81:AG84)</f>
        <v>1341000</v>
      </c>
      <c r="AE85" s="143"/>
      <c r="AF85" s="143"/>
      <c r="AG85" s="143"/>
      <c r="AH85" s="143">
        <f t="shared" ref="AH85" si="622">SUM(AK81:AK84)</f>
        <v>4225500</v>
      </c>
      <c r="AI85" s="143"/>
      <c r="AJ85" s="143"/>
      <c r="AK85" s="143"/>
      <c r="AL85" s="143">
        <f t="shared" ref="AL85" si="623">SUM(AO81:AO84)</f>
        <v>5434900</v>
      </c>
      <c r="AM85" s="143"/>
      <c r="AN85" s="143"/>
      <c r="AO85" s="143"/>
      <c r="AP85" s="143">
        <f t="shared" ref="AP85" si="624">SUM(AS81:AS84)</f>
        <v>4225500</v>
      </c>
      <c r="AQ85" s="143"/>
      <c r="AR85" s="143"/>
      <c r="AS85" s="143"/>
      <c r="AT85" s="143">
        <f t="shared" ref="AT85" si="625">SUM(AW81:AW84)</f>
        <v>4830700</v>
      </c>
      <c r="AU85" s="143"/>
      <c r="AV85" s="143"/>
      <c r="AW85" s="143"/>
      <c r="AX85" s="143">
        <f t="shared" ref="AX85" si="626">SUM(BA81:BA84)</f>
        <v>4830700</v>
      </c>
      <c r="AY85" s="143"/>
      <c r="AZ85" s="143"/>
      <c r="BA85" s="143"/>
      <c r="BB85" s="143">
        <f t="shared" ref="BB85" si="627">SUM(BE81:BE84)</f>
        <v>5434900</v>
      </c>
      <c r="BC85" s="143"/>
      <c r="BD85" s="143"/>
      <c r="BE85" s="143"/>
      <c r="BF85" s="143">
        <f t="shared" ref="BF85" si="628">SUM(BI81:BI84)</f>
        <v>2436000</v>
      </c>
      <c r="BG85" s="143"/>
      <c r="BH85" s="143"/>
      <c r="BI85" s="143"/>
      <c r="BJ85" s="143">
        <f t="shared" ref="BJ85" si="629">SUM(BM81:BM84)</f>
        <v>1205300</v>
      </c>
      <c r="BK85" s="143"/>
      <c r="BL85" s="143"/>
      <c r="BM85" s="143"/>
      <c r="BN85" s="143">
        <f t="shared" ref="BN85" si="630">SUM(BQ81:BQ84)</f>
        <v>5434900</v>
      </c>
      <c r="BO85" s="143"/>
      <c r="BP85" s="143"/>
      <c r="BQ85" s="143"/>
      <c r="BR85" s="143">
        <f t="shared" ref="BR85" si="631">SUM(BU81:BU84)</f>
        <v>3623600</v>
      </c>
      <c r="BS85" s="143"/>
      <c r="BT85" s="143"/>
      <c r="BU85" s="143"/>
      <c r="BV85" s="143">
        <f t="shared" ref="BV85" si="632">SUM(BY81:BY84)</f>
        <v>621900</v>
      </c>
      <c r="BW85" s="143"/>
      <c r="BX85" s="143"/>
      <c r="BY85" s="143"/>
      <c r="BZ85" s="143">
        <f t="shared" ref="BZ85" si="633">SUM(CC81:CC84)</f>
        <v>232700</v>
      </c>
      <c r="CA85" s="143"/>
      <c r="CB85" s="143"/>
      <c r="CC85" s="143"/>
      <c r="CD85" s="143">
        <f t="shared" ref="CD85" si="634">SUM(CG81:CG84)</f>
        <v>3621600</v>
      </c>
      <c r="CE85" s="143"/>
      <c r="CF85" s="143"/>
      <c r="CG85" s="143"/>
      <c r="CH85" s="143">
        <f t="shared" ref="CH85" si="635">SUM(CK81:CK84)</f>
        <v>3614900</v>
      </c>
      <c r="CI85" s="143"/>
      <c r="CJ85" s="143"/>
      <c r="CK85" s="143"/>
    </row>
    <row r="86" spans="2:90" x14ac:dyDescent="0.25">
      <c r="B86" s="156" t="s">
        <v>19</v>
      </c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AB86" s="156"/>
      <c r="AC86" s="156"/>
      <c r="AD86" s="143">
        <f>SUMIFS(PRESUPUESTO!$G$159:$G$173,PRESUPUESTO!$E$159:$E$173,MÍNIMAS!AD79)</f>
        <v>1344689.4537142857</v>
      </c>
      <c r="AE86" s="143"/>
      <c r="AF86" s="143"/>
      <c r="AG86" s="143"/>
      <c r="AH86" s="143">
        <f>SUMIFS(PRESUPUESTO!$G$159:$G$173,PRESUPUESTO!$E$159:$E$173,MÍNIMAS!AH79)</f>
        <v>4228950.8906666674</v>
      </c>
      <c r="AI86" s="143"/>
      <c r="AJ86" s="143"/>
      <c r="AK86" s="143"/>
      <c r="AL86" s="143">
        <f>SUMIFS(PRESUPUESTO!$G$159:$G$173,PRESUPUESTO!$E$159:$E$173,MÍNIMAS!AL79)</f>
        <v>5437222.5737142861</v>
      </c>
      <c r="AM86" s="143"/>
      <c r="AN86" s="143"/>
      <c r="AO86" s="143"/>
      <c r="AP86" s="143">
        <f>SUMIFS(PRESUPUESTO!$G$159:$G$173,PRESUPUESTO!$E$159:$E$173,MÍNIMAS!AP79)</f>
        <v>4228950.8906666674</v>
      </c>
      <c r="AQ86" s="143"/>
      <c r="AR86" s="143"/>
      <c r="AS86" s="143"/>
      <c r="AT86" s="143">
        <f>SUMIFS(PRESUPUESTO!$G$159:$G$173,PRESUPUESTO!$E$159:$E$173,MÍNIMAS!AT79)</f>
        <v>4833086.7321904767</v>
      </c>
      <c r="AU86" s="143"/>
      <c r="AV86" s="143"/>
      <c r="AW86" s="143"/>
      <c r="AX86" s="143">
        <f>SUMIFS(PRESUPUESTO!$G$159:$G$173,PRESUPUESTO!$E$159:$E$173,MÍNIMAS!AX79)</f>
        <v>4833086.7321904767</v>
      </c>
      <c r="AY86" s="143"/>
      <c r="AZ86" s="143"/>
      <c r="BA86" s="143"/>
      <c r="BB86" s="143">
        <f>SUMIFS(PRESUPUESTO!$G$159:$G$173,PRESUPUESTO!$E$159:$E$173,MÍNIMAS!BB79)</f>
        <v>5437222.5737142861</v>
      </c>
      <c r="BC86" s="143"/>
      <c r="BD86" s="143"/>
      <c r="BE86" s="143"/>
      <c r="BF86" s="143">
        <f>SUMIFS(PRESUPUESTO!$G$159:$G$173,PRESUPUESTO!$E$159:$E$173,MÍNIMAS!BF79)</f>
        <v>2436031.6190476194</v>
      </c>
      <c r="BG86" s="143"/>
      <c r="BH86" s="143"/>
      <c r="BI86" s="143"/>
      <c r="BJ86" s="143">
        <f>SUMIFS(PRESUPUESTO!$G$159:$G$173,PRESUPUESTO!$E$159:$E$173,MÍNIMAS!BJ79)</f>
        <v>1208271.6830476192</v>
      </c>
      <c r="BK86" s="143"/>
      <c r="BL86" s="143"/>
      <c r="BM86" s="143"/>
      <c r="BN86" s="143">
        <f>SUMIFS(PRESUPUESTO!$G$159:$G$173,PRESUPUESTO!$E$159:$E$173,MÍNIMAS!BN79)</f>
        <v>5437222.5737142861</v>
      </c>
      <c r="BO86" s="143"/>
      <c r="BP86" s="143"/>
      <c r="BQ86" s="143"/>
      <c r="BR86" s="143">
        <f>SUMIFS(PRESUPUESTO!$G$159:$G$173,PRESUPUESTO!$E$159:$E$173,MÍNIMAS!BR79)</f>
        <v>3624815.0491428575</v>
      </c>
      <c r="BS86" s="143"/>
      <c r="BT86" s="143"/>
      <c r="BU86" s="143"/>
      <c r="BV86" s="143">
        <f>SUMIFS(PRESUPUESTO!$G$159:$G$173,PRESUPUESTO!$E$159:$E$173,MÍNIMAS!BV79)</f>
        <v>623624.09447619051</v>
      </c>
      <c r="BW86" s="143"/>
      <c r="BX86" s="143"/>
      <c r="BY86" s="143"/>
      <c r="BZ86" s="143">
        <f>SUMIFS(PRESUPUESTO!$G$159:$G$173,PRESUPUESTO!$E$159:$E$173,MÍNIMAS!BZ79)</f>
        <v>233859.03542857146</v>
      </c>
      <c r="CA86" s="143"/>
      <c r="CB86" s="143"/>
      <c r="CC86" s="143"/>
      <c r="CD86" s="143">
        <f>SUMIFS(PRESUPUESTO!$G$159:$G$173,PRESUPUESTO!$E$159:$E$173,MÍNIMAS!CD79)</f>
        <v>3624815.0491428575</v>
      </c>
      <c r="CE86" s="143"/>
      <c r="CF86" s="143"/>
      <c r="CG86" s="143"/>
      <c r="CH86" s="143">
        <f>SUMIFS(PRESUPUESTO!$G$159:$G$173,PRESUPUESTO!$E$159:$E$173,MÍNIMAS!CH79)</f>
        <v>3624815.0491428575</v>
      </c>
      <c r="CI86" s="143"/>
      <c r="CJ86" s="143"/>
      <c r="CK86" s="143"/>
      <c r="CL86" s="37">
        <f>SUM(AD86:CK86)</f>
        <v>51156664.000000015</v>
      </c>
    </row>
    <row r="87" spans="2:90" x14ac:dyDescent="0.25">
      <c r="B87" s="156" t="s">
        <v>10</v>
      </c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  <c r="V87" s="156"/>
      <c r="W87" s="156"/>
      <c r="X87" s="156"/>
      <c r="Y87" s="156"/>
      <c r="Z87" s="156"/>
      <c r="AA87" s="156"/>
      <c r="AB87" s="156"/>
      <c r="AC87" s="156"/>
      <c r="AD87" s="163">
        <f>AD86-AD85</f>
        <v>3689.4537142857444</v>
      </c>
      <c r="AE87" s="163"/>
      <c r="AF87" s="163"/>
      <c r="AG87" s="163"/>
      <c r="AH87" s="163">
        <f>AH86-AH85</f>
        <v>3450.890666667372</v>
      </c>
      <c r="AI87" s="163"/>
      <c r="AJ87" s="163"/>
      <c r="AK87" s="163"/>
      <c r="AL87" s="163">
        <f>AL86-AL85</f>
        <v>2322.5737142860889</v>
      </c>
      <c r="AM87" s="163"/>
      <c r="AN87" s="163"/>
      <c r="AO87" s="163"/>
      <c r="AP87" s="163">
        <f t="shared" ref="AP87" si="636">AP86-AP85</f>
        <v>3450.890666667372</v>
      </c>
      <c r="AQ87" s="163"/>
      <c r="AR87" s="163"/>
      <c r="AS87" s="163"/>
      <c r="AT87" s="163">
        <f>AT86-AT85</f>
        <v>2386.7321904767305</v>
      </c>
      <c r="AU87" s="163"/>
      <c r="AV87" s="163"/>
      <c r="AW87" s="163"/>
      <c r="AX87" s="163">
        <f>AX86-AX85</f>
        <v>2386.7321904767305</v>
      </c>
      <c r="AY87" s="163"/>
      <c r="AZ87" s="163"/>
      <c r="BA87" s="163"/>
      <c r="BB87" s="163">
        <f>BB86-BB85</f>
        <v>2322.5737142860889</v>
      </c>
      <c r="BC87" s="163"/>
      <c r="BD87" s="163"/>
      <c r="BE87" s="163"/>
      <c r="BF87" s="163">
        <f t="shared" ref="BF87" si="637">BF86-BF85</f>
        <v>31.619047619402409</v>
      </c>
      <c r="BG87" s="163"/>
      <c r="BH87" s="163"/>
      <c r="BI87" s="163"/>
      <c r="BJ87" s="163">
        <f>BJ86-BJ85</f>
        <v>2971.6830476191826</v>
      </c>
      <c r="BK87" s="163"/>
      <c r="BL87" s="163"/>
      <c r="BM87" s="163"/>
      <c r="BN87" s="163">
        <f>BN86-BN85</f>
        <v>2322.5737142860889</v>
      </c>
      <c r="BO87" s="163"/>
      <c r="BP87" s="163"/>
      <c r="BQ87" s="163"/>
      <c r="BR87" s="163">
        <f>BR86-BR85</f>
        <v>1215.0491428575478</v>
      </c>
      <c r="BS87" s="163"/>
      <c r="BT87" s="163"/>
      <c r="BU87" s="163"/>
      <c r="BV87" s="163">
        <f t="shared" ref="BV87" si="638">BV86-BV85</f>
        <v>1724.0944761905121</v>
      </c>
      <c r="BW87" s="163"/>
      <c r="BX87" s="163"/>
      <c r="BY87" s="163"/>
      <c r="BZ87" s="163">
        <f>BZ86-BZ85</f>
        <v>1159.0354285714566</v>
      </c>
      <c r="CA87" s="163"/>
      <c r="CB87" s="163"/>
      <c r="CC87" s="163"/>
      <c r="CD87" s="163">
        <f>CD86-CD85</f>
        <v>3215.0491428575478</v>
      </c>
      <c r="CE87" s="163"/>
      <c r="CF87" s="163"/>
      <c r="CG87" s="163"/>
      <c r="CH87" s="163">
        <f>CH86-CH85</f>
        <v>9915.0491428575478</v>
      </c>
      <c r="CI87" s="163"/>
      <c r="CJ87" s="163"/>
      <c r="CK87" s="163"/>
    </row>
    <row r="89" spans="2:90" x14ac:dyDescent="0.3">
      <c r="AD89" s="171">
        <f>SUM(AD85,AD74,AD63,AD53,AD39,AD29,AD17)</f>
        <v>11456500</v>
      </c>
      <c r="AE89" s="171"/>
      <c r="AF89" s="171"/>
      <c r="AG89" s="171"/>
      <c r="AH89" s="171">
        <f>SUM(AH85,AH74,AH63,AH53,AH39,AH29,AH17)</f>
        <v>36070200</v>
      </c>
      <c r="AI89" s="171"/>
      <c r="AJ89" s="171"/>
      <c r="AK89" s="171"/>
      <c r="AL89" s="171">
        <f>SUM(AL85,AL74,AL63,AL53,AL39,AL29,AL17)</f>
        <v>46383600</v>
      </c>
      <c r="AM89" s="171"/>
      <c r="AN89" s="171"/>
      <c r="AO89" s="171"/>
      <c r="AP89" s="171">
        <f>SUM(AP85,AP74,AP63,AP53,AP39,AP29,AP17)</f>
        <v>36068000</v>
      </c>
      <c r="AQ89" s="171"/>
      <c r="AR89" s="171"/>
      <c r="AS89" s="171"/>
      <c r="AT89" s="171">
        <f>SUM(AT85,AT74,AT63,AT53,AT39,AT29,AT17)</f>
        <v>41226700</v>
      </c>
      <c r="AU89" s="171"/>
      <c r="AV89" s="171"/>
      <c r="AW89" s="171"/>
      <c r="AX89" s="171">
        <f>SUM(AX85,AX74,AX63,AX53,AX39,AX29,AX17)</f>
        <v>41228100</v>
      </c>
      <c r="AY89" s="171"/>
      <c r="AZ89" s="171"/>
      <c r="BA89" s="171"/>
      <c r="BB89" s="171">
        <f>SUM(BB85,BB74,BB63,BB53,BB39,BB29,BB17)</f>
        <v>46383800</v>
      </c>
      <c r="BC89" s="171"/>
      <c r="BD89" s="171"/>
      <c r="BE89" s="171"/>
      <c r="BF89" s="171">
        <f>SUM(BF85,BF74,BF63,BF53,BF39,BF29,BF17)</f>
        <v>20776800</v>
      </c>
      <c r="BG89" s="171"/>
      <c r="BH89" s="171"/>
      <c r="BI89" s="171"/>
      <c r="BJ89" s="171">
        <f>SUM(BJ85,BJ74,BJ63,BJ53,BJ39,BJ29,BJ17)</f>
        <v>10297000</v>
      </c>
      <c r="BK89" s="171"/>
      <c r="BL89" s="171"/>
      <c r="BM89" s="171"/>
      <c r="BN89" s="171">
        <f>SUM(BN85,BN74,BN63,BN53,BN39,BN29,BN17)</f>
        <v>46381700</v>
      </c>
      <c r="BO89" s="171"/>
      <c r="BP89" s="171"/>
      <c r="BQ89" s="171"/>
      <c r="BR89" s="171">
        <f>SUM(BR85,BR74,BR63,BR53,BR39,BR29,BR17)</f>
        <v>30921400</v>
      </c>
      <c r="BS89" s="171"/>
      <c r="BT89" s="171"/>
      <c r="BU89" s="171"/>
      <c r="BV89" s="171">
        <f>SUM(BV85,BV74,BV63,BV53,BV39,BV29,BV17)</f>
        <v>5309300</v>
      </c>
      <c r="BW89" s="171"/>
      <c r="BX89" s="171"/>
      <c r="BY89" s="171"/>
      <c r="BZ89" s="171">
        <f>SUM(BZ85,BZ74,BZ63,BZ53,BZ39,BZ29,BZ17)</f>
        <v>1988800</v>
      </c>
      <c r="CA89" s="171"/>
      <c r="CB89" s="171"/>
      <c r="CC89" s="171"/>
      <c r="CD89" s="171">
        <f>SUM(CD85,CD74,CD63,CD53,CD39,CD29,CD17)</f>
        <v>30919400</v>
      </c>
      <c r="CE89" s="171"/>
      <c r="CF89" s="171"/>
      <c r="CG89" s="171"/>
      <c r="CH89" s="171">
        <f>SUM(CH85,CH74,CH63,CH53,CH39,CH29,CH17)</f>
        <v>30911900</v>
      </c>
      <c r="CI89" s="171"/>
      <c r="CJ89" s="171"/>
      <c r="CK89" s="171"/>
      <c r="CL89" s="37">
        <f>SUM(AD89:CK89)</f>
        <v>436323200</v>
      </c>
    </row>
    <row r="90" spans="2:90" x14ac:dyDescent="0.3">
      <c r="AC90" s="18"/>
      <c r="AD90" s="171">
        <f>SUM(AD86,AD75,AD64,AD54,AD40,AD30,AD18)</f>
        <v>11472958.413714286</v>
      </c>
      <c r="AE90" s="171"/>
      <c r="AF90" s="171"/>
      <c r="AG90" s="171"/>
      <c r="AH90" s="171">
        <f>SUM(AH86,AH75,AH64,AH54,AH40,AH30,AH18)</f>
        <v>36081622.837333336</v>
      </c>
      <c r="AI90" s="171"/>
      <c r="AJ90" s="171"/>
      <c r="AK90" s="171"/>
      <c r="AL90" s="171">
        <f>SUM(AL86,AL75,AL64,AL54,AL40,AL30,AL18)</f>
        <v>46390657.933714285</v>
      </c>
      <c r="AM90" s="171"/>
      <c r="AN90" s="171"/>
      <c r="AO90" s="171"/>
      <c r="AP90" s="171">
        <f>SUM(AP86,AP75,AP64,AP54,AP40,AP30,AP18)</f>
        <v>36081622.837333336</v>
      </c>
      <c r="AQ90" s="171"/>
      <c r="AR90" s="171"/>
      <c r="AS90" s="171"/>
      <c r="AT90" s="171">
        <f>SUM(AT86,AT75,AT64,AT54,AT40,AT30,AT18)</f>
        <v>41236140.385523811</v>
      </c>
      <c r="AU90" s="171"/>
      <c r="AV90" s="171"/>
      <c r="AW90" s="171"/>
      <c r="AX90" s="171">
        <f>SUM(AX86,AX75,AX64,AX54,AX40,AX30,AX18)</f>
        <v>41236140.385523811</v>
      </c>
      <c r="AY90" s="171"/>
      <c r="AZ90" s="171"/>
      <c r="BA90" s="171"/>
      <c r="BB90" s="171">
        <f>SUM(BB86,BB75,BB64,BB54,BB40,BB30,BB18)</f>
        <v>46390657.933714285</v>
      </c>
      <c r="BC90" s="171"/>
      <c r="BD90" s="171"/>
      <c r="BE90" s="171"/>
      <c r="BF90" s="171">
        <f>SUM(BF86,BF75,BF64,BF54,BF40,BF30,BF18)</f>
        <v>20784344.952380955</v>
      </c>
      <c r="BG90" s="171"/>
      <c r="BH90" s="171"/>
      <c r="BI90" s="171"/>
      <c r="BJ90" s="171">
        <f>SUM(BJ86,BJ75,BJ64,BJ54,BJ40,BJ30,BJ18)</f>
        <v>10309035.096380953</v>
      </c>
      <c r="BK90" s="171"/>
      <c r="BL90" s="171"/>
      <c r="BM90" s="171"/>
      <c r="BN90" s="171">
        <f>SUM(BN86,BN75,BN64,BN54,BN40,BN30,BN18)</f>
        <v>46390657.933714285</v>
      </c>
      <c r="BO90" s="171"/>
      <c r="BP90" s="171"/>
      <c r="BQ90" s="171"/>
      <c r="BR90" s="171">
        <f>SUM(BR86,BR75,BR64,BR54,BR40,BR30,BR18)</f>
        <v>30927105.289142858</v>
      </c>
      <c r="BS90" s="171"/>
      <c r="BT90" s="171"/>
      <c r="BU90" s="171"/>
      <c r="BV90" s="171">
        <f>SUM(BV86,BV75,BV64,BV54,BV40,BV30,BV18)</f>
        <v>5320792.3078095242</v>
      </c>
      <c r="BW90" s="171"/>
      <c r="BX90" s="171"/>
      <c r="BY90" s="171"/>
      <c r="BZ90" s="171">
        <f>SUM(BZ86,BZ75,BZ64,BZ54,BZ40,BZ30,BZ18)</f>
        <v>1995297.1154285714</v>
      </c>
      <c r="CA90" s="171"/>
      <c r="CB90" s="171"/>
      <c r="CC90" s="171"/>
      <c r="CD90" s="171">
        <f>SUM(CD86,CD75,CD64,CD54,CD40,CD30,CD18)</f>
        <v>30927105.289142858</v>
      </c>
      <c r="CE90" s="171"/>
      <c r="CF90" s="171"/>
      <c r="CG90" s="171"/>
      <c r="CH90" s="171">
        <f>SUM(CH86,CH75,CH64,CH54,CH40,CH30,CH18)</f>
        <v>30927105.289142858</v>
      </c>
      <c r="CI90" s="171"/>
      <c r="CJ90" s="171"/>
      <c r="CK90" s="171"/>
      <c r="CL90" s="37">
        <f t="shared" ref="CL90:CL91" si="639">SUM(AD90:CK90)</f>
        <v>436471243.99999994</v>
      </c>
    </row>
    <row r="91" spans="2:90" x14ac:dyDescent="0.3">
      <c r="AD91" s="171">
        <f>SUM(AD87,AD76,AD65,AD55,AD41,AD31,AD19)</f>
        <v>16458.413714286056</v>
      </c>
      <c r="AE91" s="171"/>
      <c r="AF91" s="171"/>
      <c r="AG91" s="171"/>
      <c r="AH91" s="171">
        <f>SUM(AH87,AH76,AH65,AH55,AH41,AH31,AH19)</f>
        <v>11422.837333333329</v>
      </c>
      <c r="AI91" s="171"/>
      <c r="AJ91" s="171"/>
      <c r="AK91" s="171"/>
      <c r="AL91" s="171">
        <f>SUM(AL87,AL76,AL65,AL55,AL41,AL31,AL19)</f>
        <v>7057.9337142845616</v>
      </c>
      <c r="AM91" s="171"/>
      <c r="AN91" s="171"/>
      <c r="AO91" s="171"/>
      <c r="AP91" s="171">
        <f>SUM(AP87,AP76,AP65,AP55,AP41,AP31,AP19)</f>
        <v>13622.837333333329</v>
      </c>
      <c r="AQ91" s="171"/>
      <c r="AR91" s="171"/>
      <c r="AS91" s="171"/>
      <c r="AT91" s="171">
        <f>SUM(AT87,AT76,AT65,AT55,AT41,AT31,AT19)</f>
        <v>9440.385523810517</v>
      </c>
      <c r="AU91" s="171"/>
      <c r="AV91" s="171"/>
      <c r="AW91" s="171"/>
      <c r="AX91" s="171">
        <f>SUM(AX87,AX76,AX65,AX55,AX41,AX31,AX19)</f>
        <v>8040.385523810517</v>
      </c>
      <c r="AY91" s="171"/>
      <c r="AZ91" s="171"/>
      <c r="BA91" s="171"/>
      <c r="BB91" s="171">
        <f>SUM(BB87,BB76,BB65,BB55,BB41,BB31,BB19)</f>
        <v>6857.9337142845616</v>
      </c>
      <c r="BC91" s="171"/>
      <c r="BD91" s="171"/>
      <c r="BE91" s="171"/>
      <c r="BF91" s="171">
        <f>SUM(BF87,BF76,BF65,BF55,BF41,BF31,BF19)</f>
        <v>7544.9523809533566</v>
      </c>
      <c r="BG91" s="171"/>
      <c r="BH91" s="171"/>
      <c r="BI91" s="171"/>
      <c r="BJ91" s="171">
        <f>SUM(BJ87,BJ76,BJ65,BJ55,BJ41,BJ31,BJ19)</f>
        <v>12035.096380952629</v>
      </c>
      <c r="BK91" s="171"/>
      <c r="BL91" s="171"/>
      <c r="BM91" s="171"/>
      <c r="BN91" s="171">
        <f>SUM(BN87,BN76,BN65,BN55,BN41,BN31,BN19)</f>
        <v>8957.9337142845616</v>
      </c>
      <c r="BO91" s="171"/>
      <c r="BP91" s="171"/>
      <c r="BQ91" s="171"/>
      <c r="BR91" s="171">
        <f>SUM(BR87,BR76,BR65,BR55,BR41,BR31,BR19)</f>
        <v>5705.2891428573057</v>
      </c>
      <c r="BS91" s="171"/>
      <c r="BT91" s="171"/>
      <c r="BU91" s="171"/>
      <c r="BV91" s="171">
        <f>SUM(BV87,BV76,BV65,BV55,BV41,BV31,BV19)</f>
        <v>11492.307809523816</v>
      </c>
      <c r="BW91" s="171"/>
      <c r="BX91" s="171"/>
      <c r="BY91" s="171"/>
      <c r="BZ91" s="171">
        <f>SUM(BZ87,BZ76,BZ65,BZ55,BZ41,BZ31,BZ19)</f>
        <v>6497.1154285714219</v>
      </c>
      <c r="CA91" s="171"/>
      <c r="CB91" s="171"/>
      <c r="CC91" s="171"/>
      <c r="CD91" s="171">
        <f>SUM(CD87,CD76,CD65,CD55,CD41,CD31,CD19)</f>
        <v>7705.2891428573057</v>
      </c>
      <c r="CE91" s="171"/>
      <c r="CF91" s="171"/>
      <c r="CG91" s="171"/>
      <c r="CH91" s="171">
        <f>SUM(CH87,CH76,CH65,CH55,CH41,CH31,CH19)</f>
        <v>15205.289142857306</v>
      </c>
      <c r="CI91" s="171"/>
      <c r="CJ91" s="171"/>
      <c r="CK91" s="171"/>
      <c r="CL91" s="37">
        <f t="shared" si="639"/>
        <v>148044.00000000058</v>
      </c>
    </row>
  </sheetData>
  <mergeCells count="718">
    <mergeCell ref="BN91:BQ91"/>
    <mergeCell ref="BR91:BU91"/>
    <mergeCell ref="BV91:BY91"/>
    <mergeCell ref="BZ91:CC91"/>
    <mergeCell ref="CD91:CG91"/>
    <mergeCell ref="CH91:CK91"/>
    <mergeCell ref="AD91:AG91"/>
    <mergeCell ref="AH91:AK91"/>
    <mergeCell ref="AL91:AO91"/>
    <mergeCell ref="AP91:AS91"/>
    <mergeCell ref="AT91:AW91"/>
    <mergeCell ref="AX91:BA91"/>
    <mergeCell ref="BB91:BE91"/>
    <mergeCell ref="BF91:BI91"/>
    <mergeCell ref="BJ91:BM91"/>
    <mergeCell ref="BJ90:BM90"/>
    <mergeCell ref="BN90:BQ90"/>
    <mergeCell ref="BR90:BU90"/>
    <mergeCell ref="BV90:BY90"/>
    <mergeCell ref="BZ90:CC90"/>
    <mergeCell ref="CD90:CG90"/>
    <mergeCell ref="CH90:CK90"/>
    <mergeCell ref="AD89:AG89"/>
    <mergeCell ref="AH89:AK89"/>
    <mergeCell ref="AL89:AO89"/>
    <mergeCell ref="AP89:AS89"/>
    <mergeCell ref="AT89:AW89"/>
    <mergeCell ref="AX89:BA89"/>
    <mergeCell ref="BB89:BE89"/>
    <mergeCell ref="BF89:BI89"/>
    <mergeCell ref="BJ89:BM89"/>
    <mergeCell ref="BN89:BQ89"/>
    <mergeCell ref="BR89:BU89"/>
    <mergeCell ref="BV89:BY89"/>
    <mergeCell ref="BZ89:CC89"/>
    <mergeCell ref="CD89:CG89"/>
    <mergeCell ref="CH89:CK89"/>
    <mergeCell ref="AD90:AG90"/>
    <mergeCell ref="AH90:AK90"/>
    <mergeCell ref="AL90:AO90"/>
    <mergeCell ref="AP90:AS90"/>
    <mergeCell ref="AT90:AW90"/>
    <mergeCell ref="AX90:BA90"/>
    <mergeCell ref="BB90:BE90"/>
    <mergeCell ref="BF90:BI90"/>
    <mergeCell ref="I3:I4"/>
    <mergeCell ref="I22:I23"/>
    <mergeCell ref="I34:I35"/>
    <mergeCell ref="I58:I59"/>
    <mergeCell ref="I68:I69"/>
    <mergeCell ref="I79:I80"/>
    <mergeCell ref="B78:AC78"/>
    <mergeCell ref="AD78:AP78"/>
    <mergeCell ref="AQ78:BC78"/>
    <mergeCell ref="B43:AC43"/>
    <mergeCell ref="AD43:AP43"/>
    <mergeCell ref="AQ43:BC43"/>
    <mergeCell ref="AB3:AB4"/>
    <mergeCell ref="AA3:AA4"/>
    <mergeCell ref="K3:K4"/>
    <mergeCell ref="AL22:AO22"/>
    <mergeCell ref="AP22:AS22"/>
    <mergeCell ref="AP19:AS19"/>
    <mergeCell ref="AH19:AK19"/>
    <mergeCell ref="AL19:AO19"/>
    <mergeCell ref="B18:AC18"/>
    <mergeCell ref="AD18:AG18"/>
    <mergeCell ref="AH18:AK18"/>
    <mergeCell ref="AL18:AO18"/>
    <mergeCell ref="BD78:BP78"/>
    <mergeCell ref="BQ78:CC78"/>
    <mergeCell ref="CD78:CK78"/>
    <mergeCell ref="AD67:AP67"/>
    <mergeCell ref="AQ67:BC67"/>
    <mergeCell ref="BD67:BP67"/>
    <mergeCell ref="BQ67:CC67"/>
    <mergeCell ref="CD67:CK67"/>
    <mergeCell ref="B57:AC57"/>
    <mergeCell ref="AD57:AP57"/>
    <mergeCell ref="AQ57:BC57"/>
    <mergeCell ref="BD57:BP57"/>
    <mergeCell ref="BQ57:CC57"/>
    <mergeCell ref="CD57:CK57"/>
    <mergeCell ref="AA58:AA59"/>
    <mergeCell ref="AB58:AB59"/>
    <mergeCell ref="AC58:AC59"/>
    <mergeCell ref="AD58:AG58"/>
    <mergeCell ref="AH58:AK58"/>
    <mergeCell ref="AL58:AO58"/>
    <mergeCell ref="AP58:AS58"/>
    <mergeCell ref="B63:AC63"/>
    <mergeCell ref="AD63:AG63"/>
    <mergeCell ref="AH63:AK63"/>
    <mergeCell ref="AQ33:BC33"/>
    <mergeCell ref="BD33:BP33"/>
    <mergeCell ref="BQ33:CC33"/>
    <mergeCell ref="B40:AC40"/>
    <mergeCell ref="AD40:AG40"/>
    <mergeCell ref="AH40:AK40"/>
    <mergeCell ref="AL40:AO40"/>
    <mergeCell ref="B39:AC39"/>
    <mergeCell ref="AD39:AG39"/>
    <mergeCell ref="AH39:AK39"/>
    <mergeCell ref="AL39:AO39"/>
    <mergeCell ref="AP39:AS39"/>
    <mergeCell ref="AP40:AS40"/>
    <mergeCell ref="M34:M35"/>
    <mergeCell ref="N34:N35"/>
    <mergeCell ref="O34:O35"/>
    <mergeCell ref="P34:P35"/>
    <mergeCell ref="Q34:Q35"/>
    <mergeCell ref="AT34:AW34"/>
    <mergeCell ref="AX34:BA34"/>
    <mergeCell ref="BB34:BE34"/>
    <mergeCell ref="BF34:BI34"/>
    <mergeCell ref="BJ34:BM34"/>
    <mergeCell ref="BN34:BQ34"/>
    <mergeCell ref="B33:AC33"/>
    <mergeCell ref="AD33:AP33"/>
    <mergeCell ref="L34:L35"/>
    <mergeCell ref="AL34:AO34"/>
    <mergeCell ref="AP34:AS34"/>
    <mergeCell ref="B34:B35"/>
    <mergeCell ref="C34:C35"/>
    <mergeCell ref="D34:D35"/>
    <mergeCell ref="E34:E35"/>
    <mergeCell ref="F34:F35"/>
    <mergeCell ref="G34:G35"/>
    <mergeCell ref="H34:H35"/>
    <mergeCell ref="K34:K35"/>
    <mergeCell ref="AB34:AB35"/>
    <mergeCell ref="AC34:AC35"/>
    <mergeCell ref="AD34:AG34"/>
    <mergeCell ref="AH34:AK34"/>
    <mergeCell ref="B2:AC2"/>
    <mergeCell ref="B21:AC21"/>
    <mergeCell ref="AD21:AP21"/>
    <mergeCell ref="AQ21:BC21"/>
    <mergeCell ref="BD21:BP21"/>
    <mergeCell ref="BQ21:CC21"/>
    <mergeCell ref="CD21:CK21"/>
    <mergeCell ref="E3:E4"/>
    <mergeCell ref="D3:D4"/>
    <mergeCell ref="C3:C4"/>
    <mergeCell ref="B3:B4"/>
    <mergeCell ref="AP3:AS3"/>
    <mergeCell ref="AH3:AK3"/>
    <mergeCell ref="AL3:AO3"/>
    <mergeCell ref="AH17:AK17"/>
    <mergeCell ref="AL17:AO17"/>
    <mergeCell ref="AP17:AS17"/>
    <mergeCell ref="AD3:AG3"/>
    <mergeCell ref="B17:AC17"/>
    <mergeCell ref="AD17:AG17"/>
    <mergeCell ref="F3:F4"/>
    <mergeCell ref="H3:H4"/>
    <mergeCell ref="G3:G4"/>
    <mergeCell ref="AC3:AC4"/>
    <mergeCell ref="AP18:AS18"/>
    <mergeCell ref="B22:B23"/>
    <mergeCell ref="B19:AC19"/>
    <mergeCell ref="AD19:AG19"/>
    <mergeCell ref="AD22:AG22"/>
    <mergeCell ref="AC22:AC23"/>
    <mergeCell ref="AH22:AK22"/>
    <mergeCell ref="H22:H23"/>
    <mergeCell ref="C22:C23"/>
    <mergeCell ref="D22:D23"/>
    <mergeCell ref="E22:E23"/>
    <mergeCell ref="F22:F23"/>
    <mergeCell ref="G22:G23"/>
    <mergeCell ref="K22:K23"/>
    <mergeCell ref="AA22:AA23"/>
    <mergeCell ref="AB22:AB23"/>
    <mergeCell ref="N22:N23"/>
    <mergeCell ref="O22:O23"/>
    <mergeCell ref="P22:P23"/>
    <mergeCell ref="Q22:Q23"/>
    <mergeCell ref="R22:R23"/>
    <mergeCell ref="S22:S23"/>
    <mergeCell ref="T22:T23"/>
    <mergeCell ref="U22:U23"/>
    <mergeCell ref="AD29:AG29"/>
    <mergeCell ref="AH29:AK29"/>
    <mergeCell ref="AL30:AO30"/>
    <mergeCell ref="AP30:AS30"/>
    <mergeCell ref="B31:AC31"/>
    <mergeCell ref="AD31:AG31"/>
    <mergeCell ref="AH31:AK31"/>
    <mergeCell ref="AL31:AO31"/>
    <mergeCell ref="AP31:AS31"/>
    <mergeCell ref="AL29:AO29"/>
    <mergeCell ref="AP29:AS29"/>
    <mergeCell ref="B30:AC30"/>
    <mergeCell ref="AD30:AG30"/>
    <mergeCell ref="AH30:AK30"/>
    <mergeCell ref="B41:AC41"/>
    <mergeCell ref="AD41:AG41"/>
    <mergeCell ref="AH41:AK41"/>
    <mergeCell ref="AL41:AO41"/>
    <mergeCell ref="AP41:AS41"/>
    <mergeCell ref="AA44:AA45"/>
    <mergeCell ref="AB44:AB45"/>
    <mergeCell ref="AC44:AC45"/>
    <mergeCell ref="AD44:AG44"/>
    <mergeCell ref="AH44:AK44"/>
    <mergeCell ref="AL44:AO44"/>
    <mergeCell ref="AP44:AS44"/>
    <mergeCell ref="W44:W45"/>
    <mergeCell ref="X44:X45"/>
    <mergeCell ref="Y44:Y45"/>
    <mergeCell ref="Z44:Z45"/>
    <mergeCell ref="AD53:AG53"/>
    <mergeCell ref="AH53:AK53"/>
    <mergeCell ref="AL53:AO53"/>
    <mergeCell ref="AP53:AS53"/>
    <mergeCell ref="B44:B45"/>
    <mergeCell ref="C44:C45"/>
    <mergeCell ref="D44:D45"/>
    <mergeCell ref="E44:E45"/>
    <mergeCell ref="F44:F45"/>
    <mergeCell ref="G44:G45"/>
    <mergeCell ref="H44:H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V44:V45"/>
    <mergeCell ref="AD54:AG54"/>
    <mergeCell ref="AH54:AK54"/>
    <mergeCell ref="AL54:AO54"/>
    <mergeCell ref="AP54:AS54"/>
    <mergeCell ref="B55:AC55"/>
    <mergeCell ref="AD55:AG55"/>
    <mergeCell ref="AH55:AK55"/>
    <mergeCell ref="AL55:AO55"/>
    <mergeCell ref="AP55:AS55"/>
    <mergeCell ref="M58:M59"/>
    <mergeCell ref="N58:N59"/>
    <mergeCell ref="O58:O59"/>
    <mergeCell ref="P58:P59"/>
    <mergeCell ref="Q58:Q59"/>
    <mergeCell ref="R58:R59"/>
    <mergeCell ref="S58:S59"/>
    <mergeCell ref="T58:T59"/>
    <mergeCell ref="U58:U59"/>
    <mergeCell ref="B58:B59"/>
    <mergeCell ref="C58:C59"/>
    <mergeCell ref="D58:D59"/>
    <mergeCell ref="E58:E59"/>
    <mergeCell ref="F58:F59"/>
    <mergeCell ref="G58:G59"/>
    <mergeCell ref="H58:H59"/>
    <mergeCell ref="K58:K59"/>
    <mergeCell ref="L58:L59"/>
    <mergeCell ref="AL64:AO64"/>
    <mergeCell ref="AP64:AS64"/>
    <mergeCell ref="B65:AC65"/>
    <mergeCell ref="AD65:AG65"/>
    <mergeCell ref="AH65:AK65"/>
    <mergeCell ref="AL65:AO65"/>
    <mergeCell ref="AP65:AS65"/>
    <mergeCell ref="AL63:AO63"/>
    <mergeCell ref="AP63:AS63"/>
    <mergeCell ref="AD64:AG64"/>
    <mergeCell ref="U68:U69"/>
    <mergeCell ref="V68:V69"/>
    <mergeCell ref="W68:W69"/>
    <mergeCell ref="X68:X69"/>
    <mergeCell ref="Y68:Y69"/>
    <mergeCell ref="Z68:Z69"/>
    <mergeCell ref="AH64:AK64"/>
    <mergeCell ref="AH68:AK68"/>
    <mergeCell ref="B68:B69"/>
    <mergeCell ref="C68:C69"/>
    <mergeCell ref="D68:D69"/>
    <mergeCell ref="E68:E69"/>
    <mergeCell ref="F68:F69"/>
    <mergeCell ref="M79:M80"/>
    <mergeCell ref="N79:N80"/>
    <mergeCell ref="O79:O80"/>
    <mergeCell ref="AD68:AG68"/>
    <mergeCell ref="AD74:AG74"/>
    <mergeCell ref="AH74:AK74"/>
    <mergeCell ref="AL74:AO74"/>
    <mergeCell ref="AP74:AS74"/>
    <mergeCell ref="B75:AC75"/>
    <mergeCell ref="AD75:AG75"/>
    <mergeCell ref="AH75:AK75"/>
    <mergeCell ref="AL75:AO75"/>
    <mergeCell ref="AP75:AS75"/>
    <mergeCell ref="AL85:AO85"/>
    <mergeCell ref="AP85:AS85"/>
    <mergeCell ref="B86:AC86"/>
    <mergeCell ref="AD86:AG86"/>
    <mergeCell ref="AH86:AK86"/>
    <mergeCell ref="AL86:AO86"/>
    <mergeCell ref="AP86:AS86"/>
    <mergeCell ref="B76:AC76"/>
    <mergeCell ref="AD76:AG76"/>
    <mergeCell ref="AH76:AK76"/>
    <mergeCell ref="AL76:AO76"/>
    <mergeCell ref="AP76:AS76"/>
    <mergeCell ref="B79:B80"/>
    <mergeCell ref="C79:C80"/>
    <mergeCell ref="D79:D80"/>
    <mergeCell ref="E79:E80"/>
    <mergeCell ref="F79:F80"/>
    <mergeCell ref="G79:G80"/>
    <mergeCell ref="H79:H80"/>
    <mergeCell ref="K79:K80"/>
    <mergeCell ref="AA79:AA80"/>
    <mergeCell ref="AB79:AB80"/>
    <mergeCell ref="AC79:AC80"/>
    <mergeCell ref="L79:L80"/>
    <mergeCell ref="B87:AC87"/>
    <mergeCell ref="AD87:AG87"/>
    <mergeCell ref="AH87:AK87"/>
    <mergeCell ref="AL87:AO87"/>
    <mergeCell ref="AP87:AS87"/>
    <mergeCell ref="AT3:AW3"/>
    <mergeCell ref="AX3:BA3"/>
    <mergeCell ref="BB3:BE3"/>
    <mergeCell ref="BF3:BI3"/>
    <mergeCell ref="AT17:AW17"/>
    <mergeCell ref="AX17:BA17"/>
    <mergeCell ref="BB17:BE17"/>
    <mergeCell ref="BF17:BI17"/>
    <mergeCell ref="AT18:AW18"/>
    <mergeCell ref="AX18:BA18"/>
    <mergeCell ref="BB18:BE18"/>
    <mergeCell ref="BF18:BI18"/>
    <mergeCell ref="AT19:AW19"/>
    <mergeCell ref="AX19:BA19"/>
    <mergeCell ref="BB19:BE19"/>
    <mergeCell ref="BF19:BI19"/>
    <mergeCell ref="B85:AC85"/>
    <mergeCell ref="AD85:AG85"/>
    <mergeCell ref="AH85:AK85"/>
    <mergeCell ref="BJ3:BM3"/>
    <mergeCell ref="BN3:BQ3"/>
    <mergeCell ref="BR3:BU3"/>
    <mergeCell ref="BV3:BY3"/>
    <mergeCell ref="BJ17:BM17"/>
    <mergeCell ref="BN17:BQ17"/>
    <mergeCell ref="BR17:BU17"/>
    <mergeCell ref="BV17:BY17"/>
    <mergeCell ref="BJ18:BM18"/>
    <mergeCell ref="BN18:BQ18"/>
    <mergeCell ref="BR18:BU18"/>
    <mergeCell ref="BV18:BY18"/>
    <mergeCell ref="BZ3:CC3"/>
    <mergeCell ref="CD3:CG3"/>
    <mergeCell ref="CH3:CK3"/>
    <mergeCell ref="BZ17:CC17"/>
    <mergeCell ref="CD17:CG17"/>
    <mergeCell ref="CH17:CK17"/>
    <mergeCell ref="BZ18:CC18"/>
    <mergeCell ref="CD18:CG18"/>
    <mergeCell ref="CH18:CK18"/>
    <mergeCell ref="CH19:CK19"/>
    <mergeCell ref="AT22:AW22"/>
    <mergeCell ref="AX22:BA22"/>
    <mergeCell ref="BB22:BE22"/>
    <mergeCell ref="BF22:BI22"/>
    <mergeCell ref="BJ22:BM22"/>
    <mergeCell ref="BN22:BQ22"/>
    <mergeCell ref="BR22:BU22"/>
    <mergeCell ref="BV22:BY22"/>
    <mergeCell ref="BZ22:CC22"/>
    <mergeCell ref="CD22:CG22"/>
    <mergeCell ref="CH22:CK22"/>
    <mergeCell ref="BV34:BY34"/>
    <mergeCell ref="BZ34:CC34"/>
    <mergeCell ref="BN44:BQ44"/>
    <mergeCell ref="BR44:BU44"/>
    <mergeCell ref="BV44:BY44"/>
    <mergeCell ref="BZ44:CC44"/>
    <mergeCell ref="CD44:CG44"/>
    <mergeCell ref="BJ19:BM19"/>
    <mergeCell ref="BN19:BQ19"/>
    <mergeCell ref="BR19:BU19"/>
    <mergeCell ref="BV19:BY19"/>
    <mergeCell ref="BZ19:CC19"/>
    <mergeCell ref="CD19:CG19"/>
    <mergeCell ref="CD40:CG40"/>
    <mergeCell ref="BJ29:BM29"/>
    <mergeCell ref="BN29:BQ29"/>
    <mergeCell ref="BR29:BU29"/>
    <mergeCell ref="BV29:BY29"/>
    <mergeCell ref="BZ29:CC29"/>
    <mergeCell ref="CD29:CG29"/>
    <mergeCell ref="CD31:CG31"/>
    <mergeCell ref="CD33:CK33"/>
    <mergeCell ref="BJ40:BM40"/>
    <mergeCell ref="BN40:BQ40"/>
    <mergeCell ref="BR40:BU40"/>
    <mergeCell ref="BV40:BY40"/>
    <mergeCell ref="BZ40:CC40"/>
    <mergeCell ref="CH40:CK40"/>
    <mergeCell ref="BD43:BP43"/>
    <mergeCell ref="BQ43:CC43"/>
    <mergeCell ref="CD43:CK43"/>
    <mergeCell ref="CD41:CG41"/>
    <mergeCell ref="CH41:CK41"/>
    <mergeCell ref="BR63:BU63"/>
    <mergeCell ref="BV63:BY63"/>
    <mergeCell ref="BZ63:CC63"/>
    <mergeCell ref="CD63:CG63"/>
    <mergeCell ref="CH63:CK63"/>
    <mergeCell ref="AT58:AW58"/>
    <mergeCell ref="AX58:BA58"/>
    <mergeCell ref="BB58:BE58"/>
    <mergeCell ref="BF58:BI58"/>
    <mergeCell ref="BJ58:BM58"/>
    <mergeCell ref="BN58:BQ58"/>
    <mergeCell ref="BR58:BU58"/>
    <mergeCell ref="BV58:BY58"/>
    <mergeCell ref="BZ58:CC58"/>
    <mergeCell ref="BJ79:BM79"/>
    <mergeCell ref="BN79:BQ79"/>
    <mergeCell ref="BR79:BU79"/>
    <mergeCell ref="BV79:BY79"/>
    <mergeCell ref="BZ79:CC79"/>
    <mergeCell ref="CD58:CG58"/>
    <mergeCell ref="CH58:CK58"/>
    <mergeCell ref="AT68:AW68"/>
    <mergeCell ref="AX68:BA68"/>
    <mergeCell ref="BB68:BE68"/>
    <mergeCell ref="BF68:BI68"/>
    <mergeCell ref="BJ68:BM68"/>
    <mergeCell ref="BN68:BQ68"/>
    <mergeCell ref="BR68:BU68"/>
    <mergeCell ref="BV68:BY68"/>
    <mergeCell ref="BZ68:CC68"/>
    <mergeCell ref="CD68:CG68"/>
    <mergeCell ref="CH68:CK68"/>
    <mergeCell ref="AT63:AW63"/>
    <mergeCell ref="AX63:BA63"/>
    <mergeCell ref="BB63:BE63"/>
    <mergeCell ref="BF63:BI63"/>
    <mergeCell ref="BJ63:BM63"/>
    <mergeCell ref="BN63:BQ63"/>
    <mergeCell ref="CH29:CK29"/>
    <mergeCell ref="AT30:AW30"/>
    <mergeCell ref="AX30:BA30"/>
    <mergeCell ref="BB30:BE30"/>
    <mergeCell ref="BF30:BI30"/>
    <mergeCell ref="BJ30:BM30"/>
    <mergeCell ref="BN30:BQ30"/>
    <mergeCell ref="BR30:BU30"/>
    <mergeCell ref="BV30:BY30"/>
    <mergeCell ref="BZ30:CC30"/>
    <mergeCell ref="CD30:CG30"/>
    <mergeCell ref="CH30:CK30"/>
    <mergeCell ref="CH31:CK31"/>
    <mergeCell ref="AT39:AW39"/>
    <mergeCell ref="AX39:BA39"/>
    <mergeCell ref="BB39:BE39"/>
    <mergeCell ref="BF39:BI39"/>
    <mergeCell ref="BJ39:BM39"/>
    <mergeCell ref="BN39:BQ39"/>
    <mergeCell ref="BR39:BU39"/>
    <mergeCell ref="BV39:BY39"/>
    <mergeCell ref="BZ39:CC39"/>
    <mergeCell ref="CD39:CG39"/>
    <mergeCell ref="CH39:CK39"/>
    <mergeCell ref="AT31:AW31"/>
    <mergeCell ref="AX31:BA31"/>
    <mergeCell ref="BB31:BE31"/>
    <mergeCell ref="BF31:BI31"/>
    <mergeCell ref="BJ31:BM31"/>
    <mergeCell ref="BN31:BQ31"/>
    <mergeCell ref="BR31:BU31"/>
    <mergeCell ref="BV31:BY31"/>
    <mergeCell ref="BZ31:CC31"/>
    <mergeCell ref="CD34:CG34"/>
    <mergeCell ref="CH34:CK34"/>
    <mergeCell ref="BR34:BU34"/>
    <mergeCell ref="CD53:CG53"/>
    <mergeCell ref="CH53:CK53"/>
    <mergeCell ref="AT41:AW41"/>
    <mergeCell ref="AX41:BA41"/>
    <mergeCell ref="BB41:BE41"/>
    <mergeCell ref="BF41:BI41"/>
    <mergeCell ref="BJ41:BM41"/>
    <mergeCell ref="BN41:BQ41"/>
    <mergeCell ref="BR41:BU41"/>
    <mergeCell ref="BV41:BY41"/>
    <mergeCell ref="BZ41:CC41"/>
    <mergeCell ref="AT44:AW44"/>
    <mergeCell ref="AX44:BA44"/>
    <mergeCell ref="AT53:AW53"/>
    <mergeCell ref="AX53:BA53"/>
    <mergeCell ref="BB53:BE53"/>
    <mergeCell ref="BF53:BI53"/>
    <mergeCell ref="BJ53:BM53"/>
    <mergeCell ref="BN53:BQ53"/>
    <mergeCell ref="BR53:BU53"/>
    <mergeCell ref="BV53:BY53"/>
    <mergeCell ref="BZ53:CC53"/>
    <mergeCell ref="CH44:CK44"/>
    <mergeCell ref="BJ44:BM44"/>
    <mergeCell ref="CD54:CG54"/>
    <mergeCell ref="CH54:CK54"/>
    <mergeCell ref="AT55:AW55"/>
    <mergeCell ref="AX55:BA55"/>
    <mergeCell ref="BB55:BE55"/>
    <mergeCell ref="BF55:BI55"/>
    <mergeCell ref="BJ55:BM55"/>
    <mergeCell ref="BN55:BQ55"/>
    <mergeCell ref="BR55:BU55"/>
    <mergeCell ref="BV55:BY55"/>
    <mergeCell ref="BZ55:CC55"/>
    <mergeCell ref="CD55:CG55"/>
    <mergeCell ref="CH55:CK55"/>
    <mergeCell ref="AT54:AW54"/>
    <mergeCell ref="AX54:BA54"/>
    <mergeCell ref="BB54:BE54"/>
    <mergeCell ref="BF54:BI54"/>
    <mergeCell ref="BJ54:BM54"/>
    <mergeCell ref="BN54:BQ54"/>
    <mergeCell ref="BR54:BU54"/>
    <mergeCell ref="BV54:BY54"/>
    <mergeCell ref="BZ54:CC54"/>
    <mergeCell ref="CD64:CG64"/>
    <mergeCell ref="CH64:CK64"/>
    <mergeCell ref="AT65:AW65"/>
    <mergeCell ref="AX65:BA65"/>
    <mergeCell ref="BB65:BE65"/>
    <mergeCell ref="BF65:BI65"/>
    <mergeCell ref="BJ65:BM65"/>
    <mergeCell ref="BN65:BQ65"/>
    <mergeCell ref="BR65:BU65"/>
    <mergeCell ref="BV65:BY65"/>
    <mergeCell ref="BZ65:CC65"/>
    <mergeCell ref="CD65:CG65"/>
    <mergeCell ref="CH65:CK65"/>
    <mergeCell ref="AT64:AW64"/>
    <mergeCell ref="AX64:BA64"/>
    <mergeCell ref="BB64:BE64"/>
    <mergeCell ref="BF64:BI64"/>
    <mergeCell ref="BJ64:BM64"/>
    <mergeCell ref="BN64:BQ64"/>
    <mergeCell ref="BR64:BU64"/>
    <mergeCell ref="BV64:BY64"/>
    <mergeCell ref="BZ64:CC64"/>
    <mergeCell ref="CD74:CG74"/>
    <mergeCell ref="CH74:CK74"/>
    <mergeCell ref="AT75:AW75"/>
    <mergeCell ref="AX75:BA75"/>
    <mergeCell ref="BB75:BE75"/>
    <mergeCell ref="BF75:BI75"/>
    <mergeCell ref="BJ75:BM75"/>
    <mergeCell ref="BN75:BQ75"/>
    <mergeCell ref="BR75:BU75"/>
    <mergeCell ref="BV75:BY75"/>
    <mergeCell ref="BZ75:CC75"/>
    <mergeCell ref="CD75:CG75"/>
    <mergeCell ref="CH75:CK75"/>
    <mergeCell ref="AT74:AW74"/>
    <mergeCell ref="AX74:BA74"/>
    <mergeCell ref="BB74:BE74"/>
    <mergeCell ref="BF74:BI74"/>
    <mergeCell ref="BJ74:BM74"/>
    <mergeCell ref="BN74:BQ74"/>
    <mergeCell ref="BR74:BU74"/>
    <mergeCell ref="BV74:BY74"/>
    <mergeCell ref="BZ74:CC74"/>
    <mergeCell ref="CD76:CG76"/>
    <mergeCell ref="CH76:CK76"/>
    <mergeCell ref="AT85:AW85"/>
    <mergeCell ref="AX85:BA85"/>
    <mergeCell ref="BB85:BE85"/>
    <mergeCell ref="BF85:BI85"/>
    <mergeCell ref="BJ85:BM85"/>
    <mergeCell ref="BN85:BQ85"/>
    <mergeCell ref="BR85:BU85"/>
    <mergeCell ref="BV85:BY85"/>
    <mergeCell ref="BZ85:CC85"/>
    <mergeCell ref="CD85:CG85"/>
    <mergeCell ref="CH85:CK85"/>
    <mergeCell ref="AT76:AW76"/>
    <mergeCell ref="AX76:BA76"/>
    <mergeCell ref="BB76:BE76"/>
    <mergeCell ref="BF76:BI76"/>
    <mergeCell ref="BJ76:BM76"/>
    <mergeCell ref="BN76:BQ76"/>
    <mergeCell ref="BR76:BU76"/>
    <mergeCell ref="BV76:BY76"/>
    <mergeCell ref="BZ76:CC76"/>
    <mergeCell ref="CD79:CG79"/>
    <mergeCell ref="CH79:CK79"/>
    <mergeCell ref="CD86:CG86"/>
    <mergeCell ref="CH86:CK86"/>
    <mergeCell ref="CD87:CG87"/>
    <mergeCell ref="CH87:CK87"/>
    <mergeCell ref="AT87:AW87"/>
    <mergeCell ref="AX87:BA87"/>
    <mergeCell ref="BB87:BE87"/>
    <mergeCell ref="BF87:BI87"/>
    <mergeCell ref="BJ87:BM87"/>
    <mergeCell ref="BN87:BQ87"/>
    <mergeCell ref="BR87:BU87"/>
    <mergeCell ref="BV87:BY87"/>
    <mergeCell ref="BZ87:CC87"/>
    <mergeCell ref="AT86:AW86"/>
    <mergeCell ref="AX86:BA86"/>
    <mergeCell ref="BB86:BE86"/>
    <mergeCell ref="BF86:BI86"/>
    <mergeCell ref="BJ86:BM86"/>
    <mergeCell ref="BN86:BQ86"/>
    <mergeCell ref="BR86:BU86"/>
    <mergeCell ref="BV86:BY86"/>
    <mergeCell ref="BZ86:CC86"/>
    <mergeCell ref="J3:J4"/>
    <mergeCell ref="J22:J23"/>
    <mergeCell ref="J34:J35"/>
    <mergeCell ref="J44:J45"/>
    <mergeCell ref="J58:J59"/>
    <mergeCell ref="J68:J69"/>
    <mergeCell ref="J79:J80"/>
    <mergeCell ref="Z3:Z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L22:L23"/>
    <mergeCell ref="M22:M23"/>
    <mergeCell ref="V22:V23"/>
    <mergeCell ref="W22:W23"/>
    <mergeCell ref="X22:X23"/>
    <mergeCell ref="Y22:Y23"/>
    <mergeCell ref="Z22:Z23"/>
    <mergeCell ref="U34:U35"/>
    <mergeCell ref="V34:V35"/>
    <mergeCell ref="W34:W35"/>
    <mergeCell ref="X34:X35"/>
    <mergeCell ref="Y34:Y35"/>
    <mergeCell ref="Z34:Z35"/>
    <mergeCell ref="B29:AC29"/>
    <mergeCell ref="R34:R35"/>
    <mergeCell ref="S34:S35"/>
    <mergeCell ref="T34:T35"/>
    <mergeCell ref="V58:V59"/>
    <mergeCell ref="W58:W59"/>
    <mergeCell ref="X58:X59"/>
    <mergeCell ref="Y58:Y59"/>
    <mergeCell ref="B54:AC54"/>
    <mergeCell ref="B53:AC53"/>
    <mergeCell ref="AA34:AA35"/>
    <mergeCell ref="L68:L69"/>
    <mergeCell ref="M68:M69"/>
    <mergeCell ref="N68:N69"/>
    <mergeCell ref="O68:O69"/>
    <mergeCell ref="P68:P69"/>
    <mergeCell ref="Q68:Q69"/>
    <mergeCell ref="R68:R69"/>
    <mergeCell ref="S68:S69"/>
    <mergeCell ref="T68:T69"/>
    <mergeCell ref="G68:G69"/>
    <mergeCell ref="H68:H69"/>
    <mergeCell ref="K68:K69"/>
    <mergeCell ref="B64:AC64"/>
    <mergeCell ref="AA68:AA69"/>
    <mergeCell ref="AB68:AB69"/>
    <mergeCell ref="AC68:AC69"/>
    <mergeCell ref="B67:AC67"/>
    <mergeCell ref="P79:P80"/>
    <mergeCell ref="Q79:Q80"/>
    <mergeCell ref="R79:R80"/>
    <mergeCell ref="S79:S80"/>
    <mergeCell ref="T79:T80"/>
    <mergeCell ref="U79:U80"/>
    <mergeCell ref="V79:V80"/>
    <mergeCell ref="W79:W80"/>
    <mergeCell ref="X79:X80"/>
    <mergeCell ref="Y79:Y80"/>
    <mergeCell ref="Z79:Z80"/>
    <mergeCell ref="Z58:Z59"/>
    <mergeCell ref="AT29:AW29"/>
    <mergeCell ref="AX29:BA29"/>
    <mergeCell ref="BB29:BE29"/>
    <mergeCell ref="BF29:BI29"/>
    <mergeCell ref="AT79:AW79"/>
    <mergeCell ref="AX79:BA79"/>
    <mergeCell ref="BB79:BE79"/>
    <mergeCell ref="BF79:BI79"/>
    <mergeCell ref="BB44:BE44"/>
    <mergeCell ref="BF44:BI44"/>
    <mergeCell ref="AT40:AW40"/>
    <mergeCell ref="AX40:BA40"/>
    <mergeCell ref="BB40:BE40"/>
    <mergeCell ref="BF40:BI40"/>
    <mergeCell ref="AL68:AO68"/>
    <mergeCell ref="AP68:AS68"/>
    <mergeCell ref="AD79:AG79"/>
    <mergeCell ref="AH79:AK79"/>
    <mergeCell ref="AL79:AO79"/>
    <mergeCell ref="AP79:AS79"/>
    <mergeCell ref="B74:AC74"/>
  </mergeCells>
  <conditionalFormatting sqref="AC24:AC28">
    <cfRule type="cellIs" dxfId="6" priority="7" operator="lessThan">
      <formula>0</formula>
    </cfRule>
  </conditionalFormatting>
  <conditionalFormatting sqref="AC36:AC38">
    <cfRule type="cellIs" dxfId="5" priority="6" operator="lessThan">
      <formula>0</formula>
    </cfRule>
  </conditionalFormatting>
  <conditionalFormatting sqref="AC46:AC52">
    <cfRule type="cellIs" dxfId="4" priority="5" operator="lessThan">
      <formula>0</formula>
    </cfRule>
  </conditionalFormatting>
  <conditionalFormatting sqref="AC60:AC62">
    <cfRule type="cellIs" dxfId="3" priority="4" operator="lessThan">
      <formula>0</formula>
    </cfRule>
  </conditionalFormatting>
  <conditionalFormatting sqref="AC70:AC73">
    <cfRule type="cellIs" dxfId="2" priority="3" operator="lessThan">
      <formula>0</formula>
    </cfRule>
  </conditionalFormatting>
  <conditionalFormatting sqref="AC81:AC84">
    <cfRule type="cellIs" dxfId="1" priority="2" operator="lessThan">
      <formula>0</formula>
    </cfRule>
  </conditionalFormatting>
  <conditionalFormatting sqref="AD19:CK19 AD31:CK31 AD41:CK41 AD55:CK55 AD65:CK65 AD76:CK76 AD87:CK87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L48"/>
  <sheetViews>
    <sheetView showGridLines="0" topLeftCell="A25" zoomScale="85" zoomScaleNormal="85" workbookViewId="0">
      <selection activeCell="D28" sqref="D28"/>
    </sheetView>
  </sheetViews>
  <sheetFormatPr baseColWidth="10" defaultRowHeight="12.75" x14ac:dyDescent="0.2"/>
  <cols>
    <col min="1" max="1" width="6.5703125" style="16" customWidth="1"/>
    <col min="2" max="2" width="6.7109375" style="32" customWidth="1"/>
    <col min="3" max="3" width="9.85546875" style="32" customWidth="1"/>
    <col min="4" max="4" width="75.5703125" style="96" customWidth="1"/>
    <col min="5" max="5" width="13.7109375" style="32" bestFit="1" customWidth="1"/>
    <col min="6" max="6" width="11.28515625" style="32" customWidth="1"/>
    <col min="7" max="8" width="6.85546875" style="32" customWidth="1"/>
    <col min="9" max="9" width="6.140625" style="34" bestFit="1" customWidth="1"/>
    <col min="10" max="10" width="5.5703125" style="33" bestFit="1" customWidth="1"/>
    <col min="11" max="11" width="11.42578125" style="94"/>
    <col min="12" max="12" width="16.140625" style="93" bestFit="1" customWidth="1"/>
    <col min="13" max="16384" width="11.42578125" style="15"/>
  </cols>
  <sheetData>
    <row r="2" spans="2:11" ht="16.5" x14ac:dyDescent="0.2">
      <c r="B2" s="172" t="s">
        <v>2</v>
      </c>
      <c r="C2" s="172" t="s">
        <v>3</v>
      </c>
      <c r="D2" s="172" t="s">
        <v>0</v>
      </c>
      <c r="E2" s="172" t="s">
        <v>1</v>
      </c>
      <c r="F2" s="172" t="s">
        <v>13</v>
      </c>
      <c r="G2" s="172" t="s">
        <v>22</v>
      </c>
      <c r="H2" s="172"/>
      <c r="I2" s="173" t="s">
        <v>24</v>
      </c>
      <c r="J2" s="173"/>
    </row>
    <row r="3" spans="2:11" ht="33" x14ac:dyDescent="0.2">
      <c r="B3" s="172"/>
      <c r="C3" s="172"/>
      <c r="D3" s="172"/>
      <c r="E3" s="172"/>
      <c r="F3" s="172"/>
      <c r="G3" s="44" t="s">
        <v>49</v>
      </c>
      <c r="H3" s="44" t="s">
        <v>23</v>
      </c>
      <c r="I3" s="46" t="s">
        <v>49</v>
      </c>
      <c r="J3" s="47" t="s">
        <v>23</v>
      </c>
    </row>
    <row r="4" spans="2:11" ht="16.5" x14ac:dyDescent="0.2">
      <c r="B4" s="158" t="str">
        <f>MÍNIMAS!B2</f>
        <v>A-02-02-01-002-007 ARTÍCULOS TEXTILES (EXCEPTO PRENDAS DE VESTIR)</v>
      </c>
      <c r="C4" s="158"/>
      <c r="D4" s="158"/>
      <c r="E4" s="158"/>
      <c r="F4" s="158"/>
      <c r="G4" s="158"/>
      <c r="H4" s="158"/>
      <c r="I4" s="158"/>
      <c r="J4" s="158"/>
    </row>
    <row r="5" spans="2:11" ht="49.5" x14ac:dyDescent="0.2">
      <c r="B5" s="10">
        <f>MÍNIMAS!B5</f>
        <v>1</v>
      </c>
      <c r="C5" s="10">
        <f>MÍNIMAS!C5</f>
        <v>2791301</v>
      </c>
      <c r="D5" s="95" t="str">
        <f>MÍNIMAS!D5</f>
        <v>PARCHE DE IDENTIFICACIÓN PERSONAL: 
ESPECIFICACIONES  TÉCNICAS DE ACUERDO NORMA TÉCNICA KIT DE DOTACIÓN NO. NTMD-0356 - A2</v>
      </c>
      <c r="E5" s="10" t="str">
        <f>MÍNIMAS!E5</f>
        <v>UNIDAD</v>
      </c>
      <c r="F5" s="91">
        <f>MÍNIMAS!Z5</f>
        <v>10624</v>
      </c>
      <c r="G5" s="48">
        <f>MÍNIMAS!AA5</f>
        <v>5080</v>
      </c>
      <c r="H5" s="49">
        <f>G5/F5</f>
        <v>0.47816265060240964</v>
      </c>
      <c r="I5" s="50">
        <f>MÍNIMAS!AB5</f>
        <v>5544</v>
      </c>
      <c r="J5" s="49">
        <f>I5/F5</f>
        <v>0.52183734939759041</v>
      </c>
      <c r="K5" s="93"/>
    </row>
    <row r="6" spans="2:11" ht="49.5" x14ac:dyDescent="0.2">
      <c r="B6" s="10">
        <f>MÍNIMAS!B6</f>
        <v>2</v>
      </c>
      <c r="C6" s="10">
        <f>MÍNIMAS!C6</f>
        <v>2791301</v>
      </c>
      <c r="D6" s="95" t="str">
        <f>MÍNIMAS!D6</f>
        <v>PARCHE DE EJÉRCITO: 
ESPECIFICACIONES  TÉCNICAS   DE  ACUERDO A LA NORMA TÉCNICA KIT DE DOTACIÓN. NO. NTMD-0356 - A2.</v>
      </c>
      <c r="E6" s="10" t="str">
        <f>MÍNIMAS!E6</f>
        <v>UNIDAD</v>
      </c>
      <c r="F6" s="91">
        <f>MÍNIMAS!Z6</f>
        <v>5312</v>
      </c>
      <c r="G6" s="48">
        <f>MÍNIMAS!AA6</f>
        <v>2538</v>
      </c>
      <c r="H6" s="49">
        <f t="shared" ref="H6:H18" si="0">G6/F6</f>
        <v>0.47778614457831325</v>
      </c>
      <c r="I6" s="50">
        <f>MÍNIMAS!AB6</f>
        <v>2774</v>
      </c>
      <c r="J6" s="49">
        <f t="shared" ref="J6:J18" si="1">I6/F6</f>
        <v>0.52221385542168675</v>
      </c>
      <c r="K6" s="93"/>
    </row>
    <row r="7" spans="2:11" ht="49.5" x14ac:dyDescent="0.2">
      <c r="B7" s="10">
        <f>MÍNIMAS!B7</f>
        <v>3</v>
      </c>
      <c r="C7" s="10">
        <f>MÍNIMAS!C7</f>
        <v>2791301</v>
      </c>
      <c r="D7" s="95" t="str">
        <f>MÍNIMAS!D7</f>
        <v>PARCHES DE LA UNIDAD SUPERIOR Y SUBALTERNA:
ESPECIFICACIONES  TÉCNICAS   DE  ACUERDO A LA NORMA TÉCNICA KIT DE DOTACIÓN N°. NTMD-0356 - A2.</v>
      </c>
      <c r="E7" s="10" t="str">
        <f>MÍNIMAS!E7</f>
        <v>UNIDAD</v>
      </c>
      <c r="F7" s="91">
        <f>MÍNIMAS!Z7</f>
        <v>10624</v>
      </c>
      <c r="G7" s="48">
        <f>MÍNIMAS!AA7</f>
        <v>5076</v>
      </c>
      <c r="H7" s="49">
        <f t="shared" si="0"/>
        <v>0.47778614457831325</v>
      </c>
      <c r="I7" s="50">
        <f>MÍNIMAS!AB7</f>
        <v>5548</v>
      </c>
      <c r="J7" s="49">
        <f t="shared" si="1"/>
        <v>0.52221385542168675</v>
      </c>
      <c r="K7" s="93"/>
    </row>
    <row r="8" spans="2:11" ht="82.5" x14ac:dyDescent="0.2">
      <c r="B8" s="10">
        <f>MÍNIMAS!B8</f>
        <v>4</v>
      </c>
      <c r="C8" s="10">
        <f>MÍNIMAS!C8</f>
        <v>2791301</v>
      </c>
      <c r="D8" s="95" t="str">
        <f>MÍNIMAS!D8</f>
        <v>BANDERA DE IDENTIFICACIÓN COLOMBIA: 
PARA UNIFORME DE COMBATE CAMUFLADO TIPO SELVA "CAMALEÓN" ESPECIFICACIONES  TÉCNICAS   DE  ACUERDO AL BOLETÍN N°.001 ESTANDARIZACIÓN DE LA BANDERA DE IDENTIFICACIÓN EMPLEADA EN EL UNIFORME Nº4 Y 4A DEL PATRÓN DE CAMUFLAJE TERRESTRE "CAMALEÓN".</v>
      </c>
      <c r="E8" s="10" t="str">
        <f>MÍNIMAS!E8</f>
        <v>UNIDAD</v>
      </c>
      <c r="F8" s="91">
        <f>MÍNIMAS!Z8</f>
        <v>5312</v>
      </c>
      <c r="G8" s="48">
        <f>MÍNIMAS!AA8</f>
        <v>2536</v>
      </c>
      <c r="H8" s="49">
        <f t="shared" si="0"/>
        <v>0.47740963855421686</v>
      </c>
      <c r="I8" s="50">
        <f>MÍNIMAS!AB8</f>
        <v>2776</v>
      </c>
      <c r="J8" s="49">
        <f t="shared" si="1"/>
        <v>0.52259036144578308</v>
      </c>
      <c r="K8" s="93"/>
    </row>
    <row r="9" spans="2:11" ht="49.5" x14ac:dyDescent="0.2">
      <c r="B9" s="10">
        <f>MÍNIMAS!B9</f>
        <v>5</v>
      </c>
      <c r="C9" s="10">
        <f>MÍNIMAS!C9</f>
        <v>2791301</v>
      </c>
      <c r="D9" s="95" t="str">
        <f>MÍNIMAS!D9</f>
        <v>PARCHE PARA IDENTIFICACIÓN GRUPO SANGUÍNEO:
ESPECIFICACIONES  TÉCNICAS   DE  ACUERDO A LA NORMA TÉCNICA KIT DE DOTACIÓN N°. NTMD-0356 - A2.</v>
      </c>
      <c r="E9" s="10" t="str">
        <f>MÍNIMAS!E9</f>
        <v>UNIDAD</v>
      </c>
      <c r="F9" s="91">
        <f>MÍNIMAS!Z9</f>
        <v>5312</v>
      </c>
      <c r="G9" s="48">
        <f>MÍNIMAS!AA9</f>
        <v>2534</v>
      </c>
      <c r="H9" s="49">
        <f t="shared" si="0"/>
        <v>0.47703313253012047</v>
      </c>
      <c r="I9" s="50">
        <f>MÍNIMAS!AB9</f>
        <v>2778</v>
      </c>
      <c r="J9" s="49">
        <f t="shared" si="1"/>
        <v>0.52296686746987953</v>
      </c>
      <c r="K9" s="93"/>
    </row>
    <row r="10" spans="2:11" ht="49.5" x14ac:dyDescent="0.2">
      <c r="B10" s="10">
        <f>MÍNIMAS!B10</f>
        <v>6</v>
      </c>
      <c r="C10" s="10">
        <f>MÍNIMAS!C10</f>
        <v>2791301</v>
      </c>
      <c r="D10" s="95" t="str">
        <f>MÍNIMAS!D10</f>
        <v>INSIGNIA DEL GRADO SOLDADO:
ESPECIFICACIONES  TÉCNICAS   DE  ACUERDO A LA NORMA TÉCNICA KIT DE DOTACIÓN N°. NTMD-0356 - A2.</v>
      </c>
      <c r="E10" s="10" t="str">
        <f>MÍNIMAS!E10</f>
        <v>JUEGO</v>
      </c>
      <c r="F10" s="91">
        <f>MÍNIMAS!Z10</f>
        <v>5312</v>
      </c>
      <c r="G10" s="48">
        <f>MÍNIMAS!AA10</f>
        <v>2534</v>
      </c>
      <c r="H10" s="49">
        <f t="shared" si="0"/>
        <v>0.47703313253012047</v>
      </c>
      <c r="I10" s="50">
        <f>MÍNIMAS!AB10</f>
        <v>2778</v>
      </c>
      <c r="J10" s="49">
        <f t="shared" si="1"/>
        <v>0.52296686746987953</v>
      </c>
      <c r="K10" s="93"/>
    </row>
    <row r="11" spans="2:11" ht="49.5" x14ac:dyDescent="0.2">
      <c r="B11" s="10">
        <f>MÍNIMAS!B11</f>
        <v>7</v>
      </c>
      <c r="C11" s="10">
        <f>MÍNIMAS!C11</f>
        <v>2791301</v>
      </c>
      <c r="D11" s="95" t="str">
        <f>MÍNIMAS!D11</f>
        <v>BRAZALETES TÁCTICOS X JUEGO DE 4:
ESPECIFICACIONES  TÉCNICAS   DE  ACUERDO A LA NORMA TÉCNICA KIT DE DOTACIÓN N°. NTMD-0356 - A2.</v>
      </c>
      <c r="E11" s="10" t="str">
        <f>MÍNIMAS!E11</f>
        <v>JUEGO</v>
      </c>
      <c r="F11" s="91">
        <f>MÍNIMAS!Z11</f>
        <v>2656</v>
      </c>
      <c r="G11" s="48">
        <f>MÍNIMAS!AA11</f>
        <v>1260</v>
      </c>
      <c r="H11" s="49">
        <f t="shared" si="0"/>
        <v>0.4743975903614458</v>
      </c>
      <c r="I11" s="50">
        <f>MÍNIMAS!AB11</f>
        <v>1396</v>
      </c>
      <c r="J11" s="49">
        <f t="shared" si="1"/>
        <v>0.5256024096385542</v>
      </c>
      <c r="K11" s="93"/>
    </row>
    <row r="12" spans="2:11" ht="49.5" x14ac:dyDescent="0.2">
      <c r="B12" s="10">
        <f>MÍNIMAS!B12</f>
        <v>8</v>
      </c>
      <c r="C12" s="10">
        <f>MÍNIMAS!C12</f>
        <v>2791301</v>
      </c>
      <c r="D12" s="95" t="str">
        <f>MÍNIMAS!D12</f>
        <v>OJOS DE GATO:
ESPECIFICACIONES  TÉCNICAS   DE  ACUERDO A LA NORMA TÉCNICA KIT DE DOTACIÓN N°. NTMD-0356 - A2.</v>
      </c>
      <c r="E12" s="10" t="str">
        <f>MÍNIMAS!E12</f>
        <v>UNIDAD</v>
      </c>
      <c r="F12" s="91">
        <f>MÍNIMAS!Z12</f>
        <v>5312</v>
      </c>
      <c r="G12" s="48">
        <f>MÍNIMAS!AA12</f>
        <v>2534</v>
      </c>
      <c r="H12" s="49">
        <f t="shared" si="0"/>
        <v>0.47703313253012047</v>
      </c>
      <c r="I12" s="50">
        <f>MÍNIMAS!AB12</f>
        <v>2778</v>
      </c>
      <c r="J12" s="49">
        <f t="shared" si="1"/>
        <v>0.52296686746987953</v>
      </c>
      <c r="K12" s="93"/>
    </row>
    <row r="13" spans="2:11" ht="49.5" x14ac:dyDescent="0.2">
      <c r="B13" s="10">
        <f>MÍNIMAS!B13</f>
        <v>9</v>
      </c>
      <c r="C13" s="10">
        <f>MÍNIMAS!C13</f>
        <v>2792201</v>
      </c>
      <c r="D13" s="95" t="str">
        <f>MÍNIMAS!D13</f>
        <v>LIGAS PARA BOTA MANGA PANTALÓN CAMUFLADO:
ESPECIFICACIONES  TÉCNICAS   DE  ACUERDO A LA NORMA TÉCNICA KIT DE DOTACIÓN N°. NTMD-0356 - A2.</v>
      </c>
      <c r="E13" s="10" t="str">
        <f>MÍNIMAS!E13</f>
        <v>PAR</v>
      </c>
      <c r="F13" s="91">
        <f>MÍNIMAS!Z13</f>
        <v>2656</v>
      </c>
      <c r="G13" s="48">
        <f>MÍNIMAS!AA13</f>
        <v>1258</v>
      </c>
      <c r="H13" s="49">
        <f t="shared" si="0"/>
        <v>0.47364457831325302</v>
      </c>
      <c r="I13" s="50">
        <f>MÍNIMAS!AB13</f>
        <v>1398</v>
      </c>
      <c r="J13" s="49">
        <f t="shared" si="1"/>
        <v>0.52635542168674698</v>
      </c>
      <c r="K13" s="93"/>
    </row>
    <row r="14" spans="2:11" ht="49.5" x14ac:dyDescent="0.2">
      <c r="B14" s="10">
        <f>MÍNIMAS!B14</f>
        <v>10</v>
      </c>
      <c r="C14" s="10">
        <f>MÍNIMAS!C14</f>
        <v>2712007</v>
      </c>
      <c r="D14" s="95" t="str">
        <f>MÍNIMAS!D14</f>
        <v>PAÑUELO:
ESPECIFICACIONES  TÉCNICAS   DE  ACUERDO A LA NORMA TÉCNICA KIT DE DOTACIÓN N°. NTMD-0356 - A2.</v>
      </c>
      <c r="E14" s="10" t="str">
        <f>MÍNIMAS!E14</f>
        <v>UNIDAD</v>
      </c>
      <c r="F14" s="91">
        <f>MÍNIMAS!Z14</f>
        <v>5312</v>
      </c>
      <c r="G14" s="48">
        <f>MÍNIMAS!AA14</f>
        <v>2532</v>
      </c>
      <c r="H14" s="49">
        <f t="shared" si="0"/>
        <v>0.47665662650602408</v>
      </c>
      <c r="I14" s="50">
        <f>MÍNIMAS!AB14</f>
        <v>2780</v>
      </c>
      <c r="J14" s="49">
        <f t="shared" si="1"/>
        <v>0.52334337349397586</v>
      </c>
      <c r="K14" s="93"/>
    </row>
    <row r="15" spans="2:11" ht="49.5" x14ac:dyDescent="0.2">
      <c r="B15" s="10">
        <f>MÍNIMAS!B15</f>
        <v>11</v>
      </c>
      <c r="C15" s="10">
        <f>MÍNIMAS!C15</f>
        <v>2799701</v>
      </c>
      <c r="D15" s="95" t="str">
        <f>MÍNIMAS!D15</f>
        <v>BOLSO PARA ÚTILES DE ASEO:
ESPECIFICACIONES  TÉCNICAS   DE  ACUERDO A LA NORMA TÉCNICA KIT DE DOTACIÓN N°. NTMD-0356 - A2.</v>
      </c>
      <c r="E15" s="10" t="str">
        <f>MÍNIMAS!E15</f>
        <v>UNIDAD</v>
      </c>
      <c r="F15" s="91">
        <f>MÍNIMAS!Z15</f>
        <v>2656</v>
      </c>
      <c r="G15" s="48">
        <f>MÍNIMAS!AA15</f>
        <v>1262</v>
      </c>
      <c r="H15" s="49">
        <f t="shared" si="0"/>
        <v>0.47515060240963858</v>
      </c>
      <c r="I15" s="50">
        <f>MÍNIMAS!AB15</f>
        <v>1394</v>
      </c>
      <c r="J15" s="49">
        <f t="shared" si="1"/>
        <v>0.52484939759036142</v>
      </c>
      <c r="K15" s="93"/>
    </row>
    <row r="16" spans="2:11" ht="33" x14ac:dyDescent="0.2">
      <c r="B16" s="10">
        <f>MÍNIMAS!B16</f>
        <v>12</v>
      </c>
      <c r="C16" s="10">
        <f>MÍNIMAS!C16</f>
        <v>2732099</v>
      </c>
      <c r="D16" s="95" t="str">
        <f>MÍNIMAS!D16</f>
        <v>MALLA PARA CABELLO COLOR NEGRO
DE ACUERDO A ESPECIFICACIONES TÉCNICAS JEMPP-CEDE4-DIETE-ET-04937/INT-0</v>
      </c>
      <c r="E16" s="10" t="str">
        <f>MÍNIMAS!E16</f>
        <v>UNIDAD</v>
      </c>
      <c r="F16" s="91">
        <f>MÍNIMAS!Z16</f>
        <v>125</v>
      </c>
      <c r="G16" s="48">
        <f>MÍNIMAS!AA16</f>
        <v>58</v>
      </c>
      <c r="H16" s="49">
        <f t="shared" si="0"/>
        <v>0.46400000000000002</v>
      </c>
      <c r="I16" s="50">
        <f>MÍNIMAS!AB16</f>
        <v>67</v>
      </c>
      <c r="J16" s="49">
        <f t="shared" si="1"/>
        <v>0.53600000000000003</v>
      </c>
      <c r="K16" s="93"/>
    </row>
    <row r="17" spans="2:11" ht="16.5" x14ac:dyDescent="0.2">
      <c r="B17" s="158" t="str">
        <f>MÍNIMAS!B21</f>
        <v>A-02-02-01-002-008 DOTACIÓN (PRENDAS DE VESTIR Y CALZADO)</v>
      </c>
      <c r="C17" s="158"/>
      <c r="D17" s="158"/>
      <c r="E17" s="158"/>
      <c r="F17" s="158"/>
      <c r="G17" s="158"/>
      <c r="H17" s="158"/>
      <c r="I17" s="158"/>
      <c r="J17" s="158"/>
      <c r="K17" s="93"/>
    </row>
    <row r="18" spans="2:11" ht="132" x14ac:dyDescent="0.2">
      <c r="B18" s="7">
        <f>MÍNIMAS!B24</f>
        <v>13</v>
      </c>
      <c r="C18" s="7">
        <f>MÍNIMAS!C24</f>
        <v>2821001</v>
      </c>
      <c r="D18" s="95" t="str">
        <f>MÍNIMAS!D24</f>
        <v>CALCETÍN COLOR BLANCO PARA DEPORTES: 
EL CALCETÍN DEBE SER ELABORADO EN POLIAMIDA CON TEJIDO ACANALADO 3X1 PARA LA PARTE DE LA CAÑA Y PARA EL PIE, CON UN TEJIDO TIPO TERRY EN EL INTERIOR Y PUEDE SER EN FIBRA ANTIBACTERIAL DESDE LA PARTE ALTA DEL TALÓN, LA PLANTA DEL PIE, LA PUNTERA Y SU ANILLO. EL CALCETÍN LLEVA UNA BANDA ELÁSTICA TEJIDA EN EL CONTORNO DEL ARCO DE LA PLANTA Y EMPEINE PARA EVITAR QUE EL CALCETÍN SE DESLICE, ESPECIFICACIONES SEGÚN NORMA TÉCNICA NO. NTMD-0356 A2 DE ACUERDO A ÍTEM  3.1.2.7</v>
      </c>
      <c r="E18" s="7" t="str">
        <f>MÍNIMAS!E24</f>
        <v>PAR</v>
      </c>
      <c r="F18" s="91">
        <f>MÍNIMAS!Z24</f>
        <v>2656</v>
      </c>
      <c r="G18" s="48">
        <f>MÍNIMAS!AA24</f>
        <v>1957</v>
      </c>
      <c r="H18" s="49">
        <f t="shared" si="0"/>
        <v>0.73682228915662651</v>
      </c>
      <c r="I18" s="50">
        <f>MÍNIMAS!AB24</f>
        <v>699</v>
      </c>
      <c r="J18" s="49">
        <f t="shared" si="1"/>
        <v>0.26317771084337349</v>
      </c>
      <c r="K18" s="93"/>
    </row>
    <row r="19" spans="2:11" ht="49.5" x14ac:dyDescent="0.2">
      <c r="B19" s="7">
        <f>MÍNIMAS!B25</f>
        <v>14</v>
      </c>
      <c r="C19" s="7">
        <f>MÍNIMAS!C25</f>
        <v>2823601</v>
      </c>
      <c r="D19" s="95" t="str">
        <f>MÍNIMAS!D25</f>
        <v>UNIFORME DE DEPORTES COMPLETO (CAMISETA Y PANTALONETA): 
DE ACUERDO A NORMA TÉCNICA  NO. NTMD-0356 A2 DE ACUERDO A ÍTEM  3.1.2.7 FIGURA ILUSTRATIVA 37</v>
      </c>
      <c r="E19" s="7" t="str">
        <f>MÍNIMAS!E25</f>
        <v>UNIDAD</v>
      </c>
      <c r="F19" s="91">
        <f>MÍNIMAS!Z25</f>
        <v>2656</v>
      </c>
      <c r="G19" s="48">
        <f>MÍNIMAS!AA25</f>
        <v>1944</v>
      </c>
      <c r="H19" s="49">
        <f t="shared" ref="H19:H22" si="2">G19/F19</f>
        <v>0.73192771084337349</v>
      </c>
      <c r="I19" s="50">
        <f>MÍNIMAS!AB25</f>
        <v>712</v>
      </c>
      <c r="J19" s="49">
        <f t="shared" ref="J19:J22" si="3">I19/F19</f>
        <v>0.26807228915662651</v>
      </c>
      <c r="K19" s="93"/>
    </row>
    <row r="20" spans="2:11" ht="99" x14ac:dyDescent="0.2">
      <c r="B20" s="7">
        <f>MÍNIMAS!B26</f>
        <v>15</v>
      </c>
      <c r="C20" s="7">
        <f>MÍNIMAS!C26</f>
        <v>2819003</v>
      </c>
      <c r="D20" s="95" t="str">
        <f>MÍNIMAS!D26</f>
        <v>CHANCLAS PARA BAÑO:
PUEDEN ESTAR FABRICADAS EN CAUCHO, PVC (POLÍMERO DE CLORURO DE VINILO) O EN EVA (ETILENVINILACETATO), EN UNA SOLO PIEZA POR PROCESO DE INYECCIÓN CON MATERIALES NO RECICLADOS Y QUE NO GENEREN ALERGIAS O CUALQUIER OTRO TIPO DE ENFERMEDAD AL USUARIO POR SU USO NORMAL, SEGÚN NORMA TÉCNICA NO. NTMD-0356 A2  ÍTEM  3.1.1.20</v>
      </c>
      <c r="E20" s="7" t="str">
        <f>MÍNIMAS!E26</f>
        <v>PAR</v>
      </c>
      <c r="F20" s="91">
        <f>MÍNIMAS!Z26</f>
        <v>2656</v>
      </c>
      <c r="G20" s="48">
        <f>MÍNIMAS!AA26</f>
        <v>1961</v>
      </c>
      <c r="H20" s="49">
        <f t="shared" si="2"/>
        <v>0.73832831325301207</v>
      </c>
      <c r="I20" s="50">
        <f>MÍNIMAS!AB26</f>
        <v>695</v>
      </c>
      <c r="J20" s="49">
        <f t="shared" si="3"/>
        <v>0.26167168674698793</v>
      </c>
      <c r="K20" s="93"/>
    </row>
    <row r="21" spans="2:11" ht="49.5" x14ac:dyDescent="0.2">
      <c r="B21" s="7">
        <f>MÍNIMAS!B27</f>
        <v>16</v>
      </c>
      <c r="C21" s="7">
        <f>MÍNIMAS!C27</f>
        <v>2823603</v>
      </c>
      <c r="D21" s="95" t="str">
        <f>MÍNIMAS!D27</f>
        <v>BICICLETERO NEGRO CORTO:
DE ACUERDO A ESPECIFICACIONES TÉCNICAS ESPECIFICACIONES TÉCNICAS NO JEMPP-CEDE4-DIETE-ET05595/INT-0</v>
      </c>
      <c r="E21" s="7" t="str">
        <f>MÍNIMAS!E27</f>
        <v>UNIDAD</v>
      </c>
      <c r="F21" s="91">
        <f>MÍNIMAS!Z27</f>
        <v>125</v>
      </c>
      <c r="G21" s="48">
        <f>MÍNIMAS!AA27</f>
        <v>41</v>
      </c>
      <c r="H21" s="49">
        <f t="shared" si="2"/>
        <v>0.32800000000000001</v>
      </c>
      <c r="I21" s="50">
        <f>MÍNIMAS!AB27</f>
        <v>84</v>
      </c>
      <c r="J21" s="49">
        <f t="shared" si="3"/>
        <v>0.67200000000000004</v>
      </c>
      <c r="K21" s="93"/>
    </row>
    <row r="22" spans="2:11" ht="49.5" x14ac:dyDescent="0.2">
      <c r="B22" s="7">
        <f>MÍNIMAS!B28</f>
        <v>17</v>
      </c>
      <c r="C22" s="7">
        <f>MÍNIMAS!C28</f>
        <v>2822401</v>
      </c>
      <c r="D22" s="95" t="str">
        <f>MÍNIMAS!D28</f>
        <v>JUEGO DE ROPA INTERIOR (TOP-CACHETERO) 
DE ACUERDO A ESPECIFICACIONES TÉCNICAS N° JEMPP-CEDE4-DIETE-ET05573/INT-01</v>
      </c>
      <c r="E22" s="7" t="str">
        <f>MÍNIMAS!E28</f>
        <v>UNIDAD</v>
      </c>
      <c r="F22" s="91">
        <f>MÍNIMAS!Z28</f>
        <v>125</v>
      </c>
      <c r="G22" s="48">
        <f>MÍNIMAS!AA28</f>
        <v>41</v>
      </c>
      <c r="H22" s="49">
        <f t="shared" si="2"/>
        <v>0.32800000000000001</v>
      </c>
      <c r="I22" s="50">
        <f>MÍNIMAS!AB28</f>
        <v>84</v>
      </c>
      <c r="J22" s="49">
        <f t="shared" si="3"/>
        <v>0.67200000000000004</v>
      </c>
      <c r="K22" s="93"/>
    </row>
    <row r="23" spans="2:11" ht="16.5" x14ac:dyDescent="0.2">
      <c r="B23" s="158" t="s">
        <v>46</v>
      </c>
      <c r="C23" s="158"/>
      <c r="D23" s="158"/>
      <c r="E23" s="158"/>
      <c r="F23" s="158"/>
      <c r="G23" s="158"/>
      <c r="H23" s="158"/>
      <c r="I23" s="158"/>
      <c r="J23" s="158"/>
      <c r="K23" s="93"/>
    </row>
    <row r="24" spans="2:11" ht="66" x14ac:dyDescent="0.2">
      <c r="B24" s="10">
        <f>MÍNIMAS!B36</f>
        <v>18</v>
      </c>
      <c r="C24" s="10">
        <f>MÍNIMAS!C36</f>
        <v>3270109</v>
      </c>
      <c r="D24" s="95" t="str">
        <f>MÍNIMAS!D36</f>
        <v>CUADERNO PARA ESCRITURA:   
DEBE SER COSIDO, GRAPADO O ARGOLLADO CON PASTA PLASTIFICADA DURA O BLANDA DE MÍNIMO 100 HOJAS DE COLOR BLANCO, ESPECIFICACIONES SEGÚN NORMA TÉCNICA N°. NTMD-0356 A2 ÍTEM  3.1.1.18</v>
      </c>
      <c r="E24" s="10" t="str">
        <f>MÍNIMAS!E36</f>
        <v>UNIDAD</v>
      </c>
      <c r="F24" s="91">
        <f>MÍNIMAS!Z36</f>
        <v>2656</v>
      </c>
      <c r="G24" s="48">
        <f>MÍNIMAS!AA36</f>
        <v>1443</v>
      </c>
      <c r="H24" s="49">
        <f t="shared" ref="H24" si="4">G24/F24</f>
        <v>0.54329819277108438</v>
      </c>
      <c r="I24" s="50">
        <f>MÍNIMAS!AB36</f>
        <v>1213</v>
      </c>
      <c r="J24" s="49">
        <f t="shared" ref="J24" si="5">I24/F24</f>
        <v>0.45670180722891568</v>
      </c>
      <c r="K24" s="93"/>
    </row>
    <row r="25" spans="2:11" ht="99" x14ac:dyDescent="0.2">
      <c r="B25" s="10">
        <f>MÍNIMAS!B37</f>
        <v>19</v>
      </c>
      <c r="C25" s="10">
        <f>MÍNIMAS!C37</f>
        <v>3219302</v>
      </c>
      <c r="D25" s="95" t="str">
        <f>MÍNIMAS!D37</f>
        <v>PAPEL HIGIÉNICO TRIPLE HOJA: 
PRESENTACIÓN DE ROLLO TRIPLE HOJA CON UNA LONGITUD MÍNIMA DE 35 METROS, COLOR BLANCO, ABSORBENTE, RESISTENTE, SUAVE Y EMPACADO INDIVIDUALMENTE DE TAL MANERA QUE SUS CONDICIONES NO SE AFECTEN HASTA LLEGAR AL USUARIO FINA ESPECIFICACIONES SEGÚN NORMA TÉCNICA NO. NTMD-0356 A2 ÍTEM  3.1.1.10</v>
      </c>
      <c r="E25" s="10" t="str">
        <f>MÍNIMAS!E37</f>
        <v>UNIDAD</v>
      </c>
      <c r="F25" s="91">
        <f>MÍNIMAS!Z37</f>
        <v>5312</v>
      </c>
      <c r="G25" s="48">
        <f>MÍNIMAS!AA37</f>
        <v>2858</v>
      </c>
      <c r="H25" s="49">
        <f t="shared" ref="H25:H28" si="6">G25/F25</f>
        <v>0.53802710843373491</v>
      </c>
      <c r="I25" s="50">
        <f>MÍNIMAS!AB37</f>
        <v>2454</v>
      </c>
      <c r="J25" s="49">
        <f t="shared" ref="J25:J28" si="7">I25/F25</f>
        <v>0.46197289156626509</v>
      </c>
      <c r="K25" s="93"/>
    </row>
    <row r="26" spans="2:11" ht="33" x14ac:dyDescent="0.2">
      <c r="B26" s="10">
        <f>MÍNIMAS!B38</f>
        <v>20</v>
      </c>
      <c r="C26" s="10">
        <f>MÍNIMAS!C38</f>
        <v>3219308</v>
      </c>
      <c r="D26" s="95" t="str">
        <f>MÍNIMAS!D38</f>
        <v>TOALLAS HIGIÉNICAS MUJER CON ALAS: ESPECIFICACIONES  DE ACUERDO A NTC-3604</v>
      </c>
      <c r="E26" s="10" t="str">
        <f>MÍNIMAS!E38</f>
        <v>PAQUETE</v>
      </c>
      <c r="F26" s="91">
        <f>MÍNIMAS!Z38</f>
        <v>125</v>
      </c>
      <c r="G26" s="48">
        <f>MÍNIMAS!AA38</f>
        <v>34</v>
      </c>
      <c r="H26" s="49">
        <f t="shared" si="6"/>
        <v>0.27200000000000002</v>
      </c>
      <c r="I26" s="50">
        <f>MÍNIMAS!AB38</f>
        <v>91</v>
      </c>
      <c r="J26" s="49">
        <f t="shared" si="7"/>
        <v>0.72799999999999998</v>
      </c>
      <c r="K26" s="93"/>
    </row>
    <row r="27" spans="2:11" ht="16.5" x14ac:dyDescent="0.2">
      <c r="B27" s="158" t="str">
        <f>MÍNIMAS!B43</f>
        <v>A-02-02-01-003-005 OTROS PRODUCTOS QUÍMICOS; FIBRAS ARTIFICIALES (O FIBRAS INDUSTRIALES HECHAS POR EL HOMBRE)</v>
      </c>
      <c r="C27" s="158"/>
      <c r="D27" s="158"/>
      <c r="E27" s="158"/>
      <c r="F27" s="158"/>
      <c r="G27" s="158"/>
      <c r="H27" s="158"/>
      <c r="I27" s="158"/>
      <c r="J27" s="158"/>
      <c r="K27" s="93"/>
    </row>
    <row r="28" spans="2:11" ht="49.5" x14ac:dyDescent="0.2">
      <c r="B28" s="10">
        <f>MÍNIMAS!B46</f>
        <v>21</v>
      </c>
      <c r="C28" s="10">
        <f>MÍNIMAS!C46</f>
        <v>3533301</v>
      </c>
      <c r="D28" s="95" t="str">
        <f>MÍNIMAS!D46</f>
        <v>BETÚN:
NEGRO 125 GRAMOS ESPECIFICACIONES SEGÚN NORMA TÉCNICA NO. NTMD-0356 A2  ÍTEM  3.1.1.14</v>
      </c>
      <c r="E28" s="10" t="str">
        <f>MÍNIMAS!E46</f>
        <v>UNIDAD</v>
      </c>
      <c r="F28" s="91">
        <f>MÍNIMAS!Z46</f>
        <v>2718</v>
      </c>
      <c r="G28" s="48">
        <f>MÍNIMAS!AA46</f>
        <v>1440</v>
      </c>
      <c r="H28" s="49">
        <f t="shared" si="6"/>
        <v>0.5298013245033113</v>
      </c>
      <c r="I28" s="50">
        <f>MÍNIMAS!AB46</f>
        <v>1278</v>
      </c>
      <c r="J28" s="49">
        <f t="shared" si="7"/>
        <v>0.47019867549668876</v>
      </c>
      <c r="K28" s="93"/>
    </row>
    <row r="29" spans="2:11" ht="49.5" x14ac:dyDescent="0.2">
      <c r="B29" s="10">
        <f>MÍNIMAS!B47</f>
        <v>22</v>
      </c>
      <c r="C29" s="10">
        <f>MÍNIMAS!C47</f>
        <v>3532315</v>
      </c>
      <c r="D29" s="95" t="str">
        <f>MÍNIMAS!D47</f>
        <v>TALCOS PARA PIES :  
DE 85 GRAMOS ESPECIFICACIONES SEGÚN NORMA TÉCNICA NO. NTMD-0356 A2 ÍTEM  3.1.1.6</v>
      </c>
      <c r="E29" s="10" t="str">
        <f>MÍNIMAS!E47</f>
        <v>UNIDAD</v>
      </c>
      <c r="F29" s="91">
        <f>MÍNIMAS!Z47</f>
        <v>2718</v>
      </c>
      <c r="G29" s="48">
        <f>MÍNIMAS!AA47</f>
        <v>1439</v>
      </c>
      <c r="H29" s="49">
        <f t="shared" ref="H29:H34" si="8">G29/F29</f>
        <v>0.52943340691685059</v>
      </c>
      <c r="I29" s="50">
        <f>MÍNIMAS!AB47</f>
        <v>1279</v>
      </c>
      <c r="J29" s="49">
        <f t="shared" ref="J29:J34" si="9">I29/F29</f>
        <v>0.47056659308314935</v>
      </c>
      <c r="K29" s="93"/>
    </row>
    <row r="30" spans="2:11" ht="49.5" x14ac:dyDescent="0.2">
      <c r="B30" s="10">
        <f>MÍNIMAS!B48</f>
        <v>23</v>
      </c>
      <c r="C30" s="10">
        <f>MÍNIMAS!C48</f>
        <v>3532308</v>
      </c>
      <c r="D30" s="95" t="str">
        <f>MÍNIMAS!D48</f>
        <v>CREMA DENTAL:
DE 100 ML ESPECIFICACIONES SEGÚN NORMA TÉCNICA NO. NTMD-0356 A2 ÍTEM  3.1.1.3</v>
      </c>
      <c r="E30" s="10" t="str">
        <f>MÍNIMAS!E48</f>
        <v>UNIDAD</v>
      </c>
      <c r="F30" s="91">
        <f>MÍNIMAS!Z48</f>
        <v>2718</v>
      </c>
      <c r="G30" s="48">
        <f>MÍNIMAS!AA48</f>
        <v>1438</v>
      </c>
      <c r="H30" s="49">
        <f t="shared" si="8"/>
        <v>0.52906548933038999</v>
      </c>
      <c r="I30" s="50">
        <f>MÍNIMAS!AB48</f>
        <v>1280</v>
      </c>
      <c r="J30" s="49">
        <f t="shared" si="9"/>
        <v>0.47093451066961001</v>
      </c>
      <c r="K30" s="93"/>
    </row>
    <row r="31" spans="2:11" ht="33" x14ac:dyDescent="0.2">
      <c r="B31" s="10">
        <f>MÍNIMAS!B49</f>
        <v>24</v>
      </c>
      <c r="C31" s="10">
        <f>MÍNIMAS!C49</f>
        <v>3532324</v>
      </c>
      <c r="D31" s="95" t="str">
        <f>MÍNIMAS!D49</f>
        <v>DESODORANTE ANTITRASPIRANTE: ESPECIFICACIONES  TÉCNICAS   DE  ACUERDO A LA NORMA TÉCNICA KIT DE DOTACIÓN NO. NTMD-0356 A2 ÍTEM  3.1.1.7</v>
      </c>
      <c r="E31" s="10" t="str">
        <f>MÍNIMAS!E49</f>
        <v>UNIDAD</v>
      </c>
      <c r="F31" s="91">
        <f>MÍNIMAS!Z49</f>
        <v>2718</v>
      </c>
      <c r="G31" s="48">
        <f>MÍNIMAS!AA49</f>
        <v>1440</v>
      </c>
      <c r="H31" s="49">
        <f t="shared" si="8"/>
        <v>0.5298013245033113</v>
      </c>
      <c r="I31" s="50">
        <f>MÍNIMAS!AB49</f>
        <v>1278</v>
      </c>
      <c r="J31" s="49">
        <f t="shared" si="9"/>
        <v>0.47019867549668876</v>
      </c>
      <c r="K31" s="93"/>
    </row>
    <row r="32" spans="2:11" ht="49.5" x14ac:dyDescent="0.2">
      <c r="B32" s="10">
        <f>MÍNIMAS!B50</f>
        <v>25</v>
      </c>
      <c r="C32" s="10">
        <f>MÍNIMAS!C50</f>
        <v>3532324</v>
      </c>
      <c r="D32" s="95" t="str">
        <f>MÍNIMAS!D50</f>
        <v>DESODORANTE ANTITRANSPIRANTE PARA MUJER:
DE 80 GRAMOS, ESPECIFICACIONES SEGÚN NORMA TÉCNICA NO. NTMD-0356 A2 ÍTEM  3.1.1.7</v>
      </c>
      <c r="E32" s="10" t="str">
        <f>MÍNIMAS!E50</f>
        <v>UNIDAD</v>
      </c>
      <c r="F32" s="91">
        <f>MÍNIMAS!Z50</f>
        <v>125</v>
      </c>
      <c r="G32" s="48">
        <f>MÍNIMAS!AA50</f>
        <v>58</v>
      </c>
      <c r="H32" s="49">
        <f t="shared" si="8"/>
        <v>0.46400000000000002</v>
      </c>
      <c r="I32" s="50">
        <f>MÍNIMAS!AB50</f>
        <v>67</v>
      </c>
      <c r="J32" s="49">
        <f t="shared" si="9"/>
        <v>0.53600000000000003</v>
      </c>
      <c r="K32" s="93"/>
    </row>
    <row r="33" spans="1:11" ht="49.5" x14ac:dyDescent="0.2">
      <c r="B33" s="10">
        <f>MÍNIMAS!B51</f>
        <v>26</v>
      </c>
      <c r="C33" s="10">
        <f>MÍNIMAS!C51</f>
        <v>3532105</v>
      </c>
      <c r="D33" s="95" t="str">
        <f>MÍNIMAS!D51</f>
        <v>JABÓN DE BAÑO ANTIBACTERIAL
130 GRAMOS: ESPECIFICACIONES SEGÚN NORMA TÉCNICA NO. NTMD-0356 A2 ÍTEM  3.1.1.8</v>
      </c>
      <c r="E33" s="10" t="str">
        <f>MÍNIMAS!E51</f>
        <v>UNIDAD</v>
      </c>
      <c r="F33" s="91">
        <f>MÍNIMAS!Z51</f>
        <v>5312</v>
      </c>
      <c r="G33" s="48">
        <f>MÍNIMAS!AA51</f>
        <v>2882</v>
      </c>
      <c r="H33" s="49">
        <f t="shared" si="8"/>
        <v>0.5425451807228916</v>
      </c>
      <c r="I33" s="50">
        <f>MÍNIMAS!AB51</f>
        <v>2430</v>
      </c>
      <c r="J33" s="49">
        <f t="shared" si="9"/>
        <v>0.45745481927710846</v>
      </c>
      <c r="K33" s="93"/>
    </row>
    <row r="34" spans="1:11" ht="49.5" x14ac:dyDescent="0.2">
      <c r="B34" s="10">
        <f>MÍNIMAS!B52</f>
        <v>27</v>
      </c>
      <c r="C34" s="10">
        <f>MÍNIMAS!C52</f>
        <v>3532101</v>
      </c>
      <c r="D34" s="95" t="str">
        <f>MÍNIMAS!D52</f>
        <v>JABÓN PARA LAVAR ROPA:
DE 300 GRAMOS, ESPECIFICACIONES SEGÚN NORMA TÉCNICA NO. NTMD-0356 A2  ÍTEM  3.1.1.13</v>
      </c>
      <c r="E34" s="10" t="str">
        <f>MÍNIMAS!E52</f>
        <v>UNIDAD</v>
      </c>
      <c r="F34" s="91">
        <f>MÍNIMAS!Z52</f>
        <v>2656</v>
      </c>
      <c r="G34" s="48">
        <f>MÍNIMAS!AA52</f>
        <v>1447</v>
      </c>
      <c r="H34" s="49">
        <f t="shared" si="8"/>
        <v>0.54480421686746983</v>
      </c>
      <c r="I34" s="50">
        <f>MÍNIMAS!AB52</f>
        <v>1209</v>
      </c>
      <c r="J34" s="49">
        <f t="shared" si="9"/>
        <v>0.45519578313253012</v>
      </c>
      <c r="K34" s="93"/>
    </row>
    <row r="35" spans="1:11" x14ac:dyDescent="0.2">
      <c r="B35" s="158" t="str">
        <f>MÍNIMAS!B57</f>
        <v>A-02-02-01-003-006 PRODUCTOS DE CAUCHO Y PLÁSTICO</v>
      </c>
      <c r="C35" s="158" t="e">
        <f>#REF!</f>
        <v>#REF!</v>
      </c>
      <c r="D35" s="158" t="e">
        <f>#REF!</f>
        <v>#REF!</v>
      </c>
      <c r="E35" s="158" t="e">
        <f>#REF!</f>
        <v>#REF!</v>
      </c>
      <c r="F35" s="158" t="e">
        <f>#REF!</f>
        <v>#REF!</v>
      </c>
      <c r="G35" s="158" t="e">
        <f>SUM(MÍNIMAS!AE53,MÍNIMAS!AI53,MÍNIMAS!AM53,MÍNIMAS!AQ53,MÍNIMAS!AU53,MÍNIMAS!AY53,MÍNIMAS!BC53,MÍNIMAS!BG53,MÍNIMAS!BK53,MÍNIMAS!BO53,MÍNIMAS!BS53,MÍNIMAS!BW53,MÍNIMAS!CA53,MÍNIMAS!CE53,MÍNIMAS!CI53,MÍNIMAS!#REF!,MÍNIMAS!#REF!,MÍNIMAS!#REF!,MÍNIMAS!#REF!,MÍNIMAS!#REF!,MÍNIMAS!#REF!,MÍNIMAS!#REF!,MÍNIMAS!#REF!,MÍNIMAS!#REF!,MÍNIMAS!#REF!,MÍNIMAS!#REF!,MÍNIMAS!#REF!,MÍNIMAS!#REF!)</f>
        <v>#REF!</v>
      </c>
      <c r="H35" s="158" t="e">
        <f t="shared" ref="H35:H36" si="10">G35/F35</f>
        <v>#REF!</v>
      </c>
      <c r="I35" s="158" t="e">
        <f>SUM(MÍNIMAS!#REF!,MÍNIMAS!#REF!,MÍNIMAS!#REF!,MÍNIMAS!#REF!,MÍNIMAS!#REF!,MÍNIMAS!#REF!,MÍNIMAS!#REF!,MÍNIMAS!#REF!,MÍNIMAS!#REF!,MÍNIMAS!#REF!,MÍNIMAS!#REF!,MÍNIMAS!#REF!,MÍNIMAS!#REF!,MÍNIMAS!CJ53,MÍNIMAS!CF53,MÍNIMAS!CB53,MÍNIMAS!BX53,MÍNIMAS!BT53,MÍNIMAS!BP53,MÍNIMAS!BL53,MÍNIMAS!BH53,MÍNIMAS!BD53,MÍNIMAS!AZ53,MÍNIMAS!AV53,MÍNIMAS!AR53,MÍNIMAS!AN53,MÍNIMAS!AJ53,MÍNIMAS!AF53)</f>
        <v>#REF!</v>
      </c>
      <c r="J35" s="158" t="e">
        <f t="shared" ref="J35:J36" si="11">I35/F35</f>
        <v>#REF!</v>
      </c>
      <c r="K35" s="93"/>
    </row>
    <row r="36" spans="1:11" ht="82.5" x14ac:dyDescent="0.2">
      <c r="B36" s="10">
        <f>MÍNIMAS!B60</f>
        <v>28</v>
      </c>
      <c r="C36" s="10">
        <f>MÍNIMAS!C60</f>
        <v>3699056</v>
      </c>
      <c r="D36" s="95" t="str">
        <f>MÍNIMAS!D60</f>
        <v>PROTECTORES  AUDITIVOS: 
DEBEN SER PRES MOLDEADOS DE TIPO TAPÓN, SE DEBEN AJUSTAR AL CANAL AUDITIVO DE CASI TODAS LAS PERSONAS. DEBEN LLEVAR TRIPLE REBORDE CON DISEÑO DE FÁCIL INSERCIÓN: ESPECIFICACIONES SEGÚN NORMA TÉCNICA NO. NTMD-0356 A2 ÍTEM  3.1.1.1</v>
      </c>
      <c r="E36" s="10" t="str">
        <f>MÍNIMAS!E60</f>
        <v>UNIDAD</v>
      </c>
      <c r="F36" s="91">
        <f>MÍNIMAS!Z60</f>
        <v>2656</v>
      </c>
      <c r="G36" s="48">
        <f>MÍNIMAS!AA60</f>
        <v>1805</v>
      </c>
      <c r="H36" s="49">
        <f t="shared" si="10"/>
        <v>0.67959337349397586</v>
      </c>
      <c r="I36" s="50">
        <f>MÍNIMAS!AB60</f>
        <v>851</v>
      </c>
      <c r="J36" s="49">
        <f t="shared" si="11"/>
        <v>0.32040662650602408</v>
      </c>
      <c r="K36" s="93"/>
    </row>
    <row r="37" spans="1:11" ht="49.5" x14ac:dyDescent="0.2">
      <c r="B37" s="10">
        <f>MÍNIMAS!B61</f>
        <v>29</v>
      </c>
      <c r="C37" s="10">
        <f>MÍNIMAS!C61</f>
        <v>3694006</v>
      </c>
      <c r="D37" s="95" t="str">
        <f>MÍNIMAS!D61</f>
        <v>JABONERA: 
PLÁSTICA CAPACIDAD JABÓN 130 GRAMOS ESPECIFICACIONES SEGÚN NORMA TÉCNICA NO. NTMD-0356 A2 ÍTEM  3.1.1.9</v>
      </c>
      <c r="E37" s="10" t="str">
        <f>MÍNIMAS!E61</f>
        <v>UNIDAD</v>
      </c>
      <c r="F37" s="91">
        <f>MÍNIMAS!Z61</f>
        <v>2656</v>
      </c>
      <c r="G37" s="48">
        <f>MÍNIMAS!AA61</f>
        <v>1812</v>
      </c>
      <c r="H37" s="49">
        <f t="shared" ref="H37:H43" si="12">G37/F37</f>
        <v>0.68222891566265065</v>
      </c>
      <c r="I37" s="50">
        <f>MÍNIMAS!AB61</f>
        <v>844</v>
      </c>
      <c r="J37" s="49">
        <f t="shared" ref="J37:J43" si="13">I37/F37</f>
        <v>0.31777108433734941</v>
      </c>
      <c r="K37" s="93"/>
    </row>
    <row r="38" spans="1:11" ht="33" x14ac:dyDescent="0.2">
      <c r="B38" s="10">
        <f>MÍNIMAS!B62</f>
        <v>30</v>
      </c>
      <c r="C38" s="10">
        <f>MÍNIMAS!C62</f>
        <v>3649006</v>
      </c>
      <c r="D38" s="95" t="str">
        <f>MÍNIMAS!D62</f>
        <v>PORTA CEPILLO DE DIENTES: ELABORADO EN PLÁSTICO ESPECIFICACIONES SEGÚN NORMA TÉCNICA NO. NTMD-0356 A2 ÍTEM  3.1.1.11</v>
      </c>
      <c r="E38" s="10" t="str">
        <f>MÍNIMAS!E62</f>
        <v>UNIDAD</v>
      </c>
      <c r="F38" s="91">
        <f>MÍNIMAS!Z62</f>
        <v>2656</v>
      </c>
      <c r="G38" s="48">
        <f>MÍNIMAS!AA62</f>
        <v>1807</v>
      </c>
      <c r="H38" s="49">
        <f t="shared" si="12"/>
        <v>0.68034638554216864</v>
      </c>
      <c r="I38" s="50">
        <f>MÍNIMAS!AB62</f>
        <v>849</v>
      </c>
      <c r="J38" s="49">
        <f t="shared" si="13"/>
        <v>0.3196536144578313</v>
      </c>
      <c r="K38" s="93"/>
    </row>
    <row r="39" spans="1:11" x14ac:dyDescent="0.2">
      <c r="B39" s="158" t="str">
        <f>MÍNIMAS!B67</f>
        <v>A-02-02-01-003-008 OTROS BIENES TRANSPORTABLES N.C.P.</v>
      </c>
      <c r="C39" s="158" t="e">
        <f>#REF!</f>
        <v>#REF!</v>
      </c>
      <c r="D39" s="158" t="e">
        <f>#REF!</f>
        <v>#REF!</v>
      </c>
      <c r="E39" s="158" t="e">
        <f>#REF!</f>
        <v>#REF!</v>
      </c>
      <c r="F39" s="158" t="e">
        <f>#REF!</f>
        <v>#REF!</v>
      </c>
      <c r="G39" s="158" t="e">
        <f>SUM(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)</f>
        <v>#REF!</v>
      </c>
      <c r="H39" s="158" t="e">
        <f t="shared" si="12"/>
        <v>#REF!</v>
      </c>
      <c r="I39" s="158" t="e">
        <f>SUM(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)</f>
        <v>#REF!</v>
      </c>
      <c r="J39" s="158" t="e">
        <f t="shared" si="13"/>
        <v>#REF!</v>
      </c>
      <c r="K39" s="93"/>
    </row>
    <row r="40" spans="1:11" ht="99" x14ac:dyDescent="0.2">
      <c r="B40" s="10">
        <f>MÍNIMAS!B70</f>
        <v>31</v>
      </c>
      <c r="C40" s="10">
        <f>MÍNIMAS!C70</f>
        <v>3899307</v>
      </c>
      <c r="D40" s="95" t="str">
        <f>MÍNIMAS!D70</f>
        <v>CEPILLO DENTAL (DUREZA CERDAS MEDIA O SUAVE): 
DEBE ESTAR CONFORMADO POR UNA CABEZA QUE CONTENGA CONJUNTOS DE PENACHOS COMPUESTOS POR CERDAS UNIDAS FUERTEMENTE Y UN MANGO PARA SER OPERADO MANUALMENTE. SUS SUPERFICIES DEBEN TENER APARIENCIA UNIFORME ESPECIFICACIONES SEGÚN NORMA TÉCNICA N°. NTMD-0356 A2 ÍTEM  3.1.1.2</v>
      </c>
      <c r="E40" s="10" t="str">
        <f>MÍNIMAS!E70</f>
        <v>UNIDAD</v>
      </c>
      <c r="F40" s="91">
        <f>MÍNIMAS!Z70</f>
        <v>2656</v>
      </c>
      <c r="G40" s="92">
        <f>MÍNIMAS!AA70</f>
        <v>1532</v>
      </c>
      <c r="H40" s="49">
        <f t="shared" si="12"/>
        <v>0.57680722891566261</v>
      </c>
      <c r="I40" s="50">
        <f>MÍNIMAS!AB70</f>
        <v>1124</v>
      </c>
      <c r="J40" s="49">
        <f t="shared" si="13"/>
        <v>0.42319277108433734</v>
      </c>
      <c r="K40" s="93"/>
    </row>
    <row r="41" spans="1:11" ht="49.5" x14ac:dyDescent="0.2">
      <c r="B41" s="10">
        <f>MÍNIMAS!B71</f>
        <v>32</v>
      </c>
      <c r="C41" s="10">
        <f>MÍNIMAS!C71</f>
        <v>3899402</v>
      </c>
      <c r="D41" s="95" t="str">
        <f>MÍNIMAS!D71</f>
        <v>PEINILLA: 
(LARGO: 120 MM ± 5 MM; ALTO: 28 MM ± 5 MM), ESPECIFICACIONES SEGÚN NORMA TÉCNICA NO. NTMD-0356 A2  ÍTEM  3.1.1.12</v>
      </c>
      <c r="E41" s="10" t="str">
        <f>MÍNIMAS!E71</f>
        <v>UNIDAD</v>
      </c>
      <c r="F41" s="91">
        <f>MÍNIMAS!Z71</f>
        <v>2656</v>
      </c>
      <c r="G41" s="92">
        <f>MÍNIMAS!AA71</f>
        <v>1529</v>
      </c>
      <c r="H41" s="49">
        <f t="shared" si="12"/>
        <v>0.57567771084337349</v>
      </c>
      <c r="I41" s="50">
        <f>MÍNIMAS!AB71</f>
        <v>1127</v>
      </c>
      <c r="J41" s="49">
        <f t="shared" si="13"/>
        <v>0.42432228915662651</v>
      </c>
      <c r="K41" s="93"/>
    </row>
    <row r="42" spans="1:11" ht="66" x14ac:dyDescent="0.2">
      <c r="B42" s="10">
        <f>MÍNIMAS!B72</f>
        <v>33</v>
      </c>
      <c r="C42" s="10">
        <f>MÍNIMAS!C72</f>
        <v>3899306</v>
      </c>
      <c r="D42" s="95" t="str">
        <f>MÍNIMAS!D72</f>
        <v>CEPILLOS GRANDE Y PEQUEÑO PARA BRILLAR CALZADO: DEBE ESTAR CONFORMADO POR UN MANGO Y UNA BASE, SOBRE LA CUAL SE FIJAN LAS CERDAS, APTOS PARA LIMPIAR, LAVAR, BRILLAR O BARRER, ESPECIFICACIONES SEGÚN NORMA TÉCNICA NO. NTMD-0356 A2  ÍTEM  3.1.1.16</v>
      </c>
      <c r="E42" s="10" t="str">
        <f>MÍNIMAS!E72</f>
        <v>UNIDAD</v>
      </c>
      <c r="F42" s="91">
        <f>MÍNIMAS!Z72</f>
        <v>2656</v>
      </c>
      <c r="G42" s="92">
        <f>MÍNIMAS!AA72</f>
        <v>1525</v>
      </c>
      <c r="H42" s="49">
        <f t="shared" si="12"/>
        <v>0.57417168674698793</v>
      </c>
      <c r="I42" s="50">
        <f>MÍNIMAS!AB72</f>
        <v>1131</v>
      </c>
      <c r="J42" s="49">
        <f t="shared" si="13"/>
        <v>0.42582831325301207</v>
      </c>
      <c r="K42" s="93"/>
    </row>
    <row r="43" spans="1:11" ht="49.5" x14ac:dyDescent="0.2">
      <c r="B43" s="10">
        <f>MÍNIMAS!B73</f>
        <v>34</v>
      </c>
      <c r="C43" s="10">
        <f>MÍNIMAS!C73</f>
        <v>3891103</v>
      </c>
      <c r="D43" s="95" t="str">
        <f>MÍNIMAS!D73</f>
        <v>LAPICERO:
(14 CM DE LONGITUD Y 7 MM DE DIÁMETRO), ESPECIFICACIONES SEGÚN NORMA TÉCNICA NO. NTMD-0356 A2  ÍTEM  3.1.1.19</v>
      </c>
      <c r="E43" s="10" t="str">
        <f>MÍNIMAS!E73</f>
        <v>UNIDAD</v>
      </c>
      <c r="F43" s="91">
        <f>MÍNIMAS!Z73</f>
        <v>2656</v>
      </c>
      <c r="G43" s="92">
        <f>MÍNIMAS!AA73</f>
        <v>1525</v>
      </c>
      <c r="H43" s="49">
        <f t="shared" si="12"/>
        <v>0.57417168674698793</v>
      </c>
      <c r="I43" s="50">
        <f>MÍNIMAS!AB73</f>
        <v>1131</v>
      </c>
      <c r="J43" s="49">
        <f t="shared" si="13"/>
        <v>0.42582831325301207</v>
      </c>
      <c r="K43" s="93"/>
    </row>
    <row r="44" spans="1:11" x14ac:dyDescent="0.2">
      <c r="B44" s="158" t="str">
        <f>MÍNIMAS!B78</f>
        <v>A-02-02-01-004-002 PRODUCTOS METÁLICOS ELABORADOS (EXCEPTO MAQUINARIA Y EQUIPO)</v>
      </c>
      <c r="C44" s="158" t="e">
        <f>#REF!</f>
        <v>#REF!</v>
      </c>
      <c r="D44" s="158" t="e">
        <f>#REF!</f>
        <v>#REF!</v>
      </c>
      <c r="E44" s="158" t="e">
        <f>#REF!</f>
        <v>#REF!</v>
      </c>
      <c r="F44" s="158" t="e">
        <f>#REF!</f>
        <v>#REF!</v>
      </c>
      <c r="G44" s="158" t="e">
        <f>SUM(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)</f>
        <v>#REF!</v>
      </c>
      <c r="H44" s="158" t="e">
        <f t="shared" ref="H44:H45" si="14">G44/F44</f>
        <v>#REF!</v>
      </c>
      <c r="I44" s="158" t="e">
        <f>SUM(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,MÍNIMAS!#REF!)</f>
        <v>#REF!</v>
      </c>
      <c r="J44" s="158" t="e">
        <f t="shared" ref="J44:J45" si="15">I44/F44</f>
        <v>#REF!</v>
      </c>
      <c r="K44" s="93"/>
    </row>
    <row r="45" spans="1:11" ht="49.5" x14ac:dyDescent="0.2">
      <c r="B45" s="10">
        <f>MÍNIMAS!B81</f>
        <v>35</v>
      </c>
      <c r="C45" s="10">
        <f>MÍNIMAS!C81</f>
        <v>4291403</v>
      </c>
      <c r="D45" s="95" t="str">
        <f>MÍNIMAS!D81</f>
        <v>MAQUINA  PARA AFEITAR: DESECHABLE, MÍNIMO TRIPLE HOJA, DEBE TENER BANDA LUBRICANTE ESPECIFICACIONES SEGÚN NORMA TÉCNICA NO. NTMD-0356 A2 ÍTEM  3.1.1.4</v>
      </c>
      <c r="E45" s="10" t="str">
        <f>MÍNIMAS!E81</f>
        <v>UNIDAD</v>
      </c>
      <c r="F45" s="91">
        <f>MÍNIMAS!Z81</f>
        <v>7968</v>
      </c>
      <c r="G45" s="48">
        <f>MÍNIMAS!AA81</f>
        <v>4908</v>
      </c>
      <c r="H45" s="49">
        <f t="shared" si="14"/>
        <v>0.61596385542168675</v>
      </c>
      <c r="I45" s="50">
        <f>MÍNIMAS!AB81</f>
        <v>3060</v>
      </c>
      <c r="J45" s="49">
        <f t="shared" si="15"/>
        <v>0.38403614457831325</v>
      </c>
      <c r="K45" s="93"/>
    </row>
    <row r="46" spans="1:11" ht="49.5" x14ac:dyDescent="0.2">
      <c r="A46" s="16" t="s">
        <v>156</v>
      </c>
      <c r="B46" s="10">
        <f>MÍNIMAS!B82</f>
        <v>36</v>
      </c>
      <c r="C46" s="10">
        <f>MÍNIMAS!C82</f>
        <v>4299206</v>
      </c>
      <c r="D46" s="95" t="str">
        <f>MÍNIMAS!D82</f>
        <v>CANDADO: AALTO 60 MM ± 5 MM
ANCHO 35 MM ± 5 MM, ESPECIFICACIONES SEGÚN NORMA TÉCNICA NO. NTMD-0356 A2 ÍTEM  3.1.1.15</v>
      </c>
      <c r="E46" s="10" t="str">
        <f>MÍNIMAS!E82</f>
        <v>UNIDAD</v>
      </c>
      <c r="F46" s="91">
        <f>MÍNIMAS!Z82</f>
        <v>2656</v>
      </c>
      <c r="G46" s="48">
        <f>MÍNIMAS!AA82</f>
        <v>1635</v>
      </c>
      <c r="H46" s="49">
        <f t="shared" ref="H46:H48" si="16">G46/F46</f>
        <v>0.61558734939759041</v>
      </c>
      <c r="I46" s="50">
        <f>MÍNIMAS!AB82</f>
        <v>1021</v>
      </c>
      <c r="J46" s="49">
        <f t="shared" ref="J46:J48" si="17">I46/F46</f>
        <v>0.38441265060240964</v>
      </c>
      <c r="K46" s="93"/>
    </row>
    <row r="47" spans="1:11" ht="49.5" x14ac:dyDescent="0.2">
      <c r="B47" s="10">
        <f>MÍNIMAS!B83</f>
        <v>37</v>
      </c>
      <c r="C47" s="10">
        <f>MÍNIMAS!C83</f>
        <v>4291502</v>
      </c>
      <c r="D47" s="95" t="str">
        <f>MÍNIMAS!D83</f>
        <v>CORTA UÑAS:
80 MM DE LONGITUD  ESPECIFICACIONES SEGÚN NORMA TÉCNICA NO. NTMD-0356 A2 ÍTEM  3.1.1.17</v>
      </c>
      <c r="E47" s="10" t="str">
        <f>MÍNIMAS!E83</f>
        <v>UNIDAD</v>
      </c>
      <c r="F47" s="91">
        <f>MÍNIMAS!Z83</f>
        <v>2656</v>
      </c>
      <c r="G47" s="48">
        <f>MÍNIMAS!AA83</f>
        <v>1634</v>
      </c>
      <c r="H47" s="49">
        <f t="shared" si="16"/>
        <v>0.61521084337349397</v>
      </c>
      <c r="I47" s="50">
        <f>MÍNIMAS!AB83</f>
        <v>1022</v>
      </c>
      <c r="J47" s="49">
        <f t="shared" si="17"/>
        <v>0.38478915662650603</v>
      </c>
      <c r="K47" s="93"/>
    </row>
    <row r="48" spans="1:11" ht="99" x14ac:dyDescent="0.2">
      <c r="B48" s="10">
        <f>MÍNIMAS!B84</f>
        <v>38</v>
      </c>
      <c r="C48" s="10">
        <f>MÍNIMAS!C84</f>
        <v>4299904</v>
      </c>
      <c r="D48" s="95" t="str">
        <f>MÍNIMAS!D84</f>
        <v>PLACAS   DE   IDENTIFICACIÓN:
DEBE CONTAR CON UN ESPESOR DE 1 MM. LOS EXTREMOS SERÁN EN SEMICÍRCULO Y UNO DE ELLOS TENDRÁ UNA PERFORACIÓN DE 4 MM ±0.5 MMDE DIÁMETRO PARA LAS CADENAS. LA CADENA LARGA TENDRÁ UNA LONGITUD DE 630MM ± 10MM, Y LA CORTA, 100 MM ± 5 MM., ESPECIFICACIONES SEGÚN NORMA TÉCNICA NO. NTMD-0356 A2  ÍTEMS 3.1.2.3</v>
      </c>
      <c r="E48" s="10" t="str">
        <f>MÍNIMAS!E84</f>
        <v>JUEGO</v>
      </c>
      <c r="F48" s="91">
        <f>MÍNIMAS!Z84</f>
        <v>2656</v>
      </c>
      <c r="G48" s="48">
        <f>MÍNIMAS!AA84</f>
        <v>1629</v>
      </c>
      <c r="H48" s="49">
        <f t="shared" si="16"/>
        <v>0.61332831325301207</v>
      </c>
      <c r="I48" s="50">
        <f>MÍNIMAS!AB84</f>
        <v>1027</v>
      </c>
      <c r="J48" s="49">
        <f t="shared" si="17"/>
        <v>0.38667168674698793</v>
      </c>
      <c r="K48" s="93"/>
    </row>
  </sheetData>
  <mergeCells count="14">
    <mergeCell ref="B44:J44"/>
    <mergeCell ref="B17:J17"/>
    <mergeCell ref="B23:J23"/>
    <mergeCell ref="B27:J27"/>
    <mergeCell ref="B35:J35"/>
    <mergeCell ref="B39:J39"/>
    <mergeCell ref="F2:F3"/>
    <mergeCell ref="G2:H2"/>
    <mergeCell ref="I2:J2"/>
    <mergeCell ref="B4:J4"/>
    <mergeCell ref="E2:E3"/>
    <mergeCell ref="D2:D3"/>
    <mergeCell ref="C2:C3"/>
    <mergeCell ref="B2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PLAN DE NECESIDADES</vt:lpstr>
      <vt:lpstr>PRESUPUESTO CONSOLIDADO</vt:lpstr>
      <vt:lpstr>PRESUPUESTO</vt:lpstr>
      <vt:lpstr>MÍNIMAS</vt:lpstr>
      <vt:lpstr>LIMITANTES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MANJARREZ</dc:creator>
  <cp:lastModifiedBy>Yoislin Mildred Palacio Conde</cp:lastModifiedBy>
  <dcterms:created xsi:type="dcterms:W3CDTF">2025-09-28T04:12:50Z</dcterms:created>
  <dcterms:modified xsi:type="dcterms:W3CDTF">2026-08-05T19:09:11Z</dcterms:modified>
</cp:coreProperties>
</file>