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LJIMENEZ\Downloads\"/>
    </mc:Choice>
  </mc:AlternateContent>
  <xr:revisionPtr revIDLastSave="0" documentId="8_{41FDA04F-7507-4FAD-9A6E-EE7591F20FE8}" xr6:coauthVersionLast="47" xr6:coauthVersionMax="47" xr10:uidLastSave="{00000000-0000-0000-0000-000000000000}"/>
  <bookViews>
    <workbookView xWindow="-120" yWindow="-120" windowWidth="29040" windowHeight="15720" tabRatio="388" firstSheet="2" activeTab="2" xr2:uid="{00000000-000D-0000-FFFF-FFFF00000000}"/>
  </bookViews>
  <sheets>
    <sheet name="Estudio de Mercado Servicio 5" sheetId="6" state="hidden" r:id="rId1"/>
    <sheet name="Estudio de Mercado Servicio 4,5" sheetId="4" state="hidden" r:id="rId2"/>
    <sheet name="Estudio de Mercado Servicio 4 M" sheetId="5" r:id="rId3"/>
    <sheet name="Estudio de Mercado Servicio  RV" sheetId="3" state="hidden" r:id="rId4"/>
    <sheet name="Estudio de Mercado Servicios" sheetId="2" state="hidden" r:id="rId5"/>
  </sheets>
  <definedNames>
    <definedName name="_xlnm.Print_Area" localSheetId="3">'Estudio de Mercado Servicio  RV'!$A$1:$V$20</definedName>
    <definedName name="_xlnm.Print_Area" localSheetId="2">'Estudio de Mercado Servicio 4 M'!$B$2:$X$19</definedName>
    <definedName name="_xlnm.Print_Area" localSheetId="1">'Estudio de Mercado Servicio 4,5'!$A$1:$W$20</definedName>
    <definedName name="_xlnm.Print_Area" localSheetId="0">'Estudio de Mercado Servicio 5'!$A$1:$W$20</definedName>
    <definedName name="_xlnm.Print_Area" localSheetId="4">'Estudio de Mercado Servicios'!$A$1:$X$27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5" l="1"/>
  <c r="Q7" i="5"/>
  <c r="E11" i="6"/>
  <c r="Q10" i="6"/>
  <c r="P10" i="6"/>
  <c r="Q9" i="6"/>
  <c r="P9" i="6"/>
  <c r="Q8" i="6"/>
  <c r="P8" i="6"/>
  <c r="Q7" i="6"/>
  <c r="P7" i="6"/>
  <c r="Q6" i="6"/>
  <c r="P6" i="6"/>
  <c r="E11" i="4"/>
  <c r="R15" i="5"/>
  <c r="Q15" i="5"/>
  <c r="R14" i="5"/>
  <c r="Q14" i="5"/>
  <c r="R13" i="5"/>
  <c r="Q13" i="5"/>
  <c r="R12" i="5"/>
  <c r="Q12" i="5"/>
  <c r="P6" i="4"/>
  <c r="P7" i="4"/>
  <c r="P8" i="4"/>
  <c r="P9" i="4"/>
  <c r="P10" i="4"/>
  <c r="Q10" i="4"/>
  <c r="Q9" i="4"/>
  <c r="Q8" i="4"/>
  <c r="Q7" i="4"/>
  <c r="Q6" i="4"/>
  <c r="U7" i="3"/>
  <c r="U8" i="3"/>
  <c r="U9" i="3"/>
  <c r="U10" i="3"/>
  <c r="U6" i="3"/>
  <c r="P10" i="3"/>
  <c r="O10" i="3"/>
  <c r="P9" i="3"/>
  <c r="O9" i="3"/>
  <c r="P8" i="3"/>
  <c r="O8" i="3"/>
  <c r="P7" i="3"/>
  <c r="O7" i="3"/>
  <c r="P6" i="3"/>
  <c r="O6" i="3"/>
  <c r="X18" i="2"/>
  <c r="V18" i="2"/>
  <c r="U18" i="2"/>
  <c r="T18" i="2"/>
  <c r="S18" i="2"/>
  <c r="R18" i="2"/>
  <c r="X17" i="2"/>
  <c r="V17" i="2"/>
  <c r="R17" i="2"/>
  <c r="T17" i="2" s="1"/>
  <c r="U17" i="2"/>
  <c r="S17" i="2"/>
  <c r="R13" i="2"/>
  <c r="R16" i="2"/>
  <c r="L20" i="2"/>
  <c r="M20" i="2"/>
  <c r="N20" i="2"/>
  <c r="O20" i="2"/>
  <c r="P20" i="2"/>
  <c r="Q20" i="2"/>
  <c r="K20" i="2"/>
  <c r="L19" i="2"/>
  <c r="M19" i="2"/>
  <c r="N19" i="2"/>
  <c r="O19" i="2"/>
  <c r="P19" i="2"/>
  <c r="Q19" i="2"/>
  <c r="K19" i="2"/>
  <c r="L18" i="2"/>
  <c r="M18" i="2"/>
  <c r="N18" i="2"/>
  <c r="O18" i="2"/>
  <c r="P18" i="2"/>
  <c r="Q18" i="2"/>
  <c r="K18" i="2"/>
  <c r="Q17" i="2"/>
  <c r="N17" i="2"/>
  <c r="O17" i="2"/>
  <c r="P17" i="2"/>
  <c r="M17" i="2"/>
  <c r="L17" i="2"/>
  <c r="K17" i="2"/>
  <c r="S6" i="6" l="1"/>
  <c r="R6" i="6"/>
  <c r="T6" i="6" s="1"/>
  <c r="V6" i="6" s="1"/>
  <c r="S7" i="6"/>
  <c r="R7" i="6"/>
  <c r="T7" i="6" s="1"/>
  <c r="V7" i="6" s="1"/>
  <c r="W7" i="6" s="1"/>
  <c r="S8" i="6"/>
  <c r="R8" i="6"/>
  <c r="T8" i="6" s="1"/>
  <c r="V8" i="6" s="1"/>
  <c r="W8" i="6" s="1"/>
  <c r="S9" i="6"/>
  <c r="R9" i="6"/>
  <c r="T9" i="6" s="1"/>
  <c r="V9" i="6" s="1"/>
  <c r="W9" i="6" s="1"/>
  <c r="S10" i="6"/>
  <c r="R10" i="6"/>
  <c r="T10" i="6" s="1"/>
  <c r="V10" i="6" s="1"/>
  <c r="W10" i="6" s="1"/>
  <c r="T7" i="5"/>
  <c r="S7" i="5"/>
  <c r="U7" i="5" s="1"/>
  <c r="W7" i="5" s="1"/>
  <c r="T12" i="5"/>
  <c r="S12" i="5"/>
  <c r="T13" i="5"/>
  <c r="S13" i="5"/>
  <c r="U13" i="5" s="1"/>
  <c r="W13" i="5" s="1"/>
  <c r="X13" i="5" s="1"/>
  <c r="T14" i="5"/>
  <c r="S14" i="5"/>
  <c r="U14" i="5" s="1"/>
  <c r="W14" i="5" s="1"/>
  <c r="X14" i="5" s="1"/>
  <c r="T15" i="5"/>
  <c r="S15" i="5"/>
  <c r="U15" i="5" s="1"/>
  <c r="W15" i="5" s="1"/>
  <c r="X15" i="5" s="1"/>
  <c r="S10" i="4"/>
  <c r="R10" i="4"/>
  <c r="T10" i="4" s="1"/>
  <c r="V10" i="4" s="1"/>
  <c r="W10" i="4" s="1"/>
  <c r="S9" i="4"/>
  <c r="R9" i="4"/>
  <c r="R8" i="4"/>
  <c r="S8" i="4"/>
  <c r="S7" i="4"/>
  <c r="R7" i="4"/>
  <c r="S6" i="4"/>
  <c r="R6" i="4"/>
  <c r="T6" i="4" s="1"/>
  <c r="V6" i="4" s="1"/>
  <c r="R10" i="3"/>
  <c r="Q10" i="3"/>
  <c r="S10" i="3" s="1"/>
  <c r="V10" i="3" s="1"/>
  <c r="Q9" i="3"/>
  <c r="S9" i="3" s="1"/>
  <c r="V9" i="3" s="1"/>
  <c r="R9" i="3"/>
  <c r="R8" i="3"/>
  <c r="Q8" i="3"/>
  <c r="S8" i="3" s="1"/>
  <c r="V8" i="3" s="1"/>
  <c r="R7" i="3"/>
  <c r="Q7" i="3"/>
  <c r="R6" i="3"/>
  <c r="Q6" i="3"/>
  <c r="X7" i="2"/>
  <c r="V15" i="2"/>
  <c r="V14" i="2"/>
  <c r="V7" i="2"/>
  <c r="T7" i="2"/>
  <c r="S13" i="2"/>
  <c r="U13" i="2" s="1"/>
  <c r="S7" i="2"/>
  <c r="R15" i="2"/>
  <c r="T15" i="2" s="1"/>
  <c r="R14" i="2"/>
  <c r="R7" i="2"/>
  <c r="S14" i="2"/>
  <c r="S15" i="2"/>
  <c r="S16" i="2"/>
  <c r="U12" i="5" l="1"/>
  <c r="W12" i="5" s="1"/>
  <c r="X12" i="5" s="1"/>
  <c r="V11" i="6"/>
  <c r="W6" i="6"/>
  <c r="W11" i="6" s="1"/>
  <c r="X7" i="5"/>
  <c r="T9" i="4"/>
  <c r="V9" i="4" s="1"/>
  <c r="W9" i="4" s="1"/>
  <c r="T7" i="4"/>
  <c r="V7" i="4" s="1"/>
  <c r="W7" i="4" s="1"/>
  <c r="T8" i="4"/>
  <c r="V8" i="4" s="1"/>
  <c r="W6" i="4"/>
  <c r="S7" i="3"/>
  <c r="V7" i="3" s="1"/>
  <c r="S6" i="3"/>
  <c r="U11" i="3" s="1"/>
  <c r="U12" i="3" s="1"/>
  <c r="U7" i="2"/>
  <c r="U14" i="2"/>
  <c r="T16" i="2"/>
  <c r="U16" i="2"/>
  <c r="X15" i="2"/>
  <c r="U15" i="2"/>
  <c r="T14" i="2"/>
  <c r="X14" i="2" s="1"/>
  <c r="T13" i="2"/>
  <c r="X16" i="5" l="1"/>
  <c r="X17" i="5" s="1"/>
  <c r="X18" i="5" s="1"/>
  <c r="W16" i="5"/>
  <c r="W12" i="6"/>
  <c r="W13" i="6" s="1"/>
  <c r="W17" i="6" s="1"/>
  <c r="V12" i="6"/>
  <c r="V13" i="6" s="1"/>
  <c r="W8" i="4"/>
  <c r="W11" i="4" s="1"/>
  <c r="V11" i="4"/>
  <c r="V12" i="4" s="1"/>
  <c r="V13" i="4" s="1"/>
  <c r="V6" i="3"/>
  <c r="V11" i="3" s="1"/>
  <c r="V12" i="3" s="1"/>
  <c r="V13" i="2"/>
  <c r="X13" i="2" s="1"/>
  <c r="V16" i="2"/>
  <c r="X16" i="2" s="1"/>
  <c r="W17" i="5" l="1"/>
  <c r="W18" i="5" s="1"/>
  <c r="W12" i="4"/>
  <c r="W13" i="4" s="1"/>
  <c r="W17" i="4" s="1"/>
  <c r="V13" i="3"/>
  <c r="U13" i="3"/>
</calcChain>
</file>

<file path=xl/sharedStrings.xml><?xml version="1.0" encoding="utf-8"?>
<sst xmlns="http://schemas.openxmlformats.org/spreadsheetml/2006/main" count="326" uniqueCount="68">
  <si>
    <t xml:space="preserve">  </t>
  </si>
  <si>
    <t>ESTUDIO DE MERCADO SERVICIOS</t>
  </si>
  <si>
    <t>SERVICIOS</t>
  </si>
  <si>
    <t>DATAFILE</t>
  </si>
  <si>
    <t>SKAPHE SAS</t>
  </si>
  <si>
    <t>GESTIÓN TECNOLOGICA Y CONTABLE</t>
  </si>
  <si>
    <t>LOCKERS COLOMBIA SAS</t>
  </si>
  <si>
    <t>GLOBAL TECHNOLOGY SERVICES GTS SA</t>
  </si>
  <si>
    <t>DOCUMENTOS INTELIGENTES SAS</t>
  </si>
  <si>
    <t>GRABANDO ARCHIVOS</t>
  </si>
  <si>
    <t>GESTIÓN TECNOLÓGICA Y CONTABLE SAS</t>
  </si>
  <si>
    <t>MEDIA ARITMETICA BAJA</t>
  </si>
  <si>
    <t>DESVIACION ESTANDAR</t>
  </si>
  <si>
    <t>LIMITE INFERIOR</t>
  </si>
  <si>
    <t>LIMITE SUPERIOR</t>
  </si>
  <si>
    <t>PROMEDIO AJUSTADO</t>
  </si>
  <si>
    <t>PRECIOS DE REFERENCIA</t>
  </si>
  <si>
    <t>ITEM</t>
  </si>
  <si>
    <t>Caracteristica 1</t>
  </si>
  <si>
    <t>Caracteristica 2</t>
  </si>
  <si>
    <t>Capacidad</t>
  </si>
  <si>
    <t>Unidad de facturación</t>
  </si>
  <si>
    <t>Cantidad de tiempo
Plazo de ejecución</t>
  </si>
  <si>
    <t>Valor unitario antes de IVA</t>
  </si>
  <si>
    <t>Valor total antes de IVA</t>
  </si>
  <si>
    <t>item 1</t>
  </si>
  <si>
    <t>Recepción, registro y radicación</t>
  </si>
  <si>
    <t xml:space="preserve">Con herramienta logistica y operativa </t>
  </si>
  <si>
    <t>En sitio (SIC)</t>
  </si>
  <si>
    <t>Mes</t>
  </si>
  <si>
    <t>item 2</t>
  </si>
  <si>
    <t>Distribución de comunicaciones generadas por la entidad para la entrega interna de entrada, traslado y salida</t>
  </si>
  <si>
    <t xml:space="preserve">Con herramienta logistica y operativa 
</t>
  </si>
  <si>
    <t>Traslados de documentación, expedientes e insumos entre la sede principal, bodegas de almacenamiento y custodia y puntos de atención de la Superintendencia de Industria y Comercio en la ciudad de Bogotá.</t>
  </si>
  <si>
    <t>item 3</t>
  </si>
  <si>
    <t>Servicios en gestión documental y en la implementación de los instrumentos archivísticos.</t>
  </si>
  <si>
    <t>SUBTOTAL ANTES DE IVA</t>
  </si>
  <si>
    <t>IVA (19%)</t>
  </si>
  <si>
    <t>TOTAL</t>
  </si>
  <si>
    <t>SERVICIOS SEPTIEMBRE A DICIEMBRE</t>
  </si>
  <si>
    <t xml:space="preserve"> </t>
  </si>
  <si>
    <t xml:space="preserve">LINEAS DE SERVICIO </t>
  </si>
  <si>
    <t>AUXILIAR</t>
  </si>
  <si>
    <t xml:space="preserve">Alistamiento, Digitalización, Indexación, Revisión y Control de Calidad de Documentos para su Incorporación a los Sistemas de Gestión Documental Institucional. </t>
  </si>
  <si>
    <t>Reprografía</t>
  </si>
  <si>
    <t>Envío, gestión de correspondencia interna y distribución de comunicaciones para entrega externa</t>
  </si>
  <si>
    <t>Operación integral de servicios de archivo y organización documental en las bodegas de Archivo de Gestión y Archivo Central</t>
  </si>
  <si>
    <t>AUXILIAR CON MOTO</t>
  </si>
  <si>
    <t>Traslados de documentación, expedientes e insumos entre la sede principal, bodegas de almacenamiento y custodia y puntos de atención de la Superintendencia de Industria y Comercio en la ciudad de Bogotá</t>
  </si>
  <si>
    <t>AUXILIAR CON VEHÍCULO</t>
  </si>
  <si>
    <t xml:space="preserve">Asistencia técnica y soporte en la implementación de instrumentos y herramientas archivísticas </t>
  </si>
  <si>
    <t>TÉCNICO</t>
  </si>
  <si>
    <t>TECNÓLOGO</t>
  </si>
  <si>
    <t>PROMEDIO</t>
  </si>
  <si>
    <t>SUBTOTAL</t>
  </si>
  <si>
    <t>SERVICIO</t>
  </si>
  <si>
    <t>Cantidad a cotizar</t>
  </si>
  <si>
    <t>Cantidad estimada mes</t>
  </si>
  <si>
    <t>Valor unitario cotizado sin IVA</t>
  </si>
  <si>
    <t>Auxiliar</t>
  </si>
  <si>
    <t>Alistamiento, digitalización e indexación</t>
  </si>
  <si>
    <t>Control de calidad</t>
  </si>
  <si>
    <t>Organización documental y servicios de Archivo (Bodegas de archivo de gestión y de Archivo Central)</t>
  </si>
  <si>
    <t>Auxiliar con moto</t>
  </si>
  <si>
    <t>Auxiliar con vehículo</t>
  </si>
  <si>
    <t>Técnicos</t>
  </si>
  <si>
    <t>Tecnológos</t>
  </si>
  <si>
    <t>IVA (19%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</si>
</sst>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5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4"/>
      <name val="Arial Narrow"/>
      <family val="2"/>
    </font>
    <font>
      <sz val="8"/>
      <name val="Arial Narrow"/>
      <family val="2"/>
    </font>
    <font>
      <b/>
      <sz val="14"/>
      <color theme="0"/>
      <name val="Arial Narrow"/>
      <family val="2"/>
    </font>
    <font>
      <b/>
      <sz val="8"/>
      <name val="Arial Narrow"/>
      <family val="2"/>
    </font>
    <font>
      <b/>
      <sz val="8"/>
      <color theme="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9"/>
      <color rgb="FF000000"/>
      <name val="Arial Narrow"/>
      <family val="2"/>
    </font>
    <font>
      <b/>
      <sz val="8"/>
      <color rgb="FFFF0000"/>
      <name val="Arial Narrow"/>
      <family val="2"/>
    </font>
    <font>
      <b/>
      <sz val="9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rgb="FF45818E"/>
      </patternFill>
    </fill>
    <fill>
      <patternFill patternType="solid">
        <fgColor rgb="FF0070C0"/>
        <bgColor rgb="FFCCCCCC"/>
      </patternFill>
    </fill>
    <fill>
      <patternFill patternType="solid">
        <fgColor rgb="FF0070C0"/>
        <bgColor rgb="FF134F5C"/>
      </patternFill>
    </fill>
    <fill>
      <patternFill patternType="solid">
        <fgColor theme="9"/>
        <bgColor rgb="FF134F5C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rgb="FF134F5C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rgb="FF134F5C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7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3" fontId="8" fillId="4" borderId="0" xfId="0" applyNumberFormat="1" applyFont="1" applyFill="1" applyAlignment="1">
      <alignment horizontal="center"/>
    </xf>
    <xf numFmtId="3" fontId="6" fillId="4" borderId="0" xfId="0" applyNumberFormat="1" applyFont="1" applyFill="1" applyAlignment="1">
      <alignment horizontal="right"/>
    </xf>
    <xf numFmtId="0" fontId="9" fillId="5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9" fontId="6" fillId="2" borderId="0" xfId="3" applyFont="1" applyFill="1" applyBorder="1" applyAlignment="1">
      <alignment horizontal="center"/>
    </xf>
    <xf numFmtId="43" fontId="6" fillId="2" borderId="0" xfId="1" applyFont="1" applyFill="1" applyBorder="1"/>
    <xf numFmtId="43" fontId="6" fillId="2" borderId="0" xfId="0" applyNumberFormat="1" applyFont="1" applyFill="1"/>
    <xf numFmtId="0" fontId="5" fillId="2" borderId="0" xfId="0" applyFont="1" applyFill="1" applyAlignment="1">
      <alignment vertical="center"/>
    </xf>
    <xf numFmtId="0" fontId="7" fillId="2" borderId="0" xfId="0" applyFont="1" applyFill="1"/>
    <xf numFmtId="164" fontId="11" fillId="0" borderId="1" xfId="2" applyNumberFormat="1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/>
    </xf>
    <xf numFmtId="164" fontId="11" fillId="0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vertical="center"/>
    </xf>
    <xf numFmtId="44" fontId="6" fillId="0" borderId="1" xfId="2" applyFont="1" applyFill="1" applyBorder="1" applyAlignment="1">
      <alignment horizontal="center" vertical="center"/>
    </xf>
    <xf numFmtId="164" fontId="11" fillId="0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44" fontId="8" fillId="0" borderId="1" xfId="2" applyFont="1" applyFill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vertical="center"/>
    </xf>
    <xf numFmtId="0" fontId="9" fillId="7" borderId="4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44" fontId="6" fillId="0" borderId="4" xfId="2" applyFont="1" applyFill="1" applyBorder="1" applyAlignment="1">
      <alignment vertical="center"/>
    </xf>
    <xf numFmtId="164" fontId="6" fillId="0" borderId="4" xfId="2" applyNumberFormat="1" applyFont="1" applyFill="1" applyBorder="1" applyAlignment="1">
      <alignment vertical="center"/>
    </xf>
    <xf numFmtId="164" fontId="11" fillId="0" borderId="4" xfId="2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vertical="center"/>
    </xf>
    <xf numFmtId="0" fontId="8" fillId="11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44" fontId="8" fillId="0" borderId="0" xfId="2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4" fontId="8" fillId="0" borderId="1" xfId="0" applyNumberFormat="1" applyFont="1" applyBorder="1" applyAlignment="1">
      <alignment vertical="center"/>
    </xf>
    <xf numFmtId="44" fontId="6" fillId="0" borderId="1" xfId="2" applyFont="1" applyFill="1" applyBorder="1" applyAlignment="1">
      <alignment vertical="center"/>
    </xf>
    <xf numFmtId="44" fontId="6" fillId="2" borderId="0" xfId="0" applyNumberFormat="1" applyFont="1" applyFill="1"/>
    <xf numFmtId="44" fontId="13" fillId="2" borderId="0" xfId="0" applyNumberFormat="1" applyFont="1" applyFill="1"/>
    <xf numFmtId="44" fontId="8" fillId="12" borderId="1" xfId="0" applyNumberFormat="1" applyFont="1" applyFill="1" applyBorder="1" applyAlignment="1">
      <alignment vertical="center"/>
    </xf>
    <xf numFmtId="4" fontId="6" fillId="2" borderId="0" xfId="0" applyNumberFormat="1" applyFont="1" applyFill="1"/>
    <xf numFmtId="2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3" fontId="6" fillId="2" borderId="0" xfId="0" applyNumberFormat="1" applyFont="1" applyFill="1"/>
    <xf numFmtId="44" fontId="6" fillId="0" borderId="10" xfId="2" applyFont="1" applyFill="1" applyBorder="1" applyAlignment="1">
      <alignment horizontal="center" vertical="center"/>
    </xf>
    <xf numFmtId="44" fontId="6" fillId="0" borderId="10" xfId="2" applyFont="1" applyFill="1" applyBorder="1" applyAlignment="1">
      <alignment vertical="center"/>
    </xf>
    <xf numFmtId="164" fontId="6" fillId="0" borderId="5" xfId="2" applyNumberFormat="1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44" fontId="6" fillId="0" borderId="12" xfId="2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8" fillId="11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4" fontId="6" fillId="0" borderId="4" xfId="0" applyNumberFormat="1" applyFont="1" applyBorder="1" applyAlignment="1">
      <alignment horizontal="center" vertical="center"/>
    </xf>
    <xf numFmtId="44" fontId="6" fillId="0" borderId="9" xfId="0" applyNumberFormat="1" applyFont="1" applyBorder="1" applyAlignment="1">
      <alignment horizontal="center" vertical="center"/>
    </xf>
    <xf numFmtId="44" fontId="6" fillId="0" borderId="8" xfId="0" applyNumberFormat="1" applyFont="1" applyBorder="1" applyAlignment="1">
      <alignment horizontal="center" vertical="center"/>
    </xf>
    <xf numFmtId="44" fontId="6" fillId="0" borderId="10" xfId="2" applyFont="1" applyFill="1" applyBorder="1" applyAlignment="1">
      <alignment horizontal="center" vertical="center"/>
    </xf>
    <xf numFmtId="164" fontId="11" fillId="0" borderId="4" xfId="2" applyNumberFormat="1" applyFont="1" applyFill="1" applyBorder="1" applyAlignment="1">
      <alignment horizontal="center" vertical="center"/>
    </xf>
    <xf numFmtId="164" fontId="11" fillId="0" borderId="9" xfId="2" applyNumberFormat="1" applyFont="1" applyFill="1" applyBorder="1" applyAlignment="1">
      <alignment horizontal="center" vertical="center"/>
    </xf>
    <xf numFmtId="164" fontId="11" fillId="0" borderId="8" xfId="2" applyNumberFormat="1" applyFont="1" applyFill="1" applyBorder="1" applyAlignment="1">
      <alignment horizontal="center" vertical="center"/>
    </xf>
    <xf numFmtId="164" fontId="6" fillId="0" borderId="4" xfId="2" applyNumberFormat="1" applyFont="1" applyFill="1" applyBorder="1" applyAlignment="1">
      <alignment horizontal="center" vertical="center"/>
    </xf>
    <xf numFmtId="164" fontId="6" fillId="0" borderId="9" xfId="2" applyNumberFormat="1" applyFont="1" applyFill="1" applyBorder="1" applyAlignment="1">
      <alignment horizontal="center" vertical="center"/>
    </xf>
    <xf numFmtId="164" fontId="6" fillId="0" borderId="8" xfId="2" applyNumberFormat="1" applyFont="1" applyFill="1" applyBorder="1" applyAlignment="1">
      <alignment horizontal="center" vertical="center"/>
    </xf>
    <xf numFmtId="164" fontId="6" fillId="0" borderId="2" xfId="2" applyNumberFormat="1" applyFont="1" applyFill="1" applyBorder="1" applyAlignment="1">
      <alignment horizontal="center" vertical="center"/>
    </xf>
    <xf numFmtId="164" fontId="6" fillId="0" borderId="6" xfId="2" applyNumberFormat="1" applyFont="1" applyFill="1" applyBorder="1" applyAlignment="1">
      <alignment horizontal="center" vertical="center"/>
    </xf>
    <xf numFmtId="164" fontId="6" fillId="0" borderId="11" xfId="2" applyNumberFormat="1" applyFont="1" applyFill="1" applyBorder="1" applyAlignment="1">
      <alignment horizontal="center" vertical="center"/>
    </xf>
    <xf numFmtId="44" fontId="6" fillId="0" borderId="4" xfId="2" applyFont="1" applyFill="1" applyBorder="1" applyAlignment="1">
      <alignment horizontal="center" vertical="center"/>
    </xf>
    <xf numFmtId="44" fontId="6" fillId="0" borderId="9" xfId="2" applyFont="1" applyFill="1" applyBorder="1" applyAlignment="1">
      <alignment horizontal="center" vertical="center"/>
    </xf>
    <xf numFmtId="44" fontId="6" fillId="0" borderId="8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/>
    </xf>
    <xf numFmtId="0" fontId="7" fillId="8" borderId="0" xfId="0" applyFont="1" applyFill="1" applyAlignment="1">
      <alignment horizontal="center"/>
    </xf>
  </cellXfs>
  <cellStyles count="6">
    <cellStyle name="Millares" xfId="1" builtinId="3"/>
    <cellStyle name="Moneda" xfId="2" builtinId="4"/>
    <cellStyle name="Moneda 2" xfId="4" xr:uid="{00000000-0005-0000-0000-000002000000}"/>
    <cellStyle name="Moneda 3" xfId="5" xr:uid="{AE2F704F-6A03-4587-A080-B8D748F86EF8}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DCD3D-C815-4A16-B64B-6D7BE3446C33}">
  <sheetPr>
    <outlinePr summaryBelow="0" summaryRight="0"/>
  </sheetPr>
  <dimension ref="A1:W17"/>
  <sheetViews>
    <sheetView showGridLines="0" view="pageBreakPreview" topLeftCell="J7" zoomScale="115" zoomScaleNormal="115" zoomScaleSheetLayoutView="115" workbookViewId="0">
      <selection activeCell="T11" sqref="T11"/>
    </sheetView>
  </sheetViews>
  <sheetFormatPr baseColWidth="10" defaultColWidth="12.7109375" defaultRowHeight="12.75" x14ac:dyDescent="0.25"/>
  <cols>
    <col min="1" max="1" width="4.7109375" style="3" bestFit="1" customWidth="1"/>
    <col min="2" max="2" width="30.28515625" style="2" bestFit="1" customWidth="1"/>
    <col min="3" max="4" width="12.7109375" style="2" customWidth="1"/>
    <col min="5" max="5" width="7" style="3" bestFit="1" customWidth="1"/>
    <col min="6" max="6" width="11.42578125" style="3" customWidth="1"/>
    <col min="7" max="7" width="11.7109375" style="3" bestFit="1" customWidth="1"/>
    <col min="8" max="11" width="14" style="3" customWidth="1"/>
    <col min="12" max="15" width="14" style="2" customWidth="1"/>
    <col min="16" max="16" width="14.42578125" style="2" customWidth="1"/>
    <col min="17" max="18" width="9.140625" style="2"/>
    <col min="19" max="19" width="14.7109375" style="2" customWidth="1"/>
    <col min="20" max="20" width="16" style="2" bestFit="1" customWidth="1"/>
    <col min="21" max="21" width="4.7109375" style="2" customWidth="1"/>
    <col min="22" max="16384" width="12.7109375" style="2"/>
  </cols>
  <sheetData>
    <row r="1" spans="1:23" ht="18" x14ac:dyDescent="0.25">
      <c r="A1" s="3" t="s">
        <v>0</v>
      </c>
      <c r="B1" s="77" t="s">
        <v>1</v>
      </c>
      <c r="C1" s="77"/>
      <c r="D1" s="77"/>
      <c r="E1" s="77"/>
      <c r="F1" s="77"/>
      <c r="G1" s="77"/>
      <c r="H1" s="12"/>
      <c r="I1" s="12"/>
      <c r="J1" s="12"/>
      <c r="K1" s="12"/>
      <c r="L1" s="12"/>
      <c r="M1" s="1"/>
    </row>
    <row r="2" spans="1:23" ht="18" x14ac:dyDescent="0.25">
      <c r="B2" s="77" t="s">
        <v>2</v>
      </c>
      <c r="C2" s="77"/>
      <c r="D2" s="77"/>
      <c r="E2" s="77"/>
      <c r="F2" s="77"/>
      <c r="G2" s="77"/>
      <c r="H2" s="53"/>
      <c r="I2" s="53"/>
      <c r="J2" s="53"/>
      <c r="K2" s="53"/>
      <c r="L2" s="53"/>
    </row>
    <row r="3" spans="1:23" x14ac:dyDescent="0.25">
      <c r="K3" s="5"/>
      <c r="L3" s="6"/>
    </row>
    <row r="4" spans="1:23" ht="38.25" x14ac:dyDescent="0.25">
      <c r="H4" s="47" t="s">
        <v>3</v>
      </c>
      <c r="I4" s="47" t="s">
        <v>4</v>
      </c>
      <c r="J4" s="47" t="s">
        <v>5</v>
      </c>
      <c r="K4" s="47" t="s">
        <v>6</v>
      </c>
      <c r="L4" s="48" t="s">
        <v>7</v>
      </c>
      <c r="M4" s="47" t="s">
        <v>8</v>
      </c>
      <c r="N4" s="47" t="s">
        <v>9</v>
      </c>
      <c r="O4" s="47" t="s">
        <v>10</v>
      </c>
      <c r="P4" s="49" t="s">
        <v>11</v>
      </c>
      <c r="Q4" s="49" t="s">
        <v>12</v>
      </c>
      <c r="R4" s="49" t="s">
        <v>13</v>
      </c>
      <c r="S4" s="49" t="s">
        <v>14</v>
      </c>
      <c r="T4" s="49" t="s">
        <v>15</v>
      </c>
      <c r="V4" s="78" t="s">
        <v>16</v>
      </c>
      <c r="W4" s="78"/>
    </row>
    <row r="5" spans="1:23" ht="40.5" customHeight="1" x14ac:dyDescent="0.25">
      <c r="B5" s="15" t="s">
        <v>17</v>
      </c>
      <c r="C5" s="50" t="s">
        <v>18</v>
      </c>
      <c r="D5" s="50" t="s">
        <v>19</v>
      </c>
      <c r="E5" s="50" t="s">
        <v>20</v>
      </c>
      <c r="F5" s="50" t="s">
        <v>21</v>
      </c>
      <c r="G5" s="50" t="s">
        <v>22</v>
      </c>
      <c r="H5" s="47" t="s">
        <v>23</v>
      </c>
      <c r="I5" s="47" t="s">
        <v>23</v>
      </c>
      <c r="J5" s="47" t="s">
        <v>23</v>
      </c>
      <c r="K5" s="47" t="s">
        <v>23</v>
      </c>
      <c r="L5" s="47" t="s">
        <v>23</v>
      </c>
      <c r="M5" s="47" t="s">
        <v>23</v>
      </c>
      <c r="N5" s="47" t="s">
        <v>23</v>
      </c>
      <c r="O5" s="47" t="s">
        <v>23</v>
      </c>
      <c r="P5" s="49" t="s">
        <v>23</v>
      </c>
      <c r="Q5" s="49" t="s">
        <v>23</v>
      </c>
      <c r="R5" s="49" t="s">
        <v>23</v>
      </c>
      <c r="S5" s="49" t="s">
        <v>23</v>
      </c>
      <c r="T5" s="49" t="s">
        <v>23</v>
      </c>
      <c r="V5" s="49" t="s">
        <v>23</v>
      </c>
      <c r="W5" s="52" t="s">
        <v>24</v>
      </c>
    </row>
    <row r="6" spans="1:23" s="17" customFormat="1" ht="25.5" customHeight="1" x14ac:dyDescent="0.2">
      <c r="A6" s="46" t="s">
        <v>25</v>
      </c>
      <c r="B6" s="20" t="s">
        <v>26</v>
      </c>
      <c r="C6" s="21" t="s">
        <v>27</v>
      </c>
      <c r="D6" s="21" t="s">
        <v>28</v>
      </c>
      <c r="E6" s="21">
        <v>22</v>
      </c>
      <c r="F6" s="21" t="s">
        <v>29</v>
      </c>
      <c r="G6" s="42">
        <v>5</v>
      </c>
      <c r="H6" s="44">
        <v>4394877</v>
      </c>
      <c r="I6" s="44">
        <v>4000000</v>
      </c>
      <c r="J6" s="44">
        <v>4911932</v>
      </c>
      <c r="K6" s="45">
        <v>5305785</v>
      </c>
      <c r="L6" s="45">
        <v>6833706</v>
      </c>
      <c r="M6" s="44">
        <v>5800000</v>
      </c>
      <c r="N6" s="44">
        <v>6264000</v>
      </c>
      <c r="O6" s="44">
        <v>4911932</v>
      </c>
      <c r="P6" s="43">
        <f>(AVERAGE(H6:O6)+MIN(H6:O6))/2</f>
        <v>4651389.5</v>
      </c>
      <c r="Q6" s="43">
        <f>_xlfn.STDEV.S(H6:O6)</f>
        <v>951837.54378495249</v>
      </c>
      <c r="R6" s="43">
        <f>P6-Q6</f>
        <v>3699551.9562150473</v>
      </c>
      <c r="S6" s="43">
        <f>P6+Q6</f>
        <v>5603227.0437849527</v>
      </c>
      <c r="T6" s="43">
        <f>AVERAGEIFS(H6:O6,H6:O6,"&gt;="&amp;R6,H6:O6,"&lt;="&amp;S6)</f>
        <v>4704905.2</v>
      </c>
      <c r="V6" s="43">
        <f>ROUND(MIN(P6,T6),0)</f>
        <v>4651390</v>
      </c>
      <c r="W6" s="38">
        <f>V6*E6*G6</f>
        <v>511652900</v>
      </c>
    </row>
    <row r="7" spans="1:23" s="17" customFormat="1" ht="51" x14ac:dyDescent="0.2">
      <c r="A7" s="79" t="s">
        <v>30</v>
      </c>
      <c r="B7" s="27" t="s">
        <v>31</v>
      </c>
      <c r="C7" s="28" t="s">
        <v>32</v>
      </c>
      <c r="D7" s="28" t="s">
        <v>28</v>
      </c>
      <c r="E7" s="28">
        <v>1</v>
      </c>
      <c r="F7" s="28" t="s">
        <v>29</v>
      </c>
      <c r="G7" s="29">
        <v>5</v>
      </c>
      <c r="H7" s="30">
        <v>5494877</v>
      </c>
      <c r="I7" s="30">
        <v>6500000</v>
      </c>
      <c r="J7" s="30">
        <v>5714968</v>
      </c>
      <c r="K7" s="31">
        <v>7428373</v>
      </c>
      <c r="L7" s="14">
        <v>8017826</v>
      </c>
      <c r="M7" s="32">
        <v>6800000</v>
      </c>
      <c r="N7" s="32">
        <v>7830000</v>
      </c>
      <c r="O7" s="32">
        <v>5714968</v>
      </c>
      <c r="P7" s="43">
        <f t="shared" ref="P7:P10" si="0">(AVERAGE(H7:O7)+MIN(H7:O7))/2</f>
        <v>6091251.75</v>
      </c>
      <c r="Q7" s="33">
        <f>_xlfn.STDEV.S(H7:O7)</f>
        <v>998982.71775155643</v>
      </c>
      <c r="R7" s="33">
        <f t="shared" ref="R7:R10" si="1">P7-Q7</f>
        <v>5092269.0322484439</v>
      </c>
      <c r="S7" s="33">
        <f t="shared" ref="S7:S10" si="2">P7+Q7</f>
        <v>7090234.4677515561</v>
      </c>
      <c r="T7" s="33">
        <f t="shared" ref="T7:T10" si="3">AVERAGEIFS(H7:O7,H7:O7,"&gt;="&amp;R7,H7:O7,"&lt;="&amp;S7)</f>
        <v>6044962.5999999996</v>
      </c>
      <c r="V7" s="43">
        <f t="shared" ref="V7:V10" si="4">ROUND(MIN(P7,T7),0)</f>
        <v>6044963</v>
      </c>
      <c r="W7" s="38">
        <f>V7*E7*G7</f>
        <v>30224815</v>
      </c>
    </row>
    <row r="8" spans="1:23" s="17" customFormat="1" ht="76.5" x14ac:dyDescent="0.2">
      <c r="A8" s="79"/>
      <c r="B8" s="20" t="s">
        <v>33</v>
      </c>
      <c r="C8" s="21" t="s">
        <v>32</v>
      </c>
      <c r="D8" s="21" t="s">
        <v>28</v>
      </c>
      <c r="E8" s="21">
        <v>1</v>
      </c>
      <c r="F8" s="21" t="s">
        <v>29</v>
      </c>
      <c r="G8" s="29">
        <v>5</v>
      </c>
      <c r="H8" s="30">
        <v>5894877</v>
      </c>
      <c r="I8" s="30">
        <v>8000000</v>
      </c>
      <c r="J8" s="30">
        <v>15046026</v>
      </c>
      <c r="K8" s="34">
        <v>11201861</v>
      </c>
      <c r="L8" s="14">
        <v>16905904</v>
      </c>
      <c r="M8" s="32">
        <v>7500000</v>
      </c>
      <c r="N8" s="32">
        <v>17280000</v>
      </c>
      <c r="O8" s="32">
        <v>15046026</v>
      </c>
      <c r="P8" s="43">
        <f t="shared" si="0"/>
        <v>9002106.875</v>
      </c>
      <c r="Q8" s="33">
        <f t="shared" ref="Q8:Q10" si="5">_xlfn.STDEV.S(H8:O8)</f>
        <v>4544490.5317445891</v>
      </c>
      <c r="R8" s="33">
        <f t="shared" si="1"/>
        <v>4457616.3432554109</v>
      </c>
      <c r="S8" s="33">
        <f t="shared" si="2"/>
        <v>13546597.406744588</v>
      </c>
      <c r="T8" s="33">
        <f t="shared" si="3"/>
        <v>8149184.5</v>
      </c>
      <c r="V8" s="43">
        <f t="shared" si="4"/>
        <v>8149185</v>
      </c>
      <c r="W8" s="38">
        <f>V8*E8*G8</f>
        <v>40745925</v>
      </c>
    </row>
    <row r="9" spans="1:23" s="17" customFormat="1" ht="38.25" x14ac:dyDescent="0.2">
      <c r="A9" s="79" t="s">
        <v>34</v>
      </c>
      <c r="B9" s="80" t="s">
        <v>35</v>
      </c>
      <c r="C9" s="21" t="s">
        <v>27</v>
      </c>
      <c r="D9" s="21" t="s">
        <v>28</v>
      </c>
      <c r="E9" s="21">
        <v>13</v>
      </c>
      <c r="F9" s="21" t="s">
        <v>29</v>
      </c>
      <c r="G9" s="29">
        <v>5</v>
      </c>
      <c r="H9" s="30">
        <v>6005396</v>
      </c>
      <c r="I9" s="30">
        <v>5000000</v>
      </c>
      <c r="J9" s="30">
        <v>7635082</v>
      </c>
      <c r="K9" s="34">
        <v>7308320</v>
      </c>
      <c r="L9" s="14">
        <v>7132418</v>
      </c>
      <c r="M9" s="32">
        <v>8450000</v>
      </c>
      <c r="N9" s="32">
        <v>6000000</v>
      </c>
      <c r="O9" s="32">
        <v>7635082</v>
      </c>
      <c r="P9" s="43">
        <f t="shared" si="0"/>
        <v>5947893.625</v>
      </c>
      <c r="Q9" s="33">
        <f t="shared" si="5"/>
        <v>1129102.6007591479</v>
      </c>
      <c r="R9" s="33">
        <f t="shared" si="1"/>
        <v>4818791.0242408523</v>
      </c>
      <c r="S9" s="33">
        <f t="shared" si="2"/>
        <v>7076996.2257591477</v>
      </c>
      <c r="T9" s="33">
        <f t="shared" si="3"/>
        <v>5668465.333333333</v>
      </c>
      <c r="V9" s="43">
        <f t="shared" si="4"/>
        <v>5668465</v>
      </c>
      <c r="W9" s="38">
        <f>V9*E9*G9</f>
        <v>368450225</v>
      </c>
    </row>
    <row r="10" spans="1:23" s="17" customFormat="1" ht="38.25" x14ac:dyDescent="0.2">
      <c r="A10" s="79"/>
      <c r="B10" s="80"/>
      <c r="C10" s="21" t="s">
        <v>27</v>
      </c>
      <c r="D10" s="21" t="s">
        <v>28</v>
      </c>
      <c r="E10" s="21">
        <v>2</v>
      </c>
      <c r="F10" s="21" t="s">
        <v>29</v>
      </c>
      <c r="G10" s="29">
        <v>5</v>
      </c>
      <c r="H10" s="30">
        <v>7006296</v>
      </c>
      <c r="I10" s="30">
        <v>5000000</v>
      </c>
      <c r="J10" s="30">
        <v>9407124</v>
      </c>
      <c r="K10" s="34">
        <v>8251693</v>
      </c>
      <c r="L10" s="14">
        <v>11405218</v>
      </c>
      <c r="M10" s="32">
        <v>8450000</v>
      </c>
      <c r="N10" s="32">
        <v>6000000</v>
      </c>
      <c r="O10" s="32">
        <v>9407124</v>
      </c>
      <c r="P10" s="62">
        <f t="shared" si="0"/>
        <v>6557965.9375</v>
      </c>
      <c r="Q10" s="33">
        <f t="shared" si="5"/>
        <v>2059864.1057469535</v>
      </c>
      <c r="R10" s="33">
        <f t="shared" si="1"/>
        <v>4498101.8317530463</v>
      </c>
      <c r="S10" s="33">
        <f t="shared" si="2"/>
        <v>8617830.0432469528</v>
      </c>
      <c r="T10" s="33">
        <f t="shared" si="3"/>
        <v>6941597.7999999998</v>
      </c>
      <c r="V10" s="43">
        <f t="shared" si="4"/>
        <v>6557966</v>
      </c>
      <c r="W10" s="38">
        <f>V10*E10*G10</f>
        <v>65579660</v>
      </c>
    </row>
    <row r="11" spans="1:23" s="18" customFormat="1" ht="23.1" customHeight="1" x14ac:dyDescent="0.2">
      <c r="A11" s="54"/>
      <c r="E11" s="54">
        <f>SUM(E6:E10)</f>
        <v>39</v>
      </c>
      <c r="G11" s="54"/>
      <c r="H11" s="55"/>
      <c r="I11" s="55"/>
      <c r="J11" s="55"/>
      <c r="K11" s="55"/>
      <c r="L11" s="55"/>
      <c r="M11" s="55"/>
      <c r="N11" s="55"/>
      <c r="O11" s="55"/>
      <c r="P11" s="56"/>
      <c r="Q11" s="56"/>
      <c r="R11" s="56"/>
      <c r="S11" s="56"/>
      <c r="T11" s="60" t="s">
        <v>36</v>
      </c>
      <c r="V11" s="36">
        <f>SUM(V6:V10)</f>
        <v>31071969</v>
      </c>
      <c r="W11" s="36">
        <f>SUM(W6:W10)</f>
        <v>1016653525</v>
      </c>
    </row>
    <row r="12" spans="1:23" s="17" customFormat="1" ht="23.1" customHeight="1" x14ac:dyDescent="0.2">
      <c r="A12" s="57"/>
      <c r="E12" s="57"/>
      <c r="G12" s="58"/>
      <c r="H12" s="59"/>
      <c r="I12" s="59"/>
      <c r="J12" s="59"/>
      <c r="K12" s="59"/>
      <c r="L12" s="59"/>
      <c r="M12" s="59"/>
      <c r="N12" s="59"/>
      <c r="O12" s="59"/>
      <c r="P12" s="51"/>
      <c r="T12" s="20" t="s">
        <v>37</v>
      </c>
      <c r="V12" s="38">
        <f>ROUND(V11*19%,9)</f>
        <v>5903674.1100000003</v>
      </c>
      <c r="W12" s="38">
        <f>ROUND(W11*19%,0)</f>
        <v>193164170</v>
      </c>
    </row>
    <row r="13" spans="1:23" s="17" customFormat="1" ht="23.1" customHeight="1" x14ac:dyDescent="0.2">
      <c r="A13" s="57"/>
      <c r="E13" s="57"/>
      <c r="G13" s="57"/>
      <c r="H13" s="59"/>
      <c r="I13" s="59"/>
      <c r="J13" s="59"/>
      <c r="K13" s="59"/>
      <c r="L13" s="55"/>
      <c r="M13" s="59"/>
      <c r="N13" s="59"/>
      <c r="O13" s="59"/>
      <c r="P13" s="51"/>
      <c r="T13" s="26" t="s">
        <v>38</v>
      </c>
      <c r="V13" s="61">
        <f>V11+V12</f>
        <v>36975643.109999999</v>
      </c>
      <c r="W13" s="61">
        <f>W11+W12</f>
        <v>1209817695</v>
      </c>
    </row>
    <row r="14" spans="1:23" x14ac:dyDescent="0.25">
      <c r="K14" s="9"/>
      <c r="L14" s="10"/>
    </row>
    <row r="15" spans="1:23" x14ac:dyDescent="0.25">
      <c r="N15" s="3"/>
      <c r="W15" s="63">
        <v>1100000000</v>
      </c>
    </row>
    <row r="16" spans="1:23" x14ac:dyDescent="0.25">
      <c r="L16" s="11"/>
      <c r="N16" s="10"/>
    </row>
    <row r="17" spans="23:23" x14ac:dyDescent="0.25">
      <c r="W17" s="64">
        <f>W13-W15</f>
        <v>109817695</v>
      </c>
    </row>
  </sheetData>
  <mergeCells count="6">
    <mergeCell ref="B1:G1"/>
    <mergeCell ref="B2:G2"/>
    <mergeCell ref="V4:W4"/>
    <mergeCell ref="A7:A8"/>
    <mergeCell ref="A9:A10"/>
    <mergeCell ref="B9:B10"/>
  </mergeCells>
  <pageMargins left="0.7" right="0.7" top="0.75" bottom="0.75" header="0.3" footer="0.3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7E1E1-0686-45BB-8E68-6414FC48011E}">
  <sheetPr>
    <outlinePr summaryBelow="0" summaryRight="0"/>
  </sheetPr>
  <dimension ref="A1:W17"/>
  <sheetViews>
    <sheetView showGridLines="0" view="pageBreakPreview" zoomScale="115" zoomScaleNormal="115" zoomScaleSheetLayoutView="115" workbookViewId="0">
      <selection activeCell="G6" sqref="G6"/>
    </sheetView>
  </sheetViews>
  <sheetFormatPr baseColWidth="10" defaultColWidth="12.7109375" defaultRowHeight="12.75" x14ac:dyDescent="0.25"/>
  <cols>
    <col min="1" max="1" width="4.7109375" style="3" bestFit="1" customWidth="1"/>
    <col min="2" max="2" width="30.28515625" style="2" bestFit="1" customWidth="1"/>
    <col min="3" max="4" width="12.7109375" style="2" customWidth="1"/>
    <col min="5" max="5" width="7" style="3" bestFit="1" customWidth="1"/>
    <col min="6" max="6" width="11.42578125" style="3" customWidth="1"/>
    <col min="7" max="7" width="11.7109375" style="3" bestFit="1" customWidth="1"/>
    <col min="8" max="11" width="14" style="3" customWidth="1"/>
    <col min="12" max="15" width="14" style="2" customWidth="1"/>
    <col min="16" max="16" width="14.42578125" style="2" customWidth="1"/>
    <col min="17" max="18" width="12.7109375" style="2"/>
    <col min="19" max="19" width="14.7109375" style="2" customWidth="1"/>
    <col min="20" max="20" width="16" style="2" bestFit="1" customWidth="1"/>
    <col min="21" max="21" width="4.7109375" style="2" customWidth="1"/>
    <col min="22" max="16384" width="12.7109375" style="2"/>
  </cols>
  <sheetData>
    <row r="1" spans="1:23" ht="18" x14ac:dyDescent="0.25">
      <c r="B1" s="77" t="s">
        <v>1</v>
      </c>
      <c r="C1" s="77"/>
      <c r="D1" s="77"/>
      <c r="E1" s="77"/>
      <c r="F1" s="77"/>
      <c r="G1" s="77"/>
      <c r="H1" s="12"/>
      <c r="I1" s="12"/>
      <c r="J1" s="12"/>
      <c r="K1" s="12"/>
      <c r="L1" s="12"/>
      <c r="M1" s="1"/>
    </row>
    <row r="2" spans="1:23" ht="18" x14ac:dyDescent="0.25">
      <c r="B2" s="77" t="s">
        <v>2</v>
      </c>
      <c r="C2" s="77"/>
      <c r="D2" s="77"/>
      <c r="E2" s="77"/>
      <c r="F2" s="77"/>
      <c r="G2" s="77"/>
      <c r="H2" s="53"/>
      <c r="I2" s="53"/>
      <c r="J2" s="53"/>
      <c r="K2" s="53"/>
      <c r="L2" s="53"/>
    </row>
    <row r="3" spans="1:23" x14ac:dyDescent="0.25">
      <c r="K3" s="5"/>
      <c r="L3" s="6"/>
    </row>
    <row r="4" spans="1:23" ht="38.25" x14ac:dyDescent="0.25">
      <c r="H4" s="47" t="s">
        <v>3</v>
      </c>
      <c r="I4" s="47" t="s">
        <v>4</v>
      </c>
      <c r="J4" s="47" t="s">
        <v>5</v>
      </c>
      <c r="K4" s="47" t="s">
        <v>6</v>
      </c>
      <c r="L4" s="48" t="s">
        <v>7</v>
      </c>
      <c r="M4" s="47" t="s">
        <v>8</v>
      </c>
      <c r="N4" s="47" t="s">
        <v>9</v>
      </c>
      <c r="O4" s="47" t="s">
        <v>10</v>
      </c>
      <c r="P4" s="49" t="s">
        <v>11</v>
      </c>
      <c r="Q4" s="49" t="s">
        <v>12</v>
      </c>
      <c r="R4" s="49" t="s">
        <v>13</v>
      </c>
      <c r="S4" s="49" t="s">
        <v>14</v>
      </c>
      <c r="T4" s="49" t="s">
        <v>15</v>
      </c>
      <c r="V4" s="78" t="s">
        <v>16</v>
      </c>
      <c r="W4" s="78"/>
    </row>
    <row r="5" spans="1:23" ht="40.5" customHeight="1" x14ac:dyDescent="0.25">
      <c r="B5" s="15" t="s">
        <v>17</v>
      </c>
      <c r="C5" s="50" t="s">
        <v>18</v>
      </c>
      <c r="D5" s="50" t="s">
        <v>19</v>
      </c>
      <c r="E5" s="50" t="s">
        <v>20</v>
      </c>
      <c r="F5" s="50" t="s">
        <v>21</v>
      </c>
      <c r="G5" s="50" t="s">
        <v>22</v>
      </c>
      <c r="H5" s="47" t="s">
        <v>23</v>
      </c>
      <c r="I5" s="47" t="s">
        <v>23</v>
      </c>
      <c r="J5" s="47" t="s">
        <v>23</v>
      </c>
      <c r="K5" s="47" t="s">
        <v>23</v>
      </c>
      <c r="L5" s="47" t="s">
        <v>23</v>
      </c>
      <c r="M5" s="47" t="s">
        <v>23</v>
      </c>
      <c r="N5" s="47" t="s">
        <v>23</v>
      </c>
      <c r="O5" s="47" t="s">
        <v>23</v>
      </c>
      <c r="P5" s="49" t="s">
        <v>23</v>
      </c>
      <c r="Q5" s="49" t="s">
        <v>23</v>
      </c>
      <c r="R5" s="49" t="s">
        <v>23</v>
      </c>
      <c r="S5" s="49" t="s">
        <v>23</v>
      </c>
      <c r="T5" s="49" t="s">
        <v>23</v>
      </c>
      <c r="V5" s="49" t="s">
        <v>23</v>
      </c>
      <c r="W5" s="52" t="s">
        <v>24</v>
      </c>
    </row>
    <row r="6" spans="1:23" s="17" customFormat="1" ht="25.5" customHeight="1" x14ac:dyDescent="0.2">
      <c r="A6" s="46" t="s">
        <v>25</v>
      </c>
      <c r="B6" s="20" t="s">
        <v>26</v>
      </c>
      <c r="C6" s="21" t="s">
        <v>27</v>
      </c>
      <c r="D6" s="21" t="s">
        <v>28</v>
      </c>
      <c r="E6" s="21">
        <v>22</v>
      </c>
      <c r="F6" s="21" t="s">
        <v>29</v>
      </c>
      <c r="G6" s="42">
        <v>4.5</v>
      </c>
      <c r="H6" s="44">
        <v>4394877</v>
      </c>
      <c r="I6" s="44">
        <v>4000000</v>
      </c>
      <c r="J6" s="44">
        <v>4911932</v>
      </c>
      <c r="K6" s="45">
        <v>5305785</v>
      </c>
      <c r="L6" s="45">
        <v>6833706</v>
      </c>
      <c r="M6" s="44">
        <v>5800000</v>
      </c>
      <c r="N6" s="44">
        <v>6264000</v>
      </c>
      <c r="O6" s="44">
        <v>4911932</v>
      </c>
      <c r="P6" s="43">
        <f>(AVERAGE(H6:O6)+MIN(H6:O6))/2</f>
        <v>4651389.5</v>
      </c>
      <c r="Q6" s="43">
        <f>_xlfn.STDEV.S(H6:O6)</f>
        <v>951837.54378495249</v>
      </c>
      <c r="R6" s="43">
        <f>P6-Q6</f>
        <v>3699551.9562150473</v>
      </c>
      <c r="S6" s="43">
        <f>P6+Q6</f>
        <v>5603227.0437849527</v>
      </c>
      <c r="T6" s="43">
        <f>AVERAGEIFS(H6:O6,H6:O6,"&gt;="&amp;R6,H6:O6,"&lt;="&amp;S6)</f>
        <v>4704905.2</v>
      </c>
      <c r="V6" s="43">
        <f>ROUND(MIN(P6,T6),0)</f>
        <v>4651390</v>
      </c>
      <c r="W6" s="38">
        <f>V6*E6*G6</f>
        <v>460487610</v>
      </c>
    </row>
    <row r="7" spans="1:23" s="17" customFormat="1" ht="51" x14ac:dyDescent="0.2">
      <c r="A7" s="79" t="s">
        <v>30</v>
      </c>
      <c r="B7" s="27" t="s">
        <v>31</v>
      </c>
      <c r="C7" s="28" t="s">
        <v>32</v>
      </c>
      <c r="D7" s="28" t="s">
        <v>28</v>
      </c>
      <c r="E7" s="28">
        <v>1</v>
      </c>
      <c r="F7" s="28" t="s">
        <v>29</v>
      </c>
      <c r="G7" s="29">
        <v>4.5</v>
      </c>
      <c r="H7" s="30">
        <v>5494877</v>
      </c>
      <c r="I7" s="30">
        <v>6500000</v>
      </c>
      <c r="J7" s="30">
        <v>5714968</v>
      </c>
      <c r="K7" s="31">
        <v>7428373</v>
      </c>
      <c r="L7" s="14">
        <v>8017826</v>
      </c>
      <c r="M7" s="32">
        <v>6800000</v>
      </c>
      <c r="N7" s="32">
        <v>7830000</v>
      </c>
      <c r="O7" s="32">
        <v>5714968</v>
      </c>
      <c r="P7" s="43">
        <f t="shared" ref="P7:P10" si="0">(AVERAGE(H7:O7)+MIN(H7:O7))/2</f>
        <v>6091251.75</v>
      </c>
      <c r="Q7" s="33">
        <f>_xlfn.STDEV.S(H7:O7)</f>
        <v>998982.71775155643</v>
      </c>
      <c r="R7" s="33">
        <f t="shared" ref="R7:R10" si="1">P7-Q7</f>
        <v>5092269.0322484439</v>
      </c>
      <c r="S7" s="33">
        <f t="shared" ref="S7:S10" si="2">P7+Q7</f>
        <v>7090234.4677515561</v>
      </c>
      <c r="T7" s="33">
        <f t="shared" ref="T7:T10" si="3">AVERAGEIFS(H7:O7,H7:O7,"&gt;="&amp;R7,H7:O7,"&lt;="&amp;S7)</f>
        <v>6044962.5999999996</v>
      </c>
      <c r="V7" s="43">
        <f t="shared" ref="V7:V10" si="4">ROUND(MIN(P7,T7),0)</f>
        <v>6044963</v>
      </c>
      <c r="W7" s="38">
        <f>V7*E7*G7</f>
        <v>27202333.5</v>
      </c>
    </row>
    <row r="8" spans="1:23" s="17" customFormat="1" ht="76.5" x14ac:dyDescent="0.2">
      <c r="A8" s="79"/>
      <c r="B8" s="20" t="s">
        <v>33</v>
      </c>
      <c r="C8" s="21" t="s">
        <v>32</v>
      </c>
      <c r="D8" s="21" t="s">
        <v>28</v>
      </c>
      <c r="E8" s="21">
        <v>1</v>
      </c>
      <c r="F8" s="21" t="s">
        <v>29</v>
      </c>
      <c r="G8" s="29">
        <v>4.5</v>
      </c>
      <c r="H8" s="30">
        <v>5894877</v>
      </c>
      <c r="I8" s="30">
        <v>8000000</v>
      </c>
      <c r="J8" s="30">
        <v>15046026</v>
      </c>
      <c r="K8" s="34">
        <v>11201861</v>
      </c>
      <c r="L8" s="14">
        <v>16905904</v>
      </c>
      <c r="M8" s="32">
        <v>7500000</v>
      </c>
      <c r="N8" s="32">
        <v>17280000</v>
      </c>
      <c r="O8" s="32">
        <v>15046026</v>
      </c>
      <c r="P8" s="43">
        <f t="shared" si="0"/>
        <v>9002106.875</v>
      </c>
      <c r="Q8" s="33">
        <f t="shared" ref="Q8:Q10" si="5">_xlfn.STDEV.S(H8:O8)</f>
        <v>4544490.5317445891</v>
      </c>
      <c r="R8" s="33">
        <f t="shared" si="1"/>
        <v>4457616.3432554109</v>
      </c>
      <c r="S8" s="33">
        <f t="shared" si="2"/>
        <v>13546597.406744588</v>
      </c>
      <c r="T8" s="33">
        <f t="shared" si="3"/>
        <v>8149184.5</v>
      </c>
      <c r="V8" s="43">
        <f t="shared" si="4"/>
        <v>8149185</v>
      </c>
      <c r="W8" s="38">
        <f>V8*E8*G8</f>
        <v>36671332.5</v>
      </c>
    </row>
    <row r="9" spans="1:23" s="17" customFormat="1" ht="38.25" x14ac:dyDescent="0.2">
      <c r="A9" s="79" t="s">
        <v>34</v>
      </c>
      <c r="B9" s="80" t="s">
        <v>35</v>
      </c>
      <c r="C9" s="21" t="s">
        <v>27</v>
      </c>
      <c r="D9" s="21" t="s">
        <v>28</v>
      </c>
      <c r="E9" s="21">
        <v>13</v>
      </c>
      <c r="F9" s="21" t="s">
        <v>29</v>
      </c>
      <c r="G9" s="29">
        <v>4.5</v>
      </c>
      <c r="H9" s="30">
        <v>6005396</v>
      </c>
      <c r="I9" s="30">
        <v>5000000</v>
      </c>
      <c r="J9" s="30">
        <v>7635082</v>
      </c>
      <c r="K9" s="34">
        <v>7308320</v>
      </c>
      <c r="L9" s="14">
        <v>7132418</v>
      </c>
      <c r="M9" s="32">
        <v>8450000</v>
      </c>
      <c r="N9" s="32">
        <v>6000000</v>
      </c>
      <c r="O9" s="32">
        <v>7635082</v>
      </c>
      <c r="P9" s="43">
        <f t="shared" si="0"/>
        <v>5947893.625</v>
      </c>
      <c r="Q9" s="33">
        <f t="shared" si="5"/>
        <v>1129102.6007591479</v>
      </c>
      <c r="R9" s="33">
        <f t="shared" si="1"/>
        <v>4818791.0242408523</v>
      </c>
      <c r="S9" s="33">
        <f t="shared" si="2"/>
        <v>7076996.2257591477</v>
      </c>
      <c r="T9" s="33">
        <f t="shared" si="3"/>
        <v>5668465.333333333</v>
      </c>
      <c r="V9" s="43">
        <f t="shared" si="4"/>
        <v>5668465</v>
      </c>
      <c r="W9" s="38">
        <f>V9*E9*G9</f>
        <v>331605202.5</v>
      </c>
    </row>
    <row r="10" spans="1:23" s="17" customFormat="1" ht="38.25" x14ac:dyDescent="0.2">
      <c r="A10" s="79"/>
      <c r="B10" s="80"/>
      <c r="C10" s="21" t="s">
        <v>27</v>
      </c>
      <c r="D10" s="21" t="s">
        <v>28</v>
      </c>
      <c r="E10" s="21">
        <v>2</v>
      </c>
      <c r="F10" s="21" t="s">
        <v>29</v>
      </c>
      <c r="G10" s="29">
        <v>4.5</v>
      </c>
      <c r="H10" s="30">
        <v>7006296</v>
      </c>
      <c r="I10" s="30">
        <v>5000000</v>
      </c>
      <c r="J10" s="30">
        <v>9407124</v>
      </c>
      <c r="K10" s="34">
        <v>8251693</v>
      </c>
      <c r="L10" s="14">
        <v>11405218</v>
      </c>
      <c r="M10" s="32">
        <v>8450000</v>
      </c>
      <c r="N10" s="32">
        <v>6000000</v>
      </c>
      <c r="O10" s="32">
        <v>9407124</v>
      </c>
      <c r="P10" s="62">
        <f t="shared" si="0"/>
        <v>6557965.9375</v>
      </c>
      <c r="Q10" s="33">
        <f t="shared" si="5"/>
        <v>2059864.1057469535</v>
      </c>
      <c r="R10" s="33">
        <f t="shared" si="1"/>
        <v>4498101.8317530463</v>
      </c>
      <c r="S10" s="33">
        <f t="shared" si="2"/>
        <v>8617830.0432469528</v>
      </c>
      <c r="T10" s="33">
        <f t="shared" si="3"/>
        <v>6941597.7999999998</v>
      </c>
      <c r="V10" s="43">
        <f t="shared" si="4"/>
        <v>6557966</v>
      </c>
      <c r="W10" s="38">
        <f>V10*E10*G10</f>
        <v>59021694</v>
      </c>
    </row>
    <row r="11" spans="1:23" s="18" customFormat="1" ht="23.1" customHeight="1" x14ac:dyDescent="0.2">
      <c r="A11" s="54"/>
      <c r="E11" s="54">
        <f>SUM(E6:E10)</f>
        <v>39</v>
      </c>
      <c r="G11" s="54"/>
      <c r="H11" s="55"/>
      <c r="I11" s="55"/>
      <c r="J11" s="55"/>
      <c r="K11" s="55"/>
      <c r="L11" s="55"/>
      <c r="M11" s="55"/>
      <c r="N11" s="55"/>
      <c r="O11" s="55"/>
      <c r="P11" s="56"/>
      <c r="Q11" s="56"/>
      <c r="R11" s="56"/>
      <c r="S11" s="56"/>
      <c r="T11" s="60" t="s">
        <v>36</v>
      </c>
      <c r="V11" s="36">
        <f>SUM(V6:V10)</f>
        <v>31071969</v>
      </c>
      <c r="W11" s="36">
        <f>SUM(W6:W10)</f>
        <v>914988172.5</v>
      </c>
    </row>
    <row r="12" spans="1:23" s="17" customFormat="1" ht="23.1" customHeight="1" x14ac:dyDescent="0.2">
      <c r="A12" s="57"/>
      <c r="E12" s="57"/>
      <c r="G12" s="58"/>
      <c r="H12" s="59"/>
      <c r="I12" s="59"/>
      <c r="J12" s="59"/>
      <c r="K12" s="59"/>
      <c r="L12" s="59"/>
      <c r="M12" s="59"/>
      <c r="N12" s="59"/>
      <c r="O12" s="59"/>
      <c r="P12" s="51"/>
      <c r="T12" s="20" t="s">
        <v>37</v>
      </c>
      <c r="V12" s="38">
        <f>ROUND(V11*19%,9)</f>
        <v>5903674.1100000003</v>
      </c>
      <c r="W12" s="38">
        <f>ROUND(W11*19%,0)</f>
        <v>173847753</v>
      </c>
    </row>
    <row r="13" spans="1:23" s="17" customFormat="1" ht="23.1" customHeight="1" x14ac:dyDescent="0.2">
      <c r="A13" s="57"/>
      <c r="E13" s="57"/>
      <c r="G13" s="57"/>
      <c r="H13" s="59"/>
      <c r="I13" s="59"/>
      <c r="J13" s="59"/>
      <c r="K13" s="59"/>
      <c r="L13" s="55"/>
      <c r="M13" s="59"/>
      <c r="N13" s="59"/>
      <c r="O13" s="59"/>
      <c r="P13" s="51"/>
      <c r="T13" s="26" t="s">
        <v>38</v>
      </c>
      <c r="V13" s="61">
        <f>V11+V12</f>
        <v>36975643.109999999</v>
      </c>
      <c r="W13" s="61">
        <f>W11+W12</f>
        <v>1088835925.5</v>
      </c>
    </row>
    <row r="14" spans="1:23" x14ac:dyDescent="0.25">
      <c r="K14" s="9"/>
      <c r="L14" s="10"/>
    </row>
    <row r="15" spans="1:23" x14ac:dyDescent="0.25">
      <c r="N15" s="3"/>
      <c r="W15" s="63">
        <v>1100000000</v>
      </c>
    </row>
    <row r="16" spans="1:23" x14ac:dyDescent="0.25">
      <c r="L16" s="11"/>
      <c r="N16" s="10"/>
    </row>
    <row r="17" spans="23:23" x14ac:dyDescent="0.25">
      <c r="W17" s="64">
        <f>W13-W15</f>
        <v>-11164074.5</v>
      </c>
    </row>
  </sheetData>
  <mergeCells count="6">
    <mergeCell ref="B1:G1"/>
    <mergeCell ref="B2:G2"/>
    <mergeCell ref="V4:W4"/>
    <mergeCell ref="A7:A8"/>
    <mergeCell ref="A9:A10"/>
    <mergeCell ref="B9:B10"/>
  </mergeCells>
  <pageMargins left="0.7" right="0.7" top="0.75" bottom="0.75" header="0.3" footer="0.3"/>
  <pageSetup paperSize="9" scale="2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ADC9-F07C-4712-A8BD-F465DEFFCB53}">
  <sheetPr>
    <tabColor rgb="FF92D050"/>
    <outlinePr summaryBelow="0" summaryRight="0"/>
  </sheetPr>
  <dimension ref="B2:AC28"/>
  <sheetViews>
    <sheetView showGridLines="0" tabSelected="1" zoomScale="85" zoomScaleNormal="85" zoomScaleSheetLayoutView="100" workbookViewId="0">
      <selection activeCell="P7" sqref="P7:P11"/>
    </sheetView>
  </sheetViews>
  <sheetFormatPr baseColWidth="10" defaultColWidth="12.7109375" defaultRowHeight="12.75" x14ac:dyDescent="0.25"/>
  <cols>
    <col min="1" max="1" width="2.42578125" style="2" customWidth="1"/>
    <col min="2" max="2" width="4.7109375" style="3" bestFit="1" customWidth="1"/>
    <col min="3" max="3" width="33.28515625" style="2" customWidth="1"/>
    <col min="4" max="4" width="15.85546875" style="2" customWidth="1"/>
    <col min="5" max="5" width="12.7109375" style="2" customWidth="1"/>
    <col min="6" max="6" width="11.7109375" style="2" customWidth="1"/>
    <col min="7" max="7" width="7.85546875" style="3" customWidth="1"/>
    <col min="8" max="8" width="10.140625" style="3" customWidth="1"/>
    <col min="9" max="12" width="14" style="3" customWidth="1"/>
    <col min="13" max="16" width="14" style="2" customWidth="1"/>
    <col min="17" max="17" width="14.42578125" style="2" customWidth="1"/>
    <col min="18" max="18" width="12.7109375" style="2" customWidth="1"/>
    <col min="19" max="19" width="12.140625" style="2" customWidth="1"/>
    <col min="20" max="20" width="14.7109375" style="2" customWidth="1"/>
    <col min="21" max="21" width="16" style="2" customWidth="1"/>
    <col min="22" max="22" width="4.7109375" style="2" customWidth="1"/>
    <col min="23" max="23" width="12.7109375" style="2" customWidth="1"/>
    <col min="24" max="24" width="15.7109375" style="2" customWidth="1"/>
    <col min="25" max="16384" width="12.7109375" style="2"/>
  </cols>
  <sheetData>
    <row r="2" spans="2:29" ht="15.75" customHeight="1" x14ac:dyDescent="0.25">
      <c r="C2" s="97" t="s">
        <v>1</v>
      </c>
      <c r="D2" s="97"/>
      <c r="E2" s="97"/>
      <c r="F2" s="97"/>
      <c r="G2" s="97"/>
      <c r="H2" s="97"/>
      <c r="I2" s="97"/>
      <c r="J2" s="12"/>
      <c r="K2" s="12"/>
      <c r="L2" s="12"/>
      <c r="M2" s="12"/>
      <c r="N2" s="1"/>
    </row>
    <row r="3" spans="2:29" ht="15.75" customHeight="1" x14ac:dyDescent="0.25">
      <c r="C3" s="97" t="s">
        <v>39</v>
      </c>
      <c r="D3" s="97"/>
      <c r="E3" s="97"/>
      <c r="F3" s="97"/>
      <c r="G3" s="97"/>
      <c r="H3" s="97"/>
      <c r="I3" s="97"/>
      <c r="J3" s="53"/>
      <c r="K3" s="53"/>
      <c r="L3" s="53"/>
      <c r="M3" s="53"/>
    </row>
    <row r="4" spans="2:29" ht="3.75" customHeight="1" x14ac:dyDescent="0.25">
      <c r="C4" s="2" t="s">
        <v>40</v>
      </c>
      <c r="L4" s="5"/>
      <c r="M4" s="6"/>
    </row>
    <row r="5" spans="2:29" ht="38.25" customHeight="1" x14ac:dyDescent="0.25">
      <c r="J5" s="47" t="s">
        <v>3</v>
      </c>
      <c r="K5" s="47" t="s">
        <v>4</v>
      </c>
      <c r="L5" s="47" t="s">
        <v>6</v>
      </c>
      <c r="M5" s="48" t="s">
        <v>7</v>
      </c>
      <c r="N5" s="47" t="s">
        <v>8</v>
      </c>
      <c r="O5" s="47" t="s">
        <v>9</v>
      </c>
      <c r="P5" s="47" t="s">
        <v>10</v>
      </c>
      <c r="Q5" s="49" t="s">
        <v>11</v>
      </c>
      <c r="R5" s="49" t="s">
        <v>12</v>
      </c>
      <c r="S5" s="49" t="s">
        <v>13</v>
      </c>
      <c r="T5" s="49" t="s">
        <v>14</v>
      </c>
      <c r="U5" s="49" t="s">
        <v>15</v>
      </c>
      <c r="W5" s="78" t="s">
        <v>16</v>
      </c>
      <c r="X5" s="78"/>
    </row>
    <row r="6" spans="2:29" ht="28.5" customHeight="1" x14ac:dyDescent="0.25">
      <c r="C6" s="15" t="s">
        <v>41</v>
      </c>
      <c r="D6" s="15" t="s">
        <v>2</v>
      </c>
      <c r="E6" s="50" t="s">
        <v>18</v>
      </c>
      <c r="F6" s="50" t="s">
        <v>19</v>
      </c>
      <c r="G6" s="50" t="s">
        <v>20</v>
      </c>
      <c r="H6" s="50" t="s">
        <v>21</v>
      </c>
      <c r="I6" s="50" t="s">
        <v>22</v>
      </c>
      <c r="J6" s="47" t="s">
        <v>23</v>
      </c>
      <c r="K6" s="47" t="s">
        <v>23</v>
      </c>
      <c r="L6" s="47" t="s">
        <v>23</v>
      </c>
      <c r="M6" s="47" t="s">
        <v>23</v>
      </c>
      <c r="N6" s="47" t="s">
        <v>23</v>
      </c>
      <c r="O6" s="47" t="s">
        <v>23</v>
      </c>
      <c r="P6" s="47" t="s">
        <v>23</v>
      </c>
      <c r="Q6" s="49" t="s">
        <v>23</v>
      </c>
      <c r="R6" s="49" t="s">
        <v>23</v>
      </c>
      <c r="S6" s="49" t="s">
        <v>23</v>
      </c>
      <c r="T6" s="49" t="s">
        <v>23</v>
      </c>
      <c r="U6" s="49" t="s">
        <v>23</v>
      </c>
      <c r="W6" s="49" t="s">
        <v>23</v>
      </c>
      <c r="X6" s="52" t="s">
        <v>24</v>
      </c>
    </row>
    <row r="7" spans="2:29" s="17" customFormat="1" x14ac:dyDescent="0.2">
      <c r="B7" s="102">
        <v>1</v>
      </c>
      <c r="C7" s="21" t="s">
        <v>26</v>
      </c>
      <c r="D7" s="99" t="s">
        <v>42</v>
      </c>
      <c r="E7" s="99" t="s">
        <v>27</v>
      </c>
      <c r="F7" s="99" t="s">
        <v>28</v>
      </c>
      <c r="G7" s="99">
        <v>24</v>
      </c>
      <c r="H7" s="99" t="s">
        <v>29</v>
      </c>
      <c r="I7" s="105">
        <v>4</v>
      </c>
      <c r="J7" s="88">
        <v>4394877</v>
      </c>
      <c r="K7" s="88">
        <v>4000000</v>
      </c>
      <c r="L7" s="85">
        <v>5305785</v>
      </c>
      <c r="M7" s="85">
        <v>6833706</v>
      </c>
      <c r="N7" s="88">
        <v>5800000</v>
      </c>
      <c r="O7" s="88">
        <v>6264000</v>
      </c>
      <c r="P7" s="91">
        <v>4911932</v>
      </c>
      <c r="Q7" s="84">
        <f>(AVERAGE(J7:P7)+MIN(J7:P7))/2</f>
        <v>4679307.1428571427</v>
      </c>
      <c r="R7" s="84">
        <f>_xlfn.STDEV.S(J7:P7)</f>
        <v>1013852.2687408192</v>
      </c>
      <c r="S7" s="84">
        <f>Q7-R7</f>
        <v>3665454.8741163234</v>
      </c>
      <c r="T7" s="84">
        <f>Q7+R7</f>
        <v>5693159.4115979616</v>
      </c>
      <c r="U7" s="84">
        <f>AVERAGEIFS(J7:P7,J7:P7,"&gt;="&amp;S7,J7:P7,"&lt;="&amp;T7)</f>
        <v>4653148.5</v>
      </c>
      <c r="W7" s="94">
        <f>ROUND(MIN(Q7,U7),0)</f>
        <v>4653149</v>
      </c>
      <c r="X7" s="81">
        <f>W7*G7*I7</f>
        <v>446702304</v>
      </c>
    </row>
    <row r="8" spans="2:29" s="17" customFormat="1" ht="36" customHeight="1" x14ac:dyDescent="0.2">
      <c r="B8" s="103"/>
      <c r="C8" s="21" t="s">
        <v>43</v>
      </c>
      <c r="D8" s="100"/>
      <c r="E8" s="100"/>
      <c r="F8" s="100"/>
      <c r="G8" s="100"/>
      <c r="H8" s="100"/>
      <c r="I8" s="106"/>
      <c r="J8" s="89"/>
      <c r="K8" s="89"/>
      <c r="L8" s="86"/>
      <c r="M8" s="86"/>
      <c r="N8" s="89"/>
      <c r="O8" s="89"/>
      <c r="P8" s="92"/>
      <c r="Q8" s="84"/>
      <c r="R8" s="84"/>
      <c r="S8" s="84"/>
      <c r="T8" s="84"/>
      <c r="U8" s="84"/>
      <c r="W8" s="95"/>
      <c r="X8" s="82"/>
    </row>
    <row r="9" spans="2:29" s="17" customFormat="1" ht="13.5" customHeight="1" x14ac:dyDescent="0.2">
      <c r="B9" s="103"/>
      <c r="C9" s="21" t="s">
        <v>44</v>
      </c>
      <c r="D9" s="100"/>
      <c r="E9" s="100"/>
      <c r="F9" s="100"/>
      <c r="G9" s="100"/>
      <c r="H9" s="100"/>
      <c r="I9" s="106"/>
      <c r="J9" s="89"/>
      <c r="K9" s="89"/>
      <c r="L9" s="86"/>
      <c r="M9" s="86"/>
      <c r="N9" s="89"/>
      <c r="O9" s="89"/>
      <c r="P9" s="92"/>
      <c r="Q9" s="84"/>
      <c r="R9" s="84"/>
      <c r="S9" s="84"/>
      <c r="T9" s="84"/>
      <c r="U9" s="84"/>
      <c r="W9" s="95"/>
      <c r="X9" s="82"/>
    </row>
    <row r="10" spans="2:29" s="17" customFormat="1" ht="26.25" customHeight="1" x14ac:dyDescent="0.2">
      <c r="B10" s="103"/>
      <c r="C10" s="21" t="s">
        <v>45</v>
      </c>
      <c r="D10" s="100"/>
      <c r="E10" s="100"/>
      <c r="F10" s="100"/>
      <c r="G10" s="100"/>
      <c r="H10" s="100"/>
      <c r="I10" s="106"/>
      <c r="J10" s="89"/>
      <c r="K10" s="89"/>
      <c r="L10" s="86"/>
      <c r="M10" s="86"/>
      <c r="N10" s="89"/>
      <c r="O10" s="89"/>
      <c r="P10" s="92"/>
      <c r="Q10" s="84"/>
      <c r="R10" s="84"/>
      <c r="S10" s="84"/>
      <c r="T10" s="84"/>
      <c r="U10" s="84"/>
      <c r="W10" s="95"/>
      <c r="X10" s="82"/>
    </row>
    <row r="11" spans="2:29" s="17" customFormat="1" ht="36.75" customHeight="1" x14ac:dyDescent="0.2">
      <c r="B11" s="104"/>
      <c r="C11" s="21" t="s">
        <v>46</v>
      </c>
      <c r="D11" s="101"/>
      <c r="E11" s="101"/>
      <c r="F11" s="101"/>
      <c r="G11" s="101"/>
      <c r="H11" s="101"/>
      <c r="I11" s="107"/>
      <c r="J11" s="90"/>
      <c r="K11" s="90"/>
      <c r="L11" s="87"/>
      <c r="M11" s="87"/>
      <c r="N11" s="90"/>
      <c r="O11" s="90"/>
      <c r="P11" s="93"/>
      <c r="Q11" s="84"/>
      <c r="R11" s="84"/>
      <c r="S11" s="84"/>
      <c r="T11" s="84"/>
      <c r="U11" s="84"/>
      <c r="W11" s="96"/>
      <c r="X11" s="83"/>
    </row>
    <row r="12" spans="2:29" s="17" customFormat="1" ht="37.5" customHeight="1" x14ac:dyDescent="0.2">
      <c r="B12" s="79">
        <v>2</v>
      </c>
      <c r="C12" s="28" t="s">
        <v>31</v>
      </c>
      <c r="D12" s="28" t="s">
        <v>47</v>
      </c>
      <c r="E12" s="28" t="s">
        <v>32</v>
      </c>
      <c r="F12" s="28" t="s">
        <v>28</v>
      </c>
      <c r="G12" s="21">
        <v>1</v>
      </c>
      <c r="H12" s="21" t="s">
        <v>29</v>
      </c>
      <c r="I12" s="69">
        <v>4</v>
      </c>
      <c r="J12" s="30">
        <v>5494877</v>
      </c>
      <c r="K12" s="30">
        <v>6500000</v>
      </c>
      <c r="L12" s="31">
        <v>7428373</v>
      </c>
      <c r="M12" s="14">
        <v>8017826</v>
      </c>
      <c r="N12" s="32">
        <v>6800000</v>
      </c>
      <c r="O12" s="32">
        <v>7830000</v>
      </c>
      <c r="P12" s="73">
        <v>5714968</v>
      </c>
      <c r="Q12" s="72">
        <f>(AVERAGE(J12:P12)+MIN(J12:P12))/2</f>
        <v>6160727.3571428573</v>
      </c>
      <c r="R12" s="71">
        <f>_xlfn.STDEV.S(J12:P12)</f>
        <v>992013.83183245291</v>
      </c>
      <c r="S12" s="71">
        <f t="shared" ref="S12:S15" si="0">Q12-R12</f>
        <v>5168713.5253104046</v>
      </c>
      <c r="T12" s="71">
        <f t="shared" ref="T12:T15" si="1">Q12+R12</f>
        <v>7152741.18897531</v>
      </c>
      <c r="U12" s="71">
        <f>AVERAGEIFS(J12:P12,J12:P12,"&gt;="&amp;S12,J12:P12,"&lt;="&amp;T12)</f>
        <v>6127461.25</v>
      </c>
      <c r="W12" s="43">
        <f t="shared" ref="W12:W15" si="2">ROUND(MIN(Q12,U12),0)</f>
        <v>6127461</v>
      </c>
      <c r="X12" s="38">
        <f>W12*G12*I12</f>
        <v>24509844</v>
      </c>
    </row>
    <row r="13" spans="2:29" s="17" customFormat="1" ht="51" x14ac:dyDescent="0.2">
      <c r="B13" s="79"/>
      <c r="C13" s="21" t="s">
        <v>48</v>
      </c>
      <c r="D13" s="21" t="s">
        <v>49</v>
      </c>
      <c r="E13" s="21" t="s">
        <v>32</v>
      </c>
      <c r="F13" s="21" t="s">
        <v>28</v>
      </c>
      <c r="G13" s="21">
        <v>1</v>
      </c>
      <c r="H13" s="21" t="s">
        <v>29</v>
      </c>
      <c r="I13" s="69">
        <v>4</v>
      </c>
      <c r="J13" s="30">
        <v>5894877</v>
      </c>
      <c r="K13" s="30">
        <v>8000000</v>
      </c>
      <c r="L13" s="34">
        <v>11201861</v>
      </c>
      <c r="M13" s="14">
        <v>16905904</v>
      </c>
      <c r="N13" s="32">
        <v>7500000</v>
      </c>
      <c r="O13" s="32">
        <v>17280000</v>
      </c>
      <c r="P13" s="73">
        <v>15046026</v>
      </c>
      <c r="Q13" s="72">
        <f>(AVERAGE(J13:P13)+MIN(J13:P13))/2</f>
        <v>8792343.3571428582</v>
      </c>
      <c r="R13" s="71">
        <f t="shared" ref="R13:R15" si="3">_xlfn.STDEV.S(J13:P13)</f>
        <v>4738329.4360087393</v>
      </c>
      <c r="S13" s="71">
        <f t="shared" si="0"/>
        <v>4054013.9211341189</v>
      </c>
      <c r="T13" s="71">
        <f t="shared" si="1"/>
        <v>13530672.793151598</v>
      </c>
      <c r="U13" s="71">
        <f>AVERAGEIFS(J13:P13,J13:P13,"&gt;="&amp;S13,J13:P13,"&lt;="&amp;T13)</f>
        <v>8149184.5</v>
      </c>
      <c r="W13" s="43">
        <f t="shared" si="2"/>
        <v>8149185</v>
      </c>
      <c r="X13" s="38">
        <f>W13*G13*I13</f>
        <v>32596740</v>
      </c>
    </row>
    <row r="14" spans="2:29" s="17" customFormat="1" ht="26.25" customHeight="1" x14ac:dyDescent="0.25">
      <c r="B14" s="79">
        <v>3</v>
      </c>
      <c r="C14" s="98" t="s">
        <v>50</v>
      </c>
      <c r="D14" s="21" t="s">
        <v>51</v>
      </c>
      <c r="E14" s="21" t="s">
        <v>27</v>
      </c>
      <c r="F14" s="21" t="s">
        <v>28</v>
      </c>
      <c r="G14" s="21">
        <v>12</v>
      </c>
      <c r="H14" s="21" t="s">
        <v>29</v>
      </c>
      <c r="I14" s="69">
        <v>4</v>
      </c>
      <c r="J14" s="30">
        <v>6005396</v>
      </c>
      <c r="K14" s="30">
        <v>5000000</v>
      </c>
      <c r="L14" s="34">
        <v>7308320</v>
      </c>
      <c r="M14" s="14">
        <v>7132418</v>
      </c>
      <c r="N14" s="32">
        <v>8450000</v>
      </c>
      <c r="O14" s="32">
        <v>6000000</v>
      </c>
      <c r="P14" s="73">
        <v>7635082</v>
      </c>
      <c r="Q14" s="72">
        <f>(AVERAGE(J14:P14)+MIN(J14:P14))/2</f>
        <v>5895086.8571428573</v>
      </c>
      <c r="R14" s="71">
        <f t="shared" si="3"/>
        <v>1176114.5438425231</v>
      </c>
      <c r="S14" s="71">
        <f t="shared" si="0"/>
        <v>4718972.3133003339</v>
      </c>
      <c r="T14" s="71">
        <f t="shared" si="1"/>
        <v>7071201.4009853806</v>
      </c>
      <c r="U14" s="71">
        <f>AVERAGEIFS(J14:P14,J14:P14,"&gt;="&amp;S14,J14:P14,"&lt;="&amp;T14)</f>
        <v>5668465.333333333</v>
      </c>
      <c r="W14" s="43">
        <f t="shared" si="2"/>
        <v>5668465</v>
      </c>
      <c r="X14" s="38">
        <f>W14*G14*I14</f>
        <v>272086320</v>
      </c>
      <c r="AC14" s="68"/>
    </row>
    <row r="15" spans="2:29" s="17" customFormat="1" ht="26.25" customHeight="1" x14ac:dyDescent="0.2">
      <c r="B15" s="79"/>
      <c r="C15" s="98"/>
      <c r="D15" s="21" t="s">
        <v>52</v>
      </c>
      <c r="E15" s="21" t="s">
        <v>27</v>
      </c>
      <c r="F15" s="21" t="s">
        <v>28</v>
      </c>
      <c r="G15" s="21">
        <v>2</v>
      </c>
      <c r="H15" s="21" t="s">
        <v>29</v>
      </c>
      <c r="I15" s="69">
        <v>4</v>
      </c>
      <c r="J15" s="30">
        <v>7006296</v>
      </c>
      <c r="K15" s="30">
        <v>5000000</v>
      </c>
      <c r="L15" s="34">
        <v>8251693</v>
      </c>
      <c r="M15" s="14">
        <v>11405218</v>
      </c>
      <c r="N15" s="32">
        <v>8450000</v>
      </c>
      <c r="O15" s="32">
        <v>6000000</v>
      </c>
      <c r="P15" s="73">
        <v>9407124</v>
      </c>
      <c r="Q15" s="72">
        <f>(AVERAGE(J15:P15)+MIN(J15:P15))/2</f>
        <v>6465737.9285714291</v>
      </c>
      <c r="R15" s="71">
        <f t="shared" si="3"/>
        <v>2152360.5521103595</v>
      </c>
      <c r="S15" s="71">
        <f t="shared" si="0"/>
        <v>4313377.37646107</v>
      </c>
      <c r="T15" s="71">
        <f t="shared" si="1"/>
        <v>8618098.4806817882</v>
      </c>
      <c r="U15" s="75">
        <f>AVERAGEIFS(J15:P15,J15:P15,"&gt;="&amp;S15,J15:P15,"&lt;="&amp;T15)</f>
        <v>6941597.7999999998</v>
      </c>
      <c r="W15" s="43">
        <f t="shared" si="2"/>
        <v>6465738</v>
      </c>
      <c r="X15" s="38">
        <f>W15*G15*I15</f>
        <v>51725904</v>
      </c>
      <c r="AA15" s="51"/>
      <c r="AB15" s="51"/>
      <c r="AC15" s="67"/>
    </row>
    <row r="16" spans="2:29" s="18" customFormat="1" ht="23.1" customHeight="1" x14ac:dyDescent="0.2">
      <c r="B16" s="54"/>
      <c r="G16" s="54"/>
      <c r="I16" s="54"/>
      <c r="J16" s="55"/>
      <c r="K16" s="55"/>
      <c r="L16" s="55"/>
      <c r="M16" s="55"/>
      <c r="N16" s="55"/>
      <c r="O16" s="55"/>
      <c r="P16" s="55"/>
      <c r="Q16" s="56"/>
      <c r="R16" s="56"/>
      <c r="S16" s="56"/>
      <c r="T16" s="56"/>
      <c r="U16" s="74" t="s">
        <v>36</v>
      </c>
      <c r="W16" s="36">
        <f>SUM(W7:W15)</f>
        <v>31063998</v>
      </c>
      <c r="X16" s="36">
        <f>SUM(X7:X15)</f>
        <v>827621112</v>
      </c>
    </row>
    <row r="17" spans="2:24" s="17" customFormat="1" ht="23.1" customHeight="1" x14ac:dyDescent="0.2">
      <c r="B17" s="57"/>
      <c r="G17" s="57"/>
      <c r="I17" s="58"/>
      <c r="J17" s="59"/>
      <c r="K17" s="59"/>
      <c r="L17" s="59"/>
      <c r="M17" s="59"/>
      <c r="N17" s="59"/>
      <c r="O17" s="59"/>
      <c r="P17" s="59"/>
      <c r="Q17" s="51"/>
      <c r="U17" s="76" t="s">
        <v>37</v>
      </c>
      <c r="W17" s="38">
        <f>ROUND(W16*19%,0)</f>
        <v>5902160</v>
      </c>
      <c r="X17" s="38">
        <f>ROUND(X16*19%,0)</f>
        <v>157248011</v>
      </c>
    </row>
    <row r="18" spans="2:24" s="17" customFormat="1" ht="23.1" customHeight="1" x14ac:dyDescent="0.2">
      <c r="B18" s="57"/>
      <c r="G18" s="57"/>
      <c r="I18" s="57"/>
      <c r="J18" s="59"/>
      <c r="K18" s="59"/>
      <c r="L18" s="59"/>
      <c r="M18" s="55"/>
      <c r="N18" s="59"/>
      <c r="O18" s="59"/>
      <c r="P18" s="59"/>
      <c r="Q18" s="51"/>
      <c r="U18" s="74" t="s">
        <v>38</v>
      </c>
      <c r="W18" s="61">
        <f>W16+W17</f>
        <v>36966158</v>
      </c>
      <c r="X18" s="65">
        <f>X16+X17</f>
        <v>984869123</v>
      </c>
    </row>
    <row r="19" spans="2:24" x14ac:dyDescent="0.25">
      <c r="L19" s="9"/>
      <c r="M19" s="10"/>
    </row>
    <row r="20" spans="2:24" x14ac:dyDescent="0.25">
      <c r="O20" s="3"/>
      <c r="X20" s="63"/>
    </row>
    <row r="21" spans="2:24" x14ac:dyDescent="0.25">
      <c r="M21" s="11"/>
      <c r="O21" s="10"/>
      <c r="X21" s="70"/>
    </row>
    <row r="22" spans="2:24" x14ac:dyDescent="0.25">
      <c r="X22" s="64"/>
    </row>
    <row r="24" spans="2:24" x14ac:dyDescent="0.25">
      <c r="X24" s="66"/>
    </row>
    <row r="28" spans="2:24" x14ac:dyDescent="0.25">
      <c r="B28" s="3" t="s">
        <v>40</v>
      </c>
    </row>
  </sheetData>
  <mergeCells count="27">
    <mergeCell ref="C2:I2"/>
    <mergeCell ref="C3:I3"/>
    <mergeCell ref="W5:X5"/>
    <mergeCell ref="B12:B13"/>
    <mergeCell ref="B14:B15"/>
    <mergeCell ref="C14:C15"/>
    <mergeCell ref="D7:D11"/>
    <mergeCell ref="B7:B11"/>
    <mergeCell ref="E7:E11"/>
    <mergeCell ref="F7:F11"/>
    <mergeCell ref="G7:G11"/>
    <mergeCell ref="H7:H11"/>
    <mergeCell ref="I7:I11"/>
    <mergeCell ref="J7:J11"/>
    <mergeCell ref="K7:K11"/>
    <mergeCell ref="L7:L11"/>
    <mergeCell ref="M7:M11"/>
    <mergeCell ref="N7:N11"/>
    <mergeCell ref="O7:O11"/>
    <mergeCell ref="P7:P11"/>
    <mergeCell ref="W7:W11"/>
    <mergeCell ref="X7:X11"/>
    <mergeCell ref="Q7:Q11"/>
    <mergeCell ref="R7:R11"/>
    <mergeCell ref="S7:S11"/>
    <mergeCell ref="T7:T11"/>
    <mergeCell ref="U7:U11"/>
  </mergeCells>
  <pageMargins left="0.7" right="0.7" top="0.75" bottom="0.75" header="0.3" footer="0.3"/>
  <pageSetup paperSize="9" scale="2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5F4B9-206C-4D4B-B583-9038F5909748}">
  <sheetPr>
    <outlinePr summaryBelow="0" summaryRight="0"/>
  </sheetPr>
  <dimension ref="A1:X16"/>
  <sheetViews>
    <sheetView showGridLines="0" view="pageBreakPreview" topLeftCell="A3" zoomScale="115" zoomScaleNormal="115" zoomScaleSheetLayoutView="115" workbookViewId="0">
      <selection activeCell="A13" sqref="A13"/>
    </sheetView>
  </sheetViews>
  <sheetFormatPr baseColWidth="10" defaultColWidth="12.7109375" defaultRowHeight="12.75" x14ac:dyDescent="0.25"/>
  <cols>
    <col min="1" max="1" width="4.7109375" style="3" bestFit="1" customWidth="1"/>
    <col min="2" max="2" width="30.28515625" style="2" bestFit="1" customWidth="1"/>
    <col min="3" max="4" width="12.7109375" style="2" customWidth="1"/>
    <col min="5" max="5" width="7" style="3" bestFit="1" customWidth="1"/>
    <col min="6" max="6" width="11.42578125" style="3" customWidth="1"/>
    <col min="7" max="7" width="11.7109375" style="3" bestFit="1" customWidth="1"/>
    <col min="8" max="10" width="14" style="3" customWidth="1"/>
    <col min="11" max="14" width="14" style="2" customWidth="1"/>
    <col min="15" max="15" width="14.42578125" style="2" customWidth="1"/>
    <col min="16" max="17" width="12.7109375" style="2"/>
    <col min="18" max="18" width="14.7109375" style="2" customWidth="1"/>
    <col min="19" max="19" width="12.7109375" style="2"/>
    <col min="20" max="20" width="4.7109375" style="2" customWidth="1"/>
    <col min="21" max="16384" width="12.7109375" style="2"/>
  </cols>
  <sheetData>
    <row r="1" spans="1:24" ht="18" x14ac:dyDescent="0.25">
      <c r="B1" s="77" t="s">
        <v>1</v>
      </c>
      <c r="C1" s="77"/>
      <c r="D1" s="77"/>
      <c r="E1" s="77"/>
      <c r="F1" s="77"/>
      <c r="G1" s="77"/>
      <c r="H1" s="12"/>
      <c r="I1" s="12"/>
      <c r="J1" s="12"/>
      <c r="K1" s="12"/>
      <c r="L1" s="1"/>
    </row>
    <row r="2" spans="1:24" ht="18" x14ac:dyDescent="0.25">
      <c r="B2" s="77" t="s">
        <v>2</v>
      </c>
      <c r="C2" s="77"/>
      <c r="D2" s="77"/>
      <c r="E2" s="77"/>
      <c r="F2" s="77"/>
      <c r="G2" s="77"/>
      <c r="H2" s="53"/>
      <c r="I2" s="53"/>
      <c r="J2" s="53"/>
      <c r="K2" s="53"/>
    </row>
    <row r="3" spans="1:24" x14ac:dyDescent="0.25">
      <c r="J3" s="5"/>
      <c r="K3" s="6"/>
    </row>
    <row r="4" spans="1:24" ht="38.25" x14ac:dyDescent="0.25">
      <c r="H4" s="47" t="s">
        <v>3</v>
      </c>
      <c r="I4" s="47" t="s">
        <v>4</v>
      </c>
      <c r="J4" s="47" t="s">
        <v>6</v>
      </c>
      <c r="K4" s="48" t="s">
        <v>7</v>
      </c>
      <c r="L4" s="47" t="s">
        <v>8</v>
      </c>
      <c r="M4" s="47" t="s">
        <v>9</v>
      </c>
      <c r="N4" s="47" t="s">
        <v>10</v>
      </c>
      <c r="O4" s="49" t="s">
        <v>53</v>
      </c>
      <c r="P4" s="49" t="s">
        <v>12</v>
      </c>
      <c r="Q4" s="49" t="s">
        <v>13</v>
      </c>
      <c r="R4" s="49" t="s">
        <v>14</v>
      </c>
      <c r="S4" s="49" t="s">
        <v>15</v>
      </c>
      <c r="U4" s="78" t="s">
        <v>16</v>
      </c>
      <c r="V4" s="78"/>
    </row>
    <row r="5" spans="1:24" ht="51" x14ac:dyDescent="0.25">
      <c r="B5" s="15" t="s">
        <v>17</v>
      </c>
      <c r="C5" s="50" t="s">
        <v>18</v>
      </c>
      <c r="D5" s="50" t="s">
        <v>19</v>
      </c>
      <c r="E5" s="50" t="s">
        <v>20</v>
      </c>
      <c r="F5" s="50" t="s">
        <v>21</v>
      </c>
      <c r="G5" s="50" t="s">
        <v>22</v>
      </c>
      <c r="H5" s="47" t="s">
        <v>23</v>
      </c>
      <c r="I5" s="47" t="s">
        <v>23</v>
      </c>
      <c r="J5" s="47" t="s">
        <v>23</v>
      </c>
      <c r="K5" s="47" t="s">
        <v>23</v>
      </c>
      <c r="L5" s="47" t="s">
        <v>23</v>
      </c>
      <c r="M5" s="47" t="s">
        <v>23</v>
      </c>
      <c r="N5" s="47" t="s">
        <v>23</v>
      </c>
      <c r="O5" s="49" t="s">
        <v>23</v>
      </c>
      <c r="P5" s="49" t="s">
        <v>23</v>
      </c>
      <c r="Q5" s="49" t="s">
        <v>23</v>
      </c>
      <c r="R5" s="49" t="s">
        <v>23</v>
      </c>
      <c r="S5" s="49" t="s">
        <v>23</v>
      </c>
      <c r="U5" s="49" t="s">
        <v>23</v>
      </c>
      <c r="V5" s="52" t="s">
        <v>24</v>
      </c>
    </row>
    <row r="6" spans="1:24" s="17" customFormat="1" ht="25.5" customHeight="1" x14ac:dyDescent="0.2">
      <c r="A6" s="46" t="s">
        <v>25</v>
      </c>
      <c r="B6" s="20" t="s">
        <v>26</v>
      </c>
      <c r="C6" s="21" t="s">
        <v>27</v>
      </c>
      <c r="D6" s="21" t="s">
        <v>28</v>
      </c>
      <c r="E6" s="21">
        <v>22</v>
      </c>
      <c r="F6" s="21" t="s">
        <v>29</v>
      </c>
      <c r="G6" s="42">
        <v>5.5</v>
      </c>
      <c r="H6" s="44">
        <v>4394877</v>
      </c>
      <c r="I6" s="44">
        <v>4000000</v>
      </c>
      <c r="J6" s="45">
        <v>5305785</v>
      </c>
      <c r="K6" s="45">
        <v>6833706</v>
      </c>
      <c r="L6" s="44">
        <v>5800000</v>
      </c>
      <c r="M6" s="44">
        <v>6264000</v>
      </c>
      <c r="N6" s="44">
        <v>4911932</v>
      </c>
      <c r="O6" s="43">
        <f>AVERAGE(H6:N6)</f>
        <v>5358614.2857142854</v>
      </c>
      <c r="P6" s="43">
        <f>_xlfn.STDEV.S(H6:N6)</f>
        <v>1013852.2687408192</v>
      </c>
      <c r="Q6" s="43">
        <f>O6-P6</f>
        <v>4344762.0169734666</v>
      </c>
      <c r="R6" s="43">
        <f>O6+P6</f>
        <v>6372466.5544551043</v>
      </c>
      <c r="S6" s="43">
        <f>AVERAGEIFS(H6:N6,H6:N6,"&gt;="&amp;Q6,H6:N6,"&lt;="&amp;R6)</f>
        <v>5335318.8</v>
      </c>
      <c r="U6" s="43">
        <f>ROUND(MIN(O6,S6),0)</f>
        <v>5335319</v>
      </c>
      <c r="V6" s="38">
        <f>U6*E6*G6</f>
        <v>645573599</v>
      </c>
    </row>
    <row r="7" spans="1:24" s="17" customFormat="1" ht="51" x14ac:dyDescent="0.2">
      <c r="A7" s="79" t="s">
        <v>30</v>
      </c>
      <c r="B7" s="27" t="s">
        <v>31</v>
      </c>
      <c r="C7" s="28" t="s">
        <v>32</v>
      </c>
      <c r="D7" s="28" t="s">
        <v>28</v>
      </c>
      <c r="E7" s="28">
        <v>1</v>
      </c>
      <c r="F7" s="28" t="s">
        <v>29</v>
      </c>
      <c r="G7" s="29">
        <v>5.5</v>
      </c>
      <c r="H7" s="30">
        <v>5494877</v>
      </c>
      <c r="I7" s="30">
        <v>6500000</v>
      </c>
      <c r="J7" s="31">
        <v>7428373</v>
      </c>
      <c r="K7" s="14">
        <v>8017826</v>
      </c>
      <c r="L7" s="32">
        <v>6800000</v>
      </c>
      <c r="M7" s="32">
        <v>7830000</v>
      </c>
      <c r="N7" s="32">
        <v>5714968</v>
      </c>
      <c r="O7" s="33">
        <f t="shared" ref="O7:O10" si="0">AVERAGE(H7:N7)</f>
        <v>6826577.7142857146</v>
      </c>
      <c r="P7" s="33">
        <f>_xlfn.STDEV.S(H7:N7)</f>
        <v>992013.83183245291</v>
      </c>
      <c r="Q7" s="33">
        <f t="shared" ref="Q7:Q10" si="1">O7-P7</f>
        <v>5834563.8824532619</v>
      </c>
      <c r="R7" s="33">
        <f t="shared" ref="R7:R10" si="2">O7+P7</f>
        <v>7818591.5461181672</v>
      </c>
      <c r="S7" s="33">
        <f t="shared" ref="S7:S10" si="3">AVERAGEIFS(H7:N7,H7:N7,"&gt;="&amp;Q7,H7:N7,"&lt;="&amp;R7)</f>
        <v>6909457.666666667</v>
      </c>
      <c r="U7" s="43">
        <f t="shared" ref="U7:U10" si="4">ROUND(MIN(O7,S7),0)</f>
        <v>6826578</v>
      </c>
      <c r="V7" s="38">
        <f>U7*E7*G7</f>
        <v>37546179</v>
      </c>
    </row>
    <row r="8" spans="1:24" s="17" customFormat="1" ht="76.5" x14ac:dyDescent="0.2">
      <c r="A8" s="79"/>
      <c r="B8" s="20" t="s">
        <v>33</v>
      </c>
      <c r="C8" s="21" t="s">
        <v>32</v>
      </c>
      <c r="D8" s="21" t="s">
        <v>28</v>
      </c>
      <c r="E8" s="21">
        <v>1</v>
      </c>
      <c r="F8" s="21" t="s">
        <v>29</v>
      </c>
      <c r="G8" s="29">
        <v>5.5</v>
      </c>
      <c r="H8" s="30">
        <v>5894877</v>
      </c>
      <c r="I8" s="30">
        <v>8000000</v>
      </c>
      <c r="J8" s="34">
        <v>11201861</v>
      </c>
      <c r="K8" s="14">
        <v>16905904</v>
      </c>
      <c r="L8" s="32">
        <v>7500000</v>
      </c>
      <c r="M8" s="32">
        <v>17280000</v>
      </c>
      <c r="N8" s="32">
        <v>15046026</v>
      </c>
      <c r="O8" s="33">
        <f t="shared" si="0"/>
        <v>11689809.714285715</v>
      </c>
      <c r="P8" s="33">
        <f t="shared" ref="P8:P10" si="5">_xlfn.STDEV.S(H8:N8)</f>
        <v>4738329.4360087393</v>
      </c>
      <c r="Q8" s="33">
        <f t="shared" si="1"/>
        <v>6951480.2782769753</v>
      </c>
      <c r="R8" s="33">
        <f t="shared" si="2"/>
        <v>16428139.150294453</v>
      </c>
      <c r="S8" s="33">
        <f t="shared" si="3"/>
        <v>10436971.75</v>
      </c>
      <c r="U8" s="43">
        <f t="shared" si="4"/>
        <v>10436972</v>
      </c>
      <c r="V8" s="38">
        <f>U8*E8*G8</f>
        <v>57403346</v>
      </c>
    </row>
    <row r="9" spans="1:24" s="17" customFormat="1" ht="38.25" x14ac:dyDescent="0.2">
      <c r="A9" s="79" t="s">
        <v>34</v>
      </c>
      <c r="B9" s="80" t="s">
        <v>35</v>
      </c>
      <c r="C9" s="21" t="s">
        <v>27</v>
      </c>
      <c r="D9" s="21" t="s">
        <v>28</v>
      </c>
      <c r="E9" s="21">
        <v>13</v>
      </c>
      <c r="F9" s="21" t="s">
        <v>29</v>
      </c>
      <c r="G9" s="29">
        <v>5.5</v>
      </c>
      <c r="H9" s="30">
        <v>6005396</v>
      </c>
      <c r="I9" s="30">
        <v>5000000</v>
      </c>
      <c r="J9" s="34">
        <v>7308320</v>
      </c>
      <c r="K9" s="14">
        <v>7132418</v>
      </c>
      <c r="L9" s="32">
        <v>8450000</v>
      </c>
      <c r="M9" s="32">
        <v>6000000</v>
      </c>
      <c r="N9" s="32">
        <v>7635082</v>
      </c>
      <c r="O9" s="33">
        <f t="shared" si="0"/>
        <v>6790173.7142857146</v>
      </c>
      <c r="P9" s="33">
        <f t="shared" si="5"/>
        <v>1176114.5438425231</v>
      </c>
      <c r="Q9" s="33">
        <f t="shared" si="1"/>
        <v>5614059.1704431912</v>
      </c>
      <c r="R9" s="33">
        <f t="shared" si="2"/>
        <v>7966288.2581282379</v>
      </c>
      <c r="S9" s="33">
        <f t="shared" si="3"/>
        <v>6816243.2000000002</v>
      </c>
      <c r="U9" s="43">
        <f t="shared" si="4"/>
        <v>6790174</v>
      </c>
      <c r="V9" s="38">
        <f>U9*E9*G9</f>
        <v>485497441</v>
      </c>
    </row>
    <row r="10" spans="1:24" s="17" customFormat="1" ht="38.25" x14ac:dyDescent="0.2">
      <c r="A10" s="79"/>
      <c r="B10" s="80"/>
      <c r="C10" s="21" t="s">
        <v>27</v>
      </c>
      <c r="D10" s="21" t="s">
        <v>28</v>
      </c>
      <c r="E10" s="21">
        <v>2</v>
      </c>
      <c r="F10" s="21" t="s">
        <v>29</v>
      </c>
      <c r="G10" s="29">
        <v>5.5</v>
      </c>
      <c r="H10" s="30">
        <v>7006296</v>
      </c>
      <c r="I10" s="30">
        <v>5000000</v>
      </c>
      <c r="J10" s="34">
        <v>8251693</v>
      </c>
      <c r="K10" s="14">
        <v>11405218</v>
      </c>
      <c r="L10" s="32">
        <v>8450000</v>
      </c>
      <c r="M10" s="32">
        <v>6000000</v>
      </c>
      <c r="N10" s="32">
        <v>9407124</v>
      </c>
      <c r="O10" s="33">
        <f t="shared" si="0"/>
        <v>7931475.8571428573</v>
      </c>
      <c r="P10" s="33">
        <f t="shared" si="5"/>
        <v>2152360.5521103595</v>
      </c>
      <c r="Q10" s="33">
        <f t="shared" si="1"/>
        <v>5779115.3050324973</v>
      </c>
      <c r="R10" s="33">
        <f t="shared" si="2"/>
        <v>10083836.409253217</v>
      </c>
      <c r="S10" s="33">
        <f t="shared" si="3"/>
        <v>7823022.5999999996</v>
      </c>
      <c r="U10" s="43">
        <f t="shared" si="4"/>
        <v>7823023</v>
      </c>
      <c r="V10" s="38">
        <f>U10*E10*G10</f>
        <v>86053253</v>
      </c>
    </row>
    <row r="11" spans="1:24" s="18" customFormat="1" ht="23.1" customHeight="1" x14ac:dyDescent="0.2">
      <c r="A11" s="54"/>
      <c r="E11" s="54"/>
      <c r="G11" s="54"/>
      <c r="H11" s="55"/>
      <c r="I11" s="55"/>
      <c r="J11" s="55"/>
      <c r="K11" s="55"/>
      <c r="L11" s="55"/>
      <c r="M11" s="55"/>
      <c r="N11" s="55"/>
      <c r="O11" s="56"/>
      <c r="P11" s="56"/>
      <c r="Q11" s="56"/>
      <c r="R11" s="56"/>
      <c r="S11" s="60" t="s">
        <v>54</v>
      </c>
      <c r="U11" s="36">
        <f>SUM(U6:U10)</f>
        <v>37212066</v>
      </c>
      <c r="V11" s="36">
        <f>SUM(V6:V10)</f>
        <v>1312073818</v>
      </c>
    </row>
    <row r="12" spans="1:24" s="17" customFormat="1" ht="23.1" customHeight="1" x14ac:dyDescent="0.2">
      <c r="A12" s="57"/>
      <c r="E12" s="57"/>
      <c r="G12" s="58"/>
      <c r="H12" s="59"/>
      <c r="I12" s="59"/>
      <c r="J12" s="59"/>
      <c r="K12" s="59"/>
      <c r="L12" s="59"/>
      <c r="M12" s="59"/>
      <c r="N12" s="59"/>
      <c r="O12" s="51"/>
      <c r="S12" s="20" t="s">
        <v>37</v>
      </c>
      <c r="U12" s="38">
        <f>ROUND(U11*19%,9)</f>
        <v>7070292.54</v>
      </c>
      <c r="V12" s="38">
        <f>ROUND(V11*19%,0)</f>
        <v>249294025</v>
      </c>
    </row>
    <row r="13" spans="1:24" s="17" customFormat="1" ht="23.1" customHeight="1" x14ac:dyDescent="0.2">
      <c r="A13" s="57"/>
      <c r="E13" s="57"/>
      <c r="G13" s="57"/>
      <c r="H13" s="59"/>
      <c r="I13" s="59"/>
      <c r="J13" s="59"/>
      <c r="K13" s="55"/>
      <c r="L13" s="59"/>
      <c r="M13" s="59"/>
      <c r="N13" s="59"/>
      <c r="O13" s="51"/>
      <c r="S13" s="26" t="s">
        <v>38</v>
      </c>
      <c r="U13" s="61">
        <f>U11+U12</f>
        <v>44282358.539999999</v>
      </c>
      <c r="V13" s="61">
        <f>V11+V12</f>
        <v>1561367843</v>
      </c>
      <c r="W13" s="51"/>
      <c r="X13" s="51"/>
    </row>
    <row r="14" spans="1:24" x14ac:dyDescent="0.25">
      <c r="J14" s="9"/>
      <c r="K14" s="10"/>
    </row>
    <row r="15" spans="1:24" x14ac:dyDescent="0.25">
      <c r="M15" s="3"/>
    </row>
    <row r="16" spans="1:24" x14ac:dyDescent="0.25">
      <c r="K16" s="11"/>
      <c r="M16" s="10"/>
    </row>
  </sheetData>
  <mergeCells count="6">
    <mergeCell ref="U4:V4"/>
    <mergeCell ref="A7:A8"/>
    <mergeCell ref="A9:A10"/>
    <mergeCell ref="B9:B10"/>
    <mergeCell ref="B1:G1"/>
    <mergeCell ref="B2:G2"/>
  </mergeCells>
  <pageMargins left="0.7" right="0.7" top="0.75" bottom="0.75" header="0.3" footer="0.3"/>
  <pageSetup paperSize="9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X23"/>
  <sheetViews>
    <sheetView showGridLines="0" view="pageBreakPreview" topLeftCell="M7" zoomScale="115" zoomScaleNormal="115" zoomScaleSheetLayoutView="115" workbookViewId="0">
      <selection activeCell="R19" sqref="R19"/>
    </sheetView>
  </sheetViews>
  <sheetFormatPr baseColWidth="10" defaultColWidth="12.7109375" defaultRowHeight="12.75" x14ac:dyDescent="0.25"/>
  <cols>
    <col min="1" max="1" width="4.7109375" style="3" bestFit="1" customWidth="1"/>
    <col min="2" max="2" width="30.28515625" style="2" bestFit="1" customWidth="1"/>
    <col min="3" max="3" width="30.28515625" style="2" customWidth="1"/>
    <col min="4" max="5" width="12.7109375" style="2" hidden="1" customWidth="1"/>
    <col min="6" max="8" width="11.42578125" style="2" hidden="1" customWidth="1"/>
    <col min="9" max="9" width="11" style="2" hidden="1" customWidth="1"/>
    <col min="10" max="10" width="11" style="3" hidden="1" customWidth="1"/>
    <col min="11" max="13" width="14" style="3" customWidth="1"/>
    <col min="14" max="17" width="14" style="2" customWidth="1"/>
    <col min="18" max="18" width="14.42578125" style="2" customWidth="1"/>
    <col min="19" max="20" width="12.7109375" style="2"/>
    <col min="21" max="21" width="14.7109375" style="2" customWidth="1"/>
    <col min="22" max="22" width="12.7109375" style="2"/>
    <col min="23" max="23" width="4.7109375" style="2" customWidth="1"/>
    <col min="24" max="16384" width="12.7109375" style="2"/>
  </cols>
  <sheetData>
    <row r="1" spans="1:24" ht="18" x14ac:dyDescent="0.25">
      <c r="B1" s="115" t="s">
        <v>1</v>
      </c>
      <c r="C1" s="116"/>
      <c r="D1" s="116"/>
      <c r="E1" s="116"/>
      <c r="F1" s="116"/>
      <c r="G1" s="116"/>
      <c r="H1" s="116"/>
      <c r="I1" s="116"/>
      <c r="J1" s="116"/>
      <c r="K1" s="12"/>
      <c r="L1" s="12"/>
      <c r="M1" s="12"/>
      <c r="N1" s="12"/>
      <c r="O1" s="1"/>
    </row>
    <row r="2" spans="1:24" x14ac:dyDescent="0.25">
      <c r="B2" s="1"/>
      <c r="C2" s="1"/>
      <c r="D2" s="1"/>
      <c r="E2" s="1"/>
      <c r="F2" s="1"/>
      <c r="G2" s="1"/>
      <c r="H2" s="1"/>
      <c r="I2" s="1"/>
      <c r="J2" s="4"/>
      <c r="K2" s="4"/>
      <c r="L2" s="4"/>
      <c r="M2" s="4"/>
      <c r="N2" s="1"/>
      <c r="O2" s="1"/>
    </row>
    <row r="3" spans="1:24" ht="18" x14ac:dyDescent="0.25">
      <c r="B3" s="115" t="s">
        <v>2</v>
      </c>
      <c r="C3" s="116"/>
      <c r="D3" s="116"/>
      <c r="E3" s="116"/>
      <c r="F3" s="116"/>
      <c r="G3" s="116"/>
      <c r="H3" s="116"/>
      <c r="I3" s="116"/>
      <c r="J3" s="116"/>
      <c r="K3" s="13"/>
      <c r="L3" s="13"/>
      <c r="M3" s="13"/>
      <c r="N3" s="13"/>
    </row>
    <row r="4" spans="1:24" x14ac:dyDescent="0.25">
      <c r="M4" s="5"/>
      <c r="N4" s="6"/>
    </row>
    <row r="5" spans="1:24" ht="38.25" x14ac:dyDescent="0.25">
      <c r="K5" s="39" t="s">
        <v>3</v>
      </c>
      <c r="L5" s="39" t="s">
        <v>4</v>
      </c>
      <c r="M5" s="39" t="s">
        <v>6</v>
      </c>
      <c r="N5" s="40" t="s">
        <v>7</v>
      </c>
      <c r="O5" s="39" t="s">
        <v>8</v>
      </c>
      <c r="P5" s="39" t="s">
        <v>9</v>
      </c>
      <c r="Q5" s="39" t="s">
        <v>10</v>
      </c>
      <c r="R5" s="39" t="s">
        <v>53</v>
      </c>
      <c r="S5" s="39" t="s">
        <v>12</v>
      </c>
      <c r="T5" s="39" t="s">
        <v>13</v>
      </c>
      <c r="U5" s="39" t="s">
        <v>14</v>
      </c>
      <c r="V5" s="39" t="s">
        <v>15</v>
      </c>
      <c r="X5" s="39" t="s">
        <v>16</v>
      </c>
    </row>
    <row r="6" spans="1:24" ht="51" x14ac:dyDescent="0.25">
      <c r="B6" s="41" t="s">
        <v>17</v>
      </c>
      <c r="C6" s="41" t="s">
        <v>55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7" t="s">
        <v>56</v>
      </c>
      <c r="J6" s="8" t="s">
        <v>57</v>
      </c>
      <c r="K6" s="39" t="s">
        <v>58</v>
      </c>
      <c r="L6" s="39" t="s">
        <v>58</v>
      </c>
      <c r="M6" s="39" t="s">
        <v>58</v>
      </c>
      <c r="N6" s="40" t="s">
        <v>58</v>
      </c>
      <c r="O6" s="39" t="s">
        <v>58</v>
      </c>
      <c r="P6" s="39" t="s">
        <v>58</v>
      </c>
      <c r="Q6" s="39" t="s">
        <v>58</v>
      </c>
      <c r="R6" s="39" t="s">
        <v>58</v>
      </c>
      <c r="S6" s="39" t="s">
        <v>58</v>
      </c>
      <c r="T6" s="39" t="s">
        <v>58</v>
      </c>
      <c r="U6" s="39" t="s">
        <v>58</v>
      </c>
      <c r="V6" s="39" t="s">
        <v>58</v>
      </c>
      <c r="X6" s="39" t="s">
        <v>58</v>
      </c>
    </row>
    <row r="7" spans="1:24" s="17" customFormat="1" ht="25.5" customHeight="1" x14ac:dyDescent="0.2">
      <c r="A7" s="80" t="s">
        <v>25</v>
      </c>
      <c r="B7" s="20" t="s">
        <v>26</v>
      </c>
      <c r="C7" s="80" t="s">
        <v>59</v>
      </c>
      <c r="D7" s="98" t="s">
        <v>27</v>
      </c>
      <c r="E7" s="98" t="s">
        <v>28</v>
      </c>
      <c r="F7" s="98">
        <v>22</v>
      </c>
      <c r="G7" s="98" t="s">
        <v>29</v>
      </c>
      <c r="H7" s="108">
        <v>5.5</v>
      </c>
      <c r="I7" s="22">
        <v>1</v>
      </c>
      <c r="J7" s="23">
        <v>2442</v>
      </c>
      <c r="K7" s="88">
        <v>4394877</v>
      </c>
      <c r="L7" s="88">
        <v>4000000</v>
      </c>
      <c r="M7" s="85">
        <v>5305785</v>
      </c>
      <c r="N7" s="85">
        <v>6833706</v>
      </c>
      <c r="O7" s="88">
        <v>5800000</v>
      </c>
      <c r="P7" s="88">
        <v>6264000</v>
      </c>
      <c r="Q7" s="88">
        <v>4911932</v>
      </c>
      <c r="R7" s="94">
        <f>AVERAGE(K7:Q12)</f>
        <v>5358614.2857142854</v>
      </c>
      <c r="S7" s="94">
        <f>_xlfn.STDEV.S(K7:Q12)</f>
        <v>1013852.2687408192</v>
      </c>
      <c r="T7" s="94">
        <f>R7-S7</f>
        <v>4344762.0169734666</v>
      </c>
      <c r="U7" s="94">
        <f>R7+S7</f>
        <v>6372466.5544551043</v>
      </c>
      <c r="V7" s="94">
        <f>AVERAGEIFS(K7:Q7,K7:Q7,"&gt;="&amp;T7,K7:Q7,"&lt;="&amp;U7)</f>
        <v>5335318.8</v>
      </c>
      <c r="X7" s="94">
        <f>MIN(R7,V7)</f>
        <v>5335318.8</v>
      </c>
    </row>
    <row r="8" spans="1:24" s="17" customFormat="1" ht="25.5" customHeight="1" x14ac:dyDescent="0.2">
      <c r="A8" s="80"/>
      <c r="B8" s="20" t="s">
        <v>60</v>
      </c>
      <c r="C8" s="80"/>
      <c r="D8" s="98"/>
      <c r="E8" s="98"/>
      <c r="F8" s="98"/>
      <c r="G8" s="98"/>
      <c r="H8" s="109"/>
      <c r="I8" s="22">
        <v>1</v>
      </c>
      <c r="J8" s="23">
        <v>20392</v>
      </c>
      <c r="K8" s="89"/>
      <c r="L8" s="89"/>
      <c r="M8" s="86"/>
      <c r="N8" s="86"/>
      <c r="O8" s="89"/>
      <c r="P8" s="89"/>
      <c r="Q8" s="89"/>
      <c r="R8" s="95"/>
      <c r="S8" s="95"/>
      <c r="T8" s="95"/>
      <c r="U8" s="95"/>
      <c r="V8" s="95"/>
      <c r="X8" s="95"/>
    </row>
    <row r="9" spans="1:24" s="17" customFormat="1" ht="25.5" customHeight="1" x14ac:dyDescent="0.2">
      <c r="A9" s="80"/>
      <c r="B9" s="20" t="s">
        <v>61</v>
      </c>
      <c r="C9" s="80"/>
      <c r="D9" s="98"/>
      <c r="E9" s="98"/>
      <c r="F9" s="98"/>
      <c r="G9" s="98"/>
      <c r="H9" s="109"/>
      <c r="I9" s="22">
        <v>1</v>
      </c>
      <c r="J9" s="23">
        <v>3506</v>
      </c>
      <c r="K9" s="89"/>
      <c r="L9" s="89"/>
      <c r="M9" s="86"/>
      <c r="N9" s="86"/>
      <c r="O9" s="89"/>
      <c r="P9" s="89"/>
      <c r="Q9" s="89"/>
      <c r="R9" s="95"/>
      <c r="S9" s="95"/>
      <c r="T9" s="95"/>
      <c r="U9" s="95"/>
      <c r="V9" s="95"/>
      <c r="X9" s="95"/>
    </row>
    <row r="10" spans="1:24" s="17" customFormat="1" ht="25.5" customHeight="1" x14ac:dyDescent="0.2">
      <c r="A10" s="80"/>
      <c r="B10" s="20" t="s">
        <v>44</v>
      </c>
      <c r="C10" s="80"/>
      <c r="D10" s="98"/>
      <c r="E10" s="98"/>
      <c r="F10" s="98"/>
      <c r="G10" s="98"/>
      <c r="H10" s="109"/>
      <c r="I10" s="22">
        <v>1</v>
      </c>
      <c r="J10" s="23">
        <v>20</v>
      </c>
      <c r="K10" s="89"/>
      <c r="L10" s="89"/>
      <c r="M10" s="86"/>
      <c r="N10" s="86"/>
      <c r="O10" s="89"/>
      <c r="P10" s="89"/>
      <c r="Q10" s="89"/>
      <c r="R10" s="95"/>
      <c r="S10" s="95"/>
      <c r="T10" s="95"/>
      <c r="U10" s="95"/>
      <c r="V10" s="95"/>
      <c r="X10" s="95"/>
    </row>
    <row r="11" spans="1:24" s="17" customFormat="1" ht="25.5" customHeight="1" x14ac:dyDescent="0.2">
      <c r="A11" s="80"/>
      <c r="B11" s="20" t="s">
        <v>45</v>
      </c>
      <c r="C11" s="80"/>
      <c r="D11" s="98"/>
      <c r="E11" s="98"/>
      <c r="F11" s="98"/>
      <c r="G11" s="98"/>
      <c r="H11" s="109"/>
      <c r="I11" s="24"/>
      <c r="J11" s="24"/>
      <c r="K11" s="89"/>
      <c r="L11" s="89"/>
      <c r="M11" s="86"/>
      <c r="N11" s="86"/>
      <c r="O11" s="89"/>
      <c r="P11" s="89"/>
      <c r="Q11" s="89"/>
      <c r="R11" s="95"/>
      <c r="S11" s="95"/>
      <c r="T11" s="95"/>
      <c r="U11" s="95"/>
      <c r="V11" s="95"/>
      <c r="X11" s="95"/>
    </row>
    <row r="12" spans="1:24" s="17" customFormat="1" ht="25.5" customHeight="1" x14ac:dyDescent="0.2">
      <c r="A12" s="80"/>
      <c r="B12" s="20" t="s">
        <v>62</v>
      </c>
      <c r="C12" s="80"/>
      <c r="D12" s="98"/>
      <c r="E12" s="98"/>
      <c r="F12" s="98"/>
      <c r="G12" s="98"/>
      <c r="H12" s="110"/>
      <c r="I12" s="25"/>
      <c r="J12" s="22"/>
      <c r="K12" s="90"/>
      <c r="L12" s="90"/>
      <c r="M12" s="87"/>
      <c r="N12" s="87"/>
      <c r="O12" s="90"/>
      <c r="P12" s="90"/>
      <c r="Q12" s="90"/>
      <c r="R12" s="96"/>
      <c r="S12" s="96"/>
      <c r="T12" s="96"/>
      <c r="U12" s="96"/>
      <c r="V12" s="96"/>
      <c r="X12" s="96"/>
    </row>
    <row r="13" spans="1:24" s="17" customFormat="1" ht="23.1" customHeight="1" x14ac:dyDescent="0.2">
      <c r="A13" s="79" t="s">
        <v>30</v>
      </c>
      <c r="B13" s="27" t="s">
        <v>31</v>
      </c>
      <c r="C13" s="27" t="s">
        <v>63</v>
      </c>
      <c r="D13" s="28" t="s">
        <v>32</v>
      </c>
      <c r="E13" s="28" t="s">
        <v>28</v>
      </c>
      <c r="F13" s="28">
        <v>1</v>
      </c>
      <c r="G13" s="28" t="s">
        <v>29</v>
      </c>
      <c r="H13" s="29">
        <v>5.5</v>
      </c>
      <c r="I13" s="25"/>
      <c r="J13" s="22"/>
      <c r="K13" s="30">
        <v>5494877</v>
      </c>
      <c r="L13" s="30">
        <v>6500000</v>
      </c>
      <c r="M13" s="31">
        <v>7428373</v>
      </c>
      <c r="N13" s="14">
        <v>8017826</v>
      </c>
      <c r="O13" s="32">
        <v>6800000</v>
      </c>
      <c r="P13" s="32">
        <v>7830000</v>
      </c>
      <c r="Q13" s="32">
        <v>5714968</v>
      </c>
      <c r="R13" s="33">
        <f t="shared" ref="R13:R18" si="0">AVERAGE(K13:Q13)</f>
        <v>6826577.7142857146</v>
      </c>
      <c r="S13" s="33">
        <f>_xlfn.STDEV.S(K13:Q13)</f>
        <v>992013.83183245291</v>
      </c>
      <c r="T13" s="33">
        <f t="shared" ref="T13:T18" si="1">R13-S13</f>
        <v>5834563.8824532619</v>
      </c>
      <c r="U13" s="33">
        <f t="shared" ref="U13:U18" si="2">R13+S13</f>
        <v>7818591.5461181672</v>
      </c>
      <c r="V13" s="33">
        <f t="shared" ref="V13:V18" si="3">AVERAGEIFS(K13:Q13,K13:Q13,"&gt;="&amp;T13,K13:Q13,"&lt;="&amp;U13)</f>
        <v>6909457.666666667</v>
      </c>
      <c r="X13" s="33">
        <f t="shared" ref="X13:X16" si="4">MIN(R13,V13)</f>
        <v>6826577.7142857146</v>
      </c>
    </row>
    <row r="14" spans="1:24" s="17" customFormat="1" ht="23.1" customHeight="1" x14ac:dyDescent="0.2">
      <c r="A14" s="79"/>
      <c r="B14" s="20" t="s">
        <v>33</v>
      </c>
      <c r="C14" s="20" t="s">
        <v>64</v>
      </c>
      <c r="D14" s="21" t="s">
        <v>32</v>
      </c>
      <c r="E14" s="21" t="s">
        <v>28</v>
      </c>
      <c r="F14" s="21">
        <v>1</v>
      </c>
      <c r="G14" s="21" t="s">
        <v>29</v>
      </c>
      <c r="H14" s="29">
        <v>5.5</v>
      </c>
      <c r="I14" s="25"/>
      <c r="J14" s="22"/>
      <c r="K14" s="30">
        <v>5894877</v>
      </c>
      <c r="L14" s="30">
        <v>8000000</v>
      </c>
      <c r="M14" s="34">
        <v>11201861</v>
      </c>
      <c r="N14" s="14">
        <v>16905904</v>
      </c>
      <c r="O14" s="32">
        <v>7500000</v>
      </c>
      <c r="P14" s="32">
        <v>17280000</v>
      </c>
      <c r="Q14" s="32">
        <v>15046026</v>
      </c>
      <c r="R14" s="33">
        <f t="shared" si="0"/>
        <v>11689809.714285715</v>
      </c>
      <c r="S14" s="33">
        <f t="shared" ref="S14:S18" si="5">_xlfn.STDEV.S(K14:Q14)</f>
        <v>4738329.4360087393</v>
      </c>
      <c r="T14" s="33">
        <f t="shared" si="1"/>
        <v>6951480.2782769753</v>
      </c>
      <c r="U14" s="33">
        <f t="shared" si="2"/>
        <v>16428139.150294453</v>
      </c>
      <c r="V14" s="33">
        <f t="shared" si="3"/>
        <v>10436971.75</v>
      </c>
      <c r="X14" s="33">
        <f t="shared" si="4"/>
        <v>10436971.75</v>
      </c>
    </row>
    <row r="15" spans="1:24" s="17" customFormat="1" ht="23.1" customHeight="1" x14ac:dyDescent="0.2">
      <c r="A15" s="79" t="s">
        <v>34</v>
      </c>
      <c r="B15" s="80" t="s">
        <v>35</v>
      </c>
      <c r="C15" s="20" t="s">
        <v>65</v>
      </c>
      <c r="D15" s="21" t="s">
        <v>32</v>
      </c>
      <c r="E15" s="21" t="s">
        <v>28</v>
      </c>
      <c r="F15" s="21">
        <v>13</v>
      </c>
      <c r="G15" s="21" t="s">
        <v>29</v>
      </c>
      <c r="H15" s="29">
        <v>5.5</v>
      </c>
      <c r="I15" s="25"/>
      <c r="J15" s="22"/>
      <c r="K15" s="30">
        <v>6005396</v>
      </c>
      <c r="L15" s="30">
        <v>5000000</v>
      </c>
      <c r="M15" s="34">
        <v>7308320</v>
      </c>
      <c r="N15" s="14">
        <v>7132418</v>
      </c>
      <c r="O15" s="32">
        <v>8450000</v>
      </c>
      <c r="P15" s="32">
        <v>6000000</v>
      </c>
      <c r="Q15" s="32">
        <v>7635082</v>
      </c>
      <c r="R15" s="33">
        <f t="shared" si="0"/>
        <v>6790173.7142857146</v>
      </c>
      <c r="S15" s="33">
        <f t="shared" si="5"/>
        <v>1176114.5438425231</v>
      </c>
      <c r="T15" s="33">
        <f t="shared" si="1"/>
        <v>5614059.1704431912</v>
      </c>
      <c r="U15" s="33">
        <f t="shared" si="2"/>
        <v>7966288.2581282379</v>
      </c>
      <c r="V15" s="33">
        <f t="shared" si="3"/>
        <v>6816243.2000000002</v>
      </c>
      <c r="X15" s="33">
        <f t="shared" si="4"/>
        <v>6790173.7142857146</v>
      </c>
    </row>
    <row r="16" spans="1:24" s="17" customFormat="1" ht="23.1" customHeight="1" x14ac:dyDescent="0.2">
      <c r="A16" s="79"/>
      <c r="B16" s="80"/>
      <c r="C16" s="20" t="s">
        <v>66</v>
      </c>
      <c r="D16" s="21" t="s">
        <v>32</v>
      </c>
      <c r="E16" s="21" t="s">
        <v>28</v>
      </c>
      <c r="F16" s="21">
        <v>2</v>
      </c>
      <c r="G16" s="21" t="s">
        <v>29</v>
      </c>
      <c r="H16" s="29">
        <v>5.5</v>
      </c>
      <c r="I16" s="25"/>
      <c r="J16" s="22"/>
      <c r="K16" s="30">
        <v>7006296</v>
      </c>
      <c r="L16" s="30">
        <v>5000000</v>
      </c>
      <c r="M16" s="34">
        <v>8251693</v>
      </c>
      <c r="N16" s="14">
        <v>11405218</v>
      </c>
      <c r="O16" s="32">
        <v>8450000</v>
      </c>
      <c r="P16" s="32">
        <v>6000000</v>
      </c>
      <c r="Q16" s="32">
        <v>9407124</v>
      </c>
      <c r="R16" s="33">
        <f t="shared" si="0"/>
        <v>7931475.8571428573</v>
      </c>
      <c r="S16" s="33">
        <f t="shared" si="5"/>
        <v>2152360.5521103595</v>
      </c>
      <c r="T16" s="33">
        <f t="shared" si="1"/>
        <v>5779115.3050324973</v>
      </c>
      <c r="U16" s="33">
        <f t="shared" si="2"/>
        <v>10083836.409253217</v>
      </c>
      <c r="V16" s="33">
        <f t="shared" si="3"/>
        <v>7823022.5999999996</v>
      </c>
      <c r="X16" s="33">
        <f t="shared" si="4"/>
        <v>7823022.5999999996</v>
      </c>
    </row>
    <row r="17" spans="1:24" s="17" customFormat="1" ht="23.1" customHeight="1" x14ac:dyDescent="0.2">
      <c r="A17" s="22"/>
      <c r="D17" s="25"/>
      <c r="E17" s="25"/>
      <c r="F17" s="25"/>
      <c r="G17" s="25"/>
      <c r="H17" s="25"/>
      <c r="I17" s="25"/>
      <c r="J17" s="22"/>
      <c r="K17" s="16">
        <f>(K7*$F$7)+(K13*$F$13)+(K14*$F$14)+(K15*$F$15)+(K16*$F$16)</f>
        <v>200159788</v>
      </c>
      <c r="L17" s="16">
        <f>(L7*$F$7)+(L13*$F$13)+(L14*$F$14)+(L15*$F$15)+(L16*$F$16)</f>
        <v>177500000</v>
      </c>
      <c r="M17" s="16">
        <f>(M7*$F$7)+(M13*$F$13)+(M14*$F$14)+(M15*$F$15)+(M16*$F$16)</f>
        <v>246869050</v>
      </c>
      <c r="N17" s="16">
        <f t="shared" ref="N17:P17" si="6">(N7*$F$7)+(N13*$F$13)+(N14*$F$14)+(N15*$F$15)+(N16*$F$16)</f>
        <v>290797132</v>
      </c>
      <c r="O17" s="16">
        <f t="shared" si="6"/>
        <v>268650000</v>
      </c>
      <c r="P17" s="16">
        <f t="shared" si="6"/>
        <v>252918000</v>
      </c>
      <c r="Q17" s="16">
        <f>(Q7*$F$7)+(Q13*$F$13)+(Q14*$F$14)+(Q15*$F$15)+(Q16*$F$16)</f>
        <v>246893812</v>
      </c>
      <c r="R17" s="33">
        <f t="shared" si="0"/>
        <v>240541111.7142857</v>
      </c>
      <c r="S17" s="33">
        <f t="shared" si="5"/>
        <v>39060203.989510141</v>
      </c>
      <c r="T17" s="33">
        <f t="shared" si="1"/>
        <v>201480907.72477555</v>
      </c>
      <c r="U17" s="33">
        <f t="shared" si="2"/>
        <v>279601315.70379585</v>
      </c>
      <c r="V17" s="33">
        <f t="shared" si="3"/>
        <v>253832715.5</v>
      </c>
      <c r="X17" s="33">
        <f>MIN(R17,V17)</f>
        <v>240541111.7142857</v>
      </c>
    </row>
    <row r="18" spans="1:24" s="18" customFormat="1" ht="23.1" customHeight="1" x14ac:dyDescent="0.2">
      <c r="A18" s="26"/>
      <c r="B18" s="111" t="s">
        <v>54</v>
      </c>
      <c r="C18" s="112"/>
      <c r="D18" s="35"/>
      <c r="E18" s="35"/>
      <c r="F18" s="35"/>
      <c r="G18" s="35"/>
      <c r="H18" s="35"/>
      <c r="I18" s="35"/>
      <c r="J18" s="26"/>
      <c r="K18" s="19">
        <f>(K17*$H$7)</f>
        <v>1100878834</v>
      </c>
      <c r="L18" s="19">
        <f t="shared" ref="L18:Q18" si="7">(L17*$H$7)</f>
        <v>976250000</v>
      </c>
      <c r="M18" s="19">
        <f t="shared" si="7"/>
        <v>1357779775</v>
      </c>
      <c r="N18" s="19">
        <f t="shared" si="7"/>
        <v>1599384226</v>
      </c>
      <c r="O18" s="19">
        <f t="shared" si="7"/>
        <v>1477575000</v>
      </c>
      <c r="P18" s="19">
        <f t="shared" si="7"/>
        <v>1391049000</v>
      </c>
      <c r="Q18" s="19">
        <f t="shared" si="7"/>
        <v>1357915966</v>
      </c>
      <c r="R18" s="36">
        <f t="shared" si="0"/>
        <v>1322976114.4285715</v>
      </c>
      <c r="S18" s="36">
        <f t="shared" si="5"/>
        <v>214831121.94230512</v>
      </c>
      <c r="T18" s="36">
        <f t="shared" si="1"/>
        <v>1108144992.4862664</v>
      </c>
      <c r="U18" s="36">
        <f t="shared" si="2"/>
        <v>1537807236.3708766</v>
      </c>
      <c r="V18" s="36">
        <f t="shared" si="3"/>
        <v>1396079935.25</v>
      </c>
      <c r="X18" s="36">
        <f>MIN(R18,V18)</f>
        <v>1322976114.4285715</v>
      </c>
    </row>
    <row r="19" spans="1:24" s="17" customFormat="1" ht="23.1" customHeight="1" x14ac:dyDescent="0.2">
      <c r="A19" s="22"/>
      <c r="B19" s="113" t="s">
        <v>67</v>
      </c>
      <c r="C19" s="114"/>
      <c r="D19" s="25"/>
      <c r="E19" s="25"/>
      <c r="F19" s="25"/>
      <c r="G19" s="25"/>
      <c r="H19" s="37">
        <v>0.19</v>
      </c>
      <c r="I19" s="25"/>
      <c r="J19" s="22"/>
      <c r="K19" s="16">
        <f>K18*$H$19</f>
        <v>209166978.46000001</v>
      </c>
      <c r="L19" s="16">
        <f t="shared" ref="L19:Q19" si="8">L18*$H$19</f>
        <v>185487500</v>
      </c>
      <c r="M19" s="16">
        <f t="shared" si="8"/>
        <v>257978157.25</v>
      </c>
      <c r="N19" s="16">
        <f t="shared" si="8"/>
        <v>303883002.94</v>
      </c>
      <c r="O19" s="16">
        <f t="shared" si="8"/>
        <v>280739250</v>
      </c>
      <c r="P19" s="16">
        <f t="shared" si="8"/>
        <v>264299310</v>
      </c>
      <c r="Q19" s="16">
        <f t="shared" si="8"/>
        <v>258004033.53999999</v>
      </c>
      <c r="R19" s="38"/>
    </row>
    <row r="20" spans="1:24" s="17" customFormat="1" ht="23.1" customHeight="1" x14ac:dyDescent="0.2">
      <c r="A20" s="22"/>
      <c r="B20" s="111" t="s">
        <v>38</v>
      </c>
      <c r="C20" s="112"/>
      <c r="D20" s="25"/>
      <c r="E20" s="25"/>
      <c r="F20" s="25"/>
      <c r="G20" s="25"/>
      <c r="H20" s="25"/>
      <c r="I20" s="25"/>
      <c r="J20" s="22"/>
      <c r="K20" s="16">
        <f>K18+K19</f>
        <v>1310045812.46</v>
      </c>
      <c r="L20" s="16">
        <f t="shared" ref="L20:Q20" si="9">L18+L19</f>
        <v>1161737500</v>
      </c>
      <c r="M20" s="16">
        <f t="shared" si="9"/>
        <v>1615757932.25</v>
      </c>
      <c r="N20" s="19">
        <f t="shared" si="9"/>
        <v>1903267228.9400001</v>
      </c>
      <c r="O20" s="16">
        <f t="shared" si="9"/>
        <v>1758314250</v>
      </c>
      <c r="P20" s="16">
        <f t="shared" si="9"/>
        <v>1655348310</v>
      </c>
      <c r="Q20" s="16">
        <f t="shared" si="9"/>
        <v>1615919999.54</v>
      </c>
      <c r="R20" s="38"/>
    </row>
    <row r="21" spans="1:24" x14ac:dyDescent="0.25">
      <c r="M21" s="9"/>
      <c r="N21" s="10"/>
    </row>
    <row r="22" spans="1:24" x14ac:dyDescent="0.25">
      <c r="P22" s="3"/>
    </row>
    <row r="23" spans="1:24" x14ac:dyDescent="0.25">
      <c r="N23" s="11"/>
      <c r="P23" s="10"/>
    </row>
  </sheetData>
  <mergeCells count="28">
    <mergeCell ref="B20:C20"/>
    <mergeCell ref="B19:C19"/>
    <mergeCell ref="B18:C18"/>
    <mergeCell ref="B3:J3"/>
    <mergeCell ref="B1:J1"/>
    <mergeCell ref="B15:B16"/>
    <mergeCell ref="A7:A12"/>
    <mergeCell ref="A13:A14"/>
    <mergeCell ref="A15:A16"/>
    <mergeCell ref="C7:C12"/>
    <mergeCell ref="K7:K12"/>
    <mergeCell ref="D7:D12"/>
    <mergeCell ref="E7:E12"/>
    <mergeCell ref="F7:F12"/>
    <mergeCell ref="G7:G12"/>
    <mergeCell ref="H7:H12"/>
    <mergeCell ref="T7:T12"/>
    <mergeCell ref="U7:U12"/>
    <mergeCell ref="V7:V12"/>
    <mergeCell ref="X7:X12"/>
    <mergeCell ref="L7:L12"/>
    <mergeCell ref="M7:M12"/>
    <mergeCell ref="N7:N12"/>
    <mergeCell ref="R7:R12"/>
    <mergeCell ref="S7:S12"/>
    <mergeCell ref="O7:O12"/>
    <mergeCell ref="P7:P12"/>
    <mergeCell ref="Q7:Q12"/>
  </mergeCells>
  <pageMargins left="0.7" right="0.7" top="0.75" bottom="0.75" header="0.3" footer="0.3"/>
  <pageSetup paperSize="9" scale="3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SIGNADOGASEGE xmlns="3d15e45a-3674-4d1f-b15f-76e66471996d">
      <UserInfo>
        <DisplayName/>
        <AccountId xsi:nil="true"/>
        <AccountType/>
      </UserInfo>
    </ASIGNADOGASEGE>
    <ESTADO xmlns="3d15e45a-3674-4d1f-b15f-76e66471996d" xsi:nil="true"/>
    <ASIGNADOGTC xmlns="3d15e45a-3674-4d1f-b15f-76e66471996d">
      <UserInfo>
        <DisplayName/>
        <AccountId xsi:nil="true"/>
        <AccountType/>
      </UserInfo>
    </ASIGNADOGTC>
    <FECHA_x0020_DE_x0020_ASIGNACION xmlns="3d15e45a-3674-4d1f-b15f-76e66471996d" xsi:nil="true"/>
    <COMENTARIOS xmlns="3d15e45a-3674-4d1f-b15f-76e66471996d" xsi:nil="true"/>
    <lcf76f155ced4ddcb4097134ff3c332f xmlns="3d15e45a-3674-4d1f-b15f-76e66471996d">
      <Terms xmlns="http://schemas.microsoft.com/office/infopath/2007/PartnerControls"/>
    </lcf76f155ced4ddcb4097134ff3c332f>
    <FECHA_x0020_REVISION_x0020__x0028_DF_x0029_ xmlns="3d15e45a-3674-4d1f-b15f-76e66471996d" xsi:nil="true"/>
    <ASIGNADO_x0020_DF xmlns="3d15e45a-3674-4d1f-b15f-76e66471996d">
      <UserInfo>
        <DisplayName/>
        <AccountId xsi:nil="true"/>
        <AccountType/>
      </UserInfo>
    </ASIGNADO_x0020_DF>
    <_x0028_GTC_x0029_FECHADEASIGNACI_x00d3_N xmlns="3d15e45a-3674-4d1f-b15f-76e66471996d" xsi:nil="true"/>
    <FECHADEREVISION xmlns="3d15e45a-3674-4d1f-b15f-76e66471996d" xsi:nil="true"/>
    <_x0028_GTC_x0029_FECHADEREVISI_x00d3_N xmlns="3d15e45a-3674-4d1f-b15f-76e66471996d" xsi:nil="true"/>
    <FECHA_x0020_ASIGNACION_x0020__x0028_DF_x0029_ xmlns="3d15e45a-3674-4d1f-b15f-76e66471996d" xsi:nil="true"/>
    <COMENTARIOS_x0020__x0028_DF_x0029_ xmlns="3d15e45a-3674-4d1f-b15f-76e66471996d" xsi:nil="true"/>
    <_x0028_GTC_x0029_ESTADO xmlns="3d15e45a-3674-4d1f-b15f-76e66471996d" xsi:nil="true"/>
    <_x0028_GTC_x0029_COMENTARIOS xmlns="3d15e45a-3674-4d1f-b15f-76e66471996d" xsi:nil="true"/>
    <EstadoAprobacion xmlns="3d15e45a-3674-4d1f-b15f-76e66471996d" xsi:nil="true"/>
    <Direcci_x00f3_n xmlns="3d15e45a-3674-4d1f-b15f-76e66471996d" xsi:nil="true"/>
    <GrupodeTrabajo xmlns="3d15e45a-3674-4d1f-b15f-76e6647199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BA738AEF0277647A657E3C3E7450CEF" ma:contentTypeVersion="54" ma:contentTypeDescription="Crear nuevo documento." ma:contentTypeScope="" ma:versionID="55f9daa5d8e0107350df15fd761d9a87">
  <xsd:schema xmlns:xsd="http://www.w3.org/2001/XMLSchema" xmlns:xs="http://www.w3.org/2001/XMLSchema" xmlns:p="http://schemas.microsoft.com/office/2006/metadata/properties" xmlns:ns2="3d15e45a-3674-4d1f-b15f-76e66471996d" targetNamespace="http://schemas.microsoft.com/office/2006/metadata/properties" ma:root="true" ma:fieldsID="3cabeeecbb9ff70298e1dd3fc701d783" ns2:_="">
    <xsd:import namespace="3d15e45a-3674-4d1f-b15f-76e6647199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ASIGNADOGASEGE" minOccurs="0"/>
                <xsd:element ref="ns2:FECHA_x0020_DE_x0020_ASIGNACION" minOccurs="0"/>
                <xsd:element ref="ns2:ESTADO" minOccurs="0"/>
                <xsd:element ref="ns2:FECHADEREVISION" minOccurs="0"/>
                <xsd:element ref="ns2:COMENTARIOS" minOccurs="0"/>
                <xsd:element ref="ns2:ASIGNADOGTC" minOccurs="0"/>
                <xsd:element ref="ns2:_x0028_GTC_x0029_ESTADO" minOccurs="0"/>
                <xsd:element ref="ns2:_x0028_GTC_x0029_FECHADEASIGNACI_x00d3_N" minOccurs="0"/>
                <xsd:element ref="ns2:_x0028_GTC_x0029_FECHADEREVISI_x00d3_N" minOccurs="0"/>
                <xsd:element ref="ns2:_x0028_GTC_x0029_COMENTARIO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SIGNADO_x0020_DF" minOccurs="0"/>
                <xsd:element ref="ns2:FECHA_x0020_ASIGNACION_x0020__x0028_DF_x0029_" minOccurs="0"/>
                <xsd:element ref="ns2:FECHA_x0020_REVISION_x0020__x0028_DF_x0029_" minOccurs="0"/>
                <xsd:element ref="ns2:COMENTARIOS_x0020__x0028_DF_x0029_" minOccurs="0"/>
                <xsd:element ref="ns2:EstadoAprobacion" minOccurs="0"/>
                <xsd:element ref="ns2:Direcci_x00f3_n" minOccurs="0"/>
                <xsd:element ref="ns2:GrupodeTrabaj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15e45a-3674-4d1f-b15f-76e664719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ASIGNADOGASEGE" ma:index="12" nillable="true" ma:displayName="ASIGNADO GA SEGE" ma:format="Dropdown" ma:list="UserInfo" ma:SharePointGroup="0" ma:internalName="ASIGNADOGASEG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DE_x0020_ASIGNACION" ma:index="13" nillable="true" ma:displayName="FECHA DE ASIGNACIÓN (GA SEGE)" ma:format="DateOnly" ma:internalName="FECHA_x0020_DE_x0020_ASIGNACION">
      <xsd:simpleType>
        <xsd:restriction base="dms:DateTime"/>
      </xsd:simpleType>
    </xsd:element>
    <xsd:element name="ESTADO" ma:index="14" nillable="true" ma:displayName="ESTADO (GA SEGE)" ma:format="Dropdown" ma:internalName="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FECHADEREVISION" ma:index="15" nillable="true" ma:displayName="FECHA DE REVISION (GA SEGE)" ma:format="DateOnly" ma:internalName="FECHADEREVISION">
      <xsd:simpleType>
        <xsd:restriction base="dms:DateTime"/>
      </xsd:simpleType>
    </xsd:element>
    <xsd:element name="COMENTARIOS" ma:index="16" nillable="true" ma:displayName="COMENTARIOS (GA SEGE)" ma:format="Dropdown" ma:internalName="COMENTARIOS">
      <xsd:simpleType>
        <xsd:restriction base="dms:Note">
          <xsd:maxLength value="255"/>
        </xsd:restriction>
      </xsd:simpleType>
    </xsd:element>
    <xsd:element name="ASIGNADOGTC" ma:index="17" nillable="true" ma:displayName="ASIGNADO GTC" ma:format="Dropdown" ma:list="UserInfo" ma:SharePointGroup="0" ma:internalName="ASIGNADOGTC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0028_GTC_x0029_ESTADO" ma:index="18" nillable="true" ma:displayName="ESTADO (GTC)" ma:format="Dropdown" ma:internalName="_x0028_GTC_x0029_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_x0028_GTC_x0029_FECHADEASIGNACI_x00d3_N" ma:index="19" nillable="true" ma:displayName="FECHA DE ASIGNACIÓN (GTC)" ma:format="DateOnly" ma:internalName="_x0028_GTC_x0029_FECHADEASIGNACI_x00d3_N">
      <xsd:simpleType>
        <xsd:restriction base="dms:DateTime"/>
      </xsd:simpleType>
    </xsd:element>
    <xsd:element name="_x0028_GTC_x0029_FECHADEREVISI_x00d3_N" ma:index="20" nillable="true" ma:displayName="FECHA DE REVISIÓN (GTC)" ma:format="DateOnly" ma:internalName="_x0028_GTC_x0029_FECHADEREVISI_x00d3_N">
      <xsd:simpleType>
        <xsd:restriction base="dms:DateTime"/>
      </xsd:simpleType>
    </xsd:element>
    <xsd:element name="_x0028_GTC_x0029_COMENTARIOS" ma:index="21" nillable="true" ma:displayName="COMENTARIOS (GTC)" ma:format="Dropdown" ma:internalName="_x0028_GTC_x0029_COMENTARIOS">
      <xsd:simpleType>
        <xsd:restriction base="dms:Text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33d804f7-ca46-4700-9da3-18b907134a7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ASIGNADO_x0020_DF" ma:index="28" nillable="true" ma:displayName="ASIGNADO DF" ma:list="UserInfo" ma:SearchPeopleOnly="false" ma:SharePointGroup="0" ma:internalName="ASIGNADO_x0020_DF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ASIGNACION_x0020__x0028_DF_x0029_" ma:index="29" nillable="true" ma:displayName="FECHA ASIGNACION (DF)" ma:format="DateOnly" ma:internalName="FECHA_x0020_ASIGNACION_x0020__x0028_DF_x0029_">
      <xsd:simpleType>
        <xsd:restriction base="dms:DateTime"/>
      </xsd:simpleType>
    </xsd:element>
    <xsd:element name="FECHA_x0020_REVISION_x0020__x0028_DF_x0029_" ma:index="30" nillable="true" ma:displayName="FECHA REVISION (DF)" ma:format="DateOnly" ma:internalName="FECHA_x0020_REVISION_x0020__x0028_DF_x0029_">
      <xsd:simpleType>
        <xsd:restriction base="dms:DateTime"/>
      </xsd:simpleType>
    </xsd:element>
    <xsd:element name="COMENTARIOS_x0020__x0028_DF_x0029_" ma:index="31" nillable="true" ma:displayName="COMENTARIOS (DF)" ma:internalName="COMENTARIOS_x0020__x0028_DF_x0029_">
      <xsd:simpleType>
        <xsd:restriction base="dms:Note">
          <xsd:maxLength value="255"/>
        </xsd:restriction>
      </xsd:simpleType>
    </xsd:element>
    <xsd:element name="EstadoAprobacion" ma:index="32" nillable="true" ma:displayName="Estado Aprobacion" ma:format="Dropdown" ma:internalName="EstadoAprobacion">
      <xsd:simpleType>
        <xsd:restriction base="dms:Text">
          <xsd:maxLength value="255"/>
        </xsd:restriction>
      </xsd:simpleType>
    </xsd:element>
    <xsd:element name="Direcci_x00f3_n" ma:index="33" nillable="true" ma:displayName="Dirección" ma:format="Dropdown" ma:internalName="Direcci_x00f3_n">
      <xsd:simpleType>
        <xsd:restriction base="dms:Text">
          <xsd:maxLength value="255"/>
        </xsd:restriction>
      </xsd:simpleType>
    </xsd:element>
    <xsd:element name="GrupodeTrabajo" ma:index="34" nillable="true" ma:displayName="Grupo de Trabajo" ma:format="Dropdown" ma:internalName="GrupodeTrabajo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D27954-72C0-4AC4-B08D-5A0E1A0AB913}">
  <ds:schemaRefs>
    <ds:schemaRef ds:uri="http://schemas.microsoft.com/office/2006/metadata/properties"/>
    <ds:schemaRef ds:uri="http://schemas.microsoft.com/office/infopath/2007/PartnerControls"/>
    <ds:schemaRef ds:uri="3d15e45a-3674-4d1f-b15f-76e66471996d"/>
  </ds:schemaRefs>
</ds:datastoreItem>
</file>

<file path=customXml/itemProps2.xml><?xml version="1.0" encoding="utf-8"?>
<ds:datastoreItem xmlns:ds="http://schemas.openxmlformats.org/officeDocument/2006/customXml" ds:itemID="{D4C41CC3-B381-44D4-9CC3-8B74ABCD3A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D943E4-BD4B-4ADC-AB47-07023E0755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15e45a-3674-4d1f-b15f-76e6647199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Estudio de Mercado Servicio 5</vt:lpstr>
      <vt:lpstr>Estudio de Mercado Servicio 4,5</vt:lpstr>
      <vt:lpstr>Estudio de Mercado Servicio 4 M</vt:lpstr>
      <vt:lpstr>Estudio de Mercado Servicio  RV</vt:lpstr>
      <vt:lpstr>Estudio de Mercado Servicios</vt:lpstr>
      <vt:lpstr>'Estudio de Mercado Servicio  RV'!Área_de_impresión</vt:lpstr>
      <vt:lpstr>'Estudio de Mercado Servicio 4 M'!Área_de_impresión</vt:lpstr>
      <vt:lpstr>'Estudio de Mercado Servicio 4,5'!Área_de_impresión</vt:lpstr>
      <vt:lpstr>'Estudio de Mercado Servicio 5'!Área_de_impresión</vt:lpstr>
      <vt:lpstr>'Estudio de Mercado Servicios'!Área_de_impresión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Pino Rojas</dc:creator>
  <cp:keywords/>
  <dc:description/>
  <cp:lastModifiedBy>Lina Maria Jimenez Caro</cp:lastModifiedBy>
  <cp:revision/>
  <dcterms:created xsi:type="dcterms:W3CDTF">2025-09-08T18:47:18Z</dcterms:created>
  <dcterms:modified xsi:type="dcterms:W3CDTF">2026-07-10T17:07:38Z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0x0101008BA738AEF0277647A657E3C3E7450CEF</vt:lpwstr>
  </property>
  <property fmtid="{D5CDD505-2E9C-101B-9397-08002B2CF9AE}" pid="3" name="MediaServiceImageTags">
    <vt:lpwstr/>
  </property>
</Properties>
</file>