
<file path=[Content_Types].xml><?xml version="1.0" encoding="utf-8"?>
<Types xmlns="http://schemas.openxmlformats.org/package/2006/content-types">
  <Default Extension="jpeg" ContentType="image/jpeg"/>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7"/>
  <workbookPr/>
  <mc:AlternateContent xmlns:mc="http://schemas.openxmlformats.org/markup-compatibility/2006">
    <mc:Choice Requires="x15">
      <x15ac:absPath xmlns:x15ac="http://schemas.microsoft.com/office/spreadsheetml/2010/11/ac" url="C:\Users\calfarob\Documents\2026\01 PROCESOS\03 MC - MÍNIMA CUANTÍA\08 SALAS NEUROSENSORIALES\03SecopII\"/>
    </mc:Choice>
  </mc:AlternateContent>
  <xr:revisionPtr revIDLastSave="0" documentId="13_ncr:1_{B32CF44B-0DC1-4B87-8E18-FCA927823475}" xr6:coauthVersionLast="47" xr6:coauthVersionMax="47" xr10:uidLastSave="{00000000-0000-0000-0000-000000000000}"/>
  <bookViews>
    <workbookView xWindow="-120" yWindow="-120" windowWidth="29040" windowHeight="15720" tabRatio="500" firstSheet="3" activeTab="3" xr2:uid="{00000000-000D-0000-FFFF-FFFF00000000}"/>
  </bookViews>
  <sheets>
    <sheet name="1. Hallazgos Clave" sheetId="1" state="hidden" r:id="rId1"/>
    <sheet name="Hoja1" sheetId="6" state="hidden" r:id="rId2"/>
    <sheet name="2. Proveedores" sheetId="2" state="hidden" r:id="rId3"/>
    <sheet name="Matriz por Ítem" sheetId="3" r:id="rId4"/>
    <sheet name="4. Resumen por Categoría" sheetId="4" state="hidden" r:id="rId5"/>
    <sheet name="5. Síntesis Presupuesto" sheetId="5" state="hidden" r:id="rId6"/>
  </sheets>
  <definedNames>
    <definedName name="_xlnm.Print_Titles" localSheetId="3">'Matriz por Ítem'!$1:$5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H14" i="4" l="1"/>
  <c r="H13" i="4"/>
  <c r="S11" i="3"/>
  <c r="S40" i="3"/>
  <c r="K40" i="3"/>
  <c r="I40" i="3"/>
  <c r="G40" i="3"/>
  <c r="S16" i="3"/>
  <c r="S19" i="3"/>
  <c r="K11" i="3"/>
  <c r="G11" i="3"/>
  <c r="L7" i="3"/>
  <c r="R7" i="3"/>
  <c r="S7" i="3"/>
  <c r="R10" i="3"/>
  <c r="R9" i="3"/>
  <c r="R8" i="3"/>
  <c r="S10" i="3"/>
  <c r="S9" i="3"/>
  <c r="S8" i="3"/>
  <c r="I11" i="3"/>
  <c r="L28" i="3"/>
  <c r="R28" i="3" s="1"/>
  <c r="S28" i="3" s="1"/>
  <c r="S29" i="3" s="1"/>
  <c r="G11" i="4"/>
  <c r="G10" i="4"/>
  <c r="G9" i="4"/>
  <c r="G8" i="4"/>
  <c r="G7" i="4"/>
  <c r="G6" i="4"/>
  <c r="F11" i="4"/>
  <c r="F10" i="4"/>
  <c r="F9" i="4"/>
  <c r="F8" i="4"/>
  <c r="F7" i="4"/>
  <c r="F6" i="4"/>
  <c r="S32" i="3"/>
  <c r="S25" i="3"/>
  <c r="L8" i="3"/>
  <c r="P37" i="3"/>
  <c r="P34" i="3"/>
  <c r="P31" i="3"/>
  <c r="P28" i="3"/>
  <c r="P27" i="3"/>
  <c r="P24" i="3"/>
  <c r="P23" i="3"/>
  <c r="P22" i="3"/>
  <c r="P21" i="3"/>
  <c r="P18" i="3"/>
  <c r="P17" i="3"/>
  <c r="Q17" i="3" s="1"/>
  <c r="P16" i="3"/>
  <c r="P15" i="3"/>
  <c r="P14" i="3"/>
  <c r="P13" i="3"/>
  <c r="P8" i="3"/>
  <c r="P9" i="3"/>
  <c r="P10" i="3"/>
  <c r="P7" i="3"/>
  <c r="O37" i="3"/>
  <c r="O34" i="3"/>
  <c r="O31" i="3"/>
  <c r="O28" i="3"/>
  <c r="O27" i="3"/>
  <c r="O24" i="3"/>
  <c r="O23" i="3"/>
  <c r="O22" i="3"/>
  <c r="O21" i="3"/>
  <c r="O18" i="3"/>
  <c r="O17" i="3"/>
  <c r="O16" i="3"/>
  <c r="O15" i="3"/>
  <c r="O14" i="3"/>
  <c r="O13" i="3"/>
  <c r="O8" i="3"/>
  <c r="O9" i="3"/>
  <c r="O10" i="3"/>
  <c r="O7" i="3"/>
  <c r="N37" i="3"/>
  <c r="N34" i="3"/>
  <c r="N31" i="3"/>
  <c r="N28" i="3"/>
  <c r="N27" i="3"/>
  <c r="N24" i="3"/>
  <c r="N23" i="3"/>
  <c r="N22" i="3"/>
  <c r="N21" i="3"/>
  <c r="N18" i="3"/>
  <c r="N17" i="3"/>
  <c r="N16" i="3"/>
  <c r="N15" i="3"/>
  <c r="N14" i="3"/>
  <c r="N13" i="3"/>
  <c r="N8" i="3"/>
  <c r="N9" i="3"/>
  <c r="N10" i="3"/>
  <c r="N7" i="3"/>
  <c r="M37" i="3"/>
  <c r="M34" i="3"/>
  <c r="M31" i="3"/>
  <c r="M28" i="3"/>
  <c r="M27" i="3"/>
  <c r="M22" i="3"/>
  <c r="M23" i="3"/>
  <c r="M24" i="3"/>
  <c r="M25" i="3"/>
  <c r="M21" i="3"/>
  <c r="M14" i="3"/>
  <c r="M15" i="3"/>
  <c r="M16" i="3"/>
  <c r="M17" i="3"/>
  <c r="M18" i="3"/>
  <c r="M13" i="3"/>
  <c r="M8" i="3"/>
  <c r="M9" i="3"/>
  <c r="M10" i="3"/>
  <c r="M7" i="3"/>
  <c r="L37" i="3"/>
  <c r="L34" i="3"/>
  <c r="L31" i="3"/>
  <c r="R31" i="3" s="1"/>
  <c r="S31" i="3" s="1"/>
  <c r="L27" i="3"/>
  <c r="L22" i="3"/>
  <c r="L23" i="3"/>
  <c r="R23" i="3" s="1"/>
  <c r="S23" i="3" s="1"/>
  <c r="L24" i="3"/>
  <c r="L21" i="3"/>
  <c r="R21" i="3" s="1"/>
  <c r="S21" i="3" s="1"/>
  <c r="L14" i="3"/>
  <c r="L15" i="3"/>
  <c r="L16" i="3"/>
  <c r="L17" i="3"/>
  <c r="L18" i="3"/>
  <c r="Q18" i="3" s="1"/>
  <c r="L13" i="3"/>
  <c r="L9" i="3"/>
  <c r="L10" i="3"/>
  <c r="G38" i="3"/>
  <c r="C11" i="4" s="1"/>
  <c r="R27" i="3"/>
  <c r="S27" i="3" s="1"/>
  <c r="R15" i="3"/>
  <c r="S15" i="3" s="1"/>
  <c r="R14" i="3"/>
  <c r="S14" i="3" s="1"/>
  <c r="R13" i="3"/>
  <c r="S13" i="3" s="1"/>
  <c r="G37" i="3"/>
  <c r="G34" i="3"/>
  <c r="G35" i="3" s="1"/>
  <c r="C10" i="4" s="1"/>
  <c r="G31" i="3"/>
  <c r="G32" i="3" s="1"/>
  <c r="C9" i="4" s="1"/>
  <c r="G28" i="3"/>
  <c r="G27" i="3"/>
  <c r="G29" i="3" s="1"/>
  <c r="C8" i="4" s="1"/>
  <c r="G24" i="3"/>
  <c r="G23" i="3"/>
  <c r="G22" i="3"/>
  <c r="G25" i="3" s="1"/>
  <c r="C7" i="4" s="1"/>
  <c r="G21" i="3"/>
  <c r="G18" i="3"/>
  <c r="G17" i="3"/>
  <c r="G16" i="3"/>
  <c r="G15" i="3"/>
  <c r="G14" i="3"/>
  <c r="G13" i="3"/>
  <c r="G19" i="3" s="1"/>
  <c r="C6" i="4" s="1"/>
  <c r="G8" i="3"/>
  <c r="G9" i="3"/>
  <c r="G10" i="3"/>
  <c r="G7" i="3"/>
  <c r="C5" i="4" s="1"/>
  <c r="C13" i="4" s="1"/>
  <c r="I7" i="3"/>
  <c r="K37" i="3"/>
  <c r="K38" i="3" s="1"/>
  <c r="E11" i="4" s="1"/>
  <c r="I37" i="3"/>
  <c r="I38" i="3" s="1"/>
  <c r="D11" i="4" s="1"/>
  <c r="R34" i="3"/>
  <c r="S34" i="3" s="1"/>
  <c r="S35" i="3" s="1"/>
  <c r="H10" i="4" s="1"/>
  <c r="K34" i="3"/>
  <c r="K35" i="3" s="1"/>
  <c r="E10" i="4" s="1"/>
  <c r="I34" i="3"/>
  <c r="I35" i="3" s="1"/>
  <c r="D10" i="4" s="1"/>
  <c r="K31" i="3"/>
  <c r="K32" i="3" s="1"/>
  <c r="E9" i="4" s="1"/>
  <c r="I31" i="3"/>
  <c r="I32" i="3" s="1"/>
  <c r="D9" i="4" s="1"/>
  <c r="K28" i="3"/>
  <c r="I28" i="3"/>
  <c r="K27" i="3"/>
  <c r="I27" i="3"/>
  <c r="K24" i="3"/>
  <c r="I24" i="3"/>
  <c r="K23" i="3"/>
  <c r="I23" i="3"/>
  <c r="K22" i="3"/>
  <c r="I22" i="3"/>
  <c r="K21" i="3"/>
  <c r="I21" i="3"/>
  <c r="K18" i="3"/>
  <c r="I18" i="3"/>
  <c r="R17" i="3"/>
  <c r="S17" i="3" s="1"/>
  <c r="K17" i="3"/>
  <c r="I17" i="3"/>
  <c r="K16" i="3"/>
  <c r="I16" i="3"/>
  <c r="Q15" i="3"/>
  <c r="K15" i="3"/>
  <c r="I15" i="3"/>
  <c r="K14" i="3"/>
  <c r="I14" i="3"/>
  <c r="K13" i="3"/>
  <c r="I13" i="3"/>
  <c r="K10" i="3"/>
  <c r="I10" i="3"/>
  <c r="K9" i="3"/>
  <c r="I9" i="3"/>
  <c r="K8" i="3"/>
  <c r="I8" i="3"/>
  <c r="K7" i="3"/>
  <c r="S41" i="3" l="1"/>
  <c r="S42" i="3" s="1"/>
  <c r="H9" i="4"/>
  <c r="H8" i="4"/>
  <c r="Q23" i="3"/>
  <c r="B6" i="5"/>
  <c r="C14" i="4"/>
  <c r="C15" i="4" s="1"/>
  <c r="Q27" i="3"/>
  <c r="I19" i="3"/>
  <c r="D6" i="4" s="1"/>
  <c r="K25" i="3"/>
  <c r="E7" i="4" s="1"/>
  <c r="Q31" i="3"/>
  <c r="Q13" i="3"/>
  <c r="Q7" i="3"/>
  <c r="Q22" i="3"/>
  <c r="I29" i="3"/>
  <c r="D8" i="4" s="1"/>
  <c r="D5" i="4"/>
  <c r="Q9" i="3"/>
  <c r="Q16" i="3"/>
  <c r="Q21" i="3"/>
  <c r="Q24" i="3"/>
  <c r="K29" i="3"/>
  <c r="E8" i="4" s="1"/>
  <c r="Q37" i="3"/>
  <c r="K19" i="3"/>
  <c r="E6" i="4" s="1"/>
  <c r="K41" i="3"/>
  <c r="I25" i="3"/>
  <c r="D7" i="4" s="1"/>
  <c r="Q34" i="3"/>
  <c r="R37" i="3"/>
  <c r="S37" i="3" s="1"/>
  <c r="S38" i="3" s="1"/>
  <c r="H11" i="4" s="1"/>
  <c r="R18" i="3"/>
  <c r="S18" i="3" s="1"/>
  <c r="R24" i="3"/>
  <c r="S24" i="3" s="1"/>
  <c r="R16" i="3"/>
  <c r="R22" i="3"/>
  <c r="S22" i="3" s="1"/>
  <c r="Q10" i="3"/>
  <c r="Q28" i="3"/>
  <c r="Q8" i="3"/>
  <c r="Q14" i="3"/>
  <c r="G41" i="3" l="1"/>
  <c r="G42" i="3" s="1"/>
  <c r="C6" i="5"/>
  <c r="D6" i="5" s="1"/>
  <c r="E5" i="4"/>
  <c r="F5" i="4" s="1"/>
  <c r="H7" i="4"/>
  <c r="H6" i="4"/>
  <c r="I41" i="3"/>
  <c r="K42" i="3"/>
  <c r="D13" i="4"/>
  <c r="H5" i="4"/>
  <c r="G5" i="4" l="1"/>
  <c r="G13" i="4" s="1"/>
  <c r="G14" i="4" s="1"/>
  <c r="G15" i="4" s="1"/>
  <c r="E13" i="4"/>
  <c r="E14" i="4" s="1"/>
  <c r="E15" i="4" s="1"/>
  <c r="F13" i="4"/>
  <c r="F14" i="4" s="1"/>
  <c r="F15" i="4" s="1"/>
  <c r="B8" i="5"/>
  <c r="C8" i="5" s="1"/>
  <c r="D8" i="5" s="1"/>
  <c r="I42" i="3"/>
  <c r="D14" i="4"/>
  <c r="D15" i="4" s="1"/>
  <c r="B7" i="5"/>
  <c r="D21" i="5" l="1"/>
  <c r="H15" i="4"/>
  <c r="I9" i="4"/>
  <c r="I10" i="4"/>
  <c r="I8" i="4"/>
  <c r="I6" i="4"/>
  <c r="I7" i="4"/>
  <c r="I11" i="4"/>
  <c r="I5" i="4"/>
  <c r="C7" i="5"/>
  <c r="D7" i="5" s="1"/>
  <c r="D15" i="5" l="1"/>
  <c r="D13" i="5"/>
  <c r="D11" i="5"/>
  <c r="D14" i="5"/>
  <c r="D16" i="5"/>
  <c r="D12" i="5"/>
  <c r="D22" i="5"/>
  <c r="D23" i="5" s="1"/>
  <c r="D36" i="5" l="1"/>
  <c r="B30" i="5"/>
  <c r="D37" i="5"/>
  <c r="B28" i="5"/>
  <c r="D38" i="5"/>
  <c r="B29" i="5"/>
  <c r="D17" i="5"/>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2">
    <bk>
      <extLst>
        <ext uri="{3e2802c4-a4d2-4d8b-9148-e3be6c30e623}">
          <xlrd:rvb i="0"/>
        </ext>
      </extLst>
    </bk>
    <bk>
      <extLst>
        <ext uri="{3e2802c4-a4d2-4d8b-9148-e3be6c30e623}">
          <xlrd:rvb i="1"/>
        </ext>
      </extLst>
    </bk>
  </futureMetadata>
  <valueMetadata count="2">
    <bk>
      <rc t="1" v="0"/>
    </bk>
    <bk>
      <rc t="1" v="1"/>
    </bk>
  </valueMetadata>
</metadata>
</file>

<file path=xl/sharedStrings.xml><?xml version="1.0" encoding="utf-8"?>
<sst xmlns="http://schemas.openxmlformats.org/spreadsheetml/2006/main" count="321" uniqueCount="257">
  <si>
    <t>ANÁLISIS COMPARATIVO DE COTIZACIONES — SONDEO DE MERCADO</t>
  </si>
  <si>
    <t>Dos (2) salas multisensoriales — Rama Judicial — Vigencia 2026</t>
  </si>
  <si>
    <t>1. RESULTADOS DEL SONDEO DE MERCADO (RESUMEN EJECUTIVO)</t>
  </si>
  <si>
    <t>Se recibieron tres (3) cotizaciones por SECOP II en respuesta a la solicitud de información de la Unidad de Talento Humano de la Dirección Ejecutiva de Administración Judicial (DEAJ). El presente análisis sustenta la estructuración del presupuesto oficial conforme al numeral 5.2.5 de la Guía para la Elaboración del Estudio de Sector versión 3 (septiembre de 2025) de Colombia Compra Eficiente.</t>
  </si>
  <si>
    <t>2. CIFRAS GLOBALES DE LAS TRES OFERTAS RECIBIDAS</t>
  </si>
  <si>
    <t>#</t>
  </si>
  <si>
    <t>Proveedor</t>
  </si>
  <si>
    <t>Valor antes de IVA</t>
  </si>
  <si>
    <t>IVA (19%)</t>
  </si>
  <si>
    <t>Valor con IVA</t>
  </si>
  <si>
    <t>% sobre tope mínima cuantía</t>
  </si>
  <si>
    <t>Ambiente Consultores SAS</t>
  </si>
  <si>
    <t>Pubblica SAS</t>
  </si>
  <si>
    <t>Logística y Eventos Experiencial S.A.S.</t>
  </si>
  <si>
    <t>PROMEDIO ARITMÉTICO (con IVA)</t>
  </si>
  <si>
    <t>MEDIANA (con IVA)</t>
  </si>
  <si>
    <t>MÍNIMO (con IVA)</t>
  </si>
  <si>
    <t>MÁXIMO (con IVA)</t>
  </si>
  <si>
    <t>DESVIACIÓN ESTÁNDAR</t>
  </si>
  <si>
    <t>COEFICIENTE DE VARIACIÓN</t>
  </si>
  <si>
    <t>3. HALLAZGOS Y ALERTAS DEL SONDEO</t>
  </si>
  <si>
    <t>Hallazgo 1</t>
  </si>
  <si>
    <t>AMBIENTES CONSULTORES . cotizó exactamente el tope de la mínima cuantía ($166.031.180 con IVA. La probabilidad estadística de que un proveedor llegue al peso exacto del tope de manera espontánea es muy baja, lo que sugiere un ajuste deliberado de la oferta hacia el techo legal del proceso. Esta cotización conserva validez para el sondeo, pero su valor agregado al cálculo de promedios y medianas debe interpretarse con prudencia.</t>
  </si>
  <si>
    <t>Hallazgo 2</t>
  </si>
  <si>
    <t>Pubblica SAS es la única oferta por debajo del presupuesto oficial inicial estimado de $160.000.000. Las otras dos ofertas se sitúan entre 3% y 9% por encima. De mantenerse el presupuesto oficial actual, el proceso quedaría con un solo oferente viable en SECOP II, lo cual afecta el principio de pluralidad de oferentes. Se recomienda revisar la suficiencia del presupuesto oficial.</t>
  </si>
  <si>
    <t>Hallazgo 3</t>
  </si>
  <si>
    <t>El valor total de las tres ofertas presenta un coeficiente de variación de aproximadamente 4,6%, lo cual indica que el mercado es homogéneo en su precio global. Sin embargo, al observar el desglose por categoría se identifican dispersiones extremas (por ejemplo, capacitación, instalación y diseño), que reflejan estrategias distintas de cada proveedor para distribuir los costos del proyecto. El análisis estadístico debe privilegiar el valor total y no las comparaciones categoría por categoría.</t>
  </si>
  <si>
    <t>Hallazgo 4</t>
  </si>
  <si>
    <t>Para la estimación del presupuesto oficial conforme al numeral 5.2.5 de la Guía V3 de Colombia Compra Eficiente, se recomienda utilizar la mediana de las tres cotizaciones recibidas como valor de referencia, dado que es menos sensible a valores atípicos que el promedio aritmético. La mediana es de $166.031.180 con IVA. Alternativamente, puede utilizarse el promedio aritmético de $166.976.617 con IVA. Ambos valores se encuentran por encima del presupuesto oficial inicialmente proyectado.</t>
  </si>
  <si>
    <t>4. NOTAS METODOLÓGICAS</t>
  </si>
  <si>
    <t>•</t>
  </si>
  <si>
    <t>Las cotizaciones fueron remitidas por SECOP II en respuesta al sondeo de mercado y se utilizaron sus valores tal como fueron diligenciados por los proveedores en el Formato de Solicitud de Cotización V5 publicado por la entidad.</t>
  </si>
  <si>
    <t>Los valores se presentan en pesos colombianos. La tarifa de IVA aplicada por todos los proveedores fue del 19%.</t>
  </si>
  <si>
    <t>El cálculo del promedio aritmético utiliza la fórmula =PROMEDIO(); la mediana utiliza =MEDIANA(); la desviación estándar utiliza =DESVEST.M(); el coeficiente de variación es Desv. Std / Promedio.</t>
  </si>
  <si>
    <t>El alcance contractual asumido es de DOS (2) salas multisensoriales conforme al Anexo de Especificaciones Técnicas V2.</t>
  </si>
  <si>
    <t>Tope de mínima cuantía 2026: $175.090.500 (100 SMMLV de 2026).</t>
  </si>
  <si>
    <t>Formato : ESTUDIO DE MERCADO O ANALISIS DE COSTOS</t>
  </si>
  <si>
    <r>
      <t xml:space="preserve">Con el fin de establecer el Presupuesto Oficial Estimado para el  presente proceso de selección por la modalidad de mínima cuantía que tiene por objeto: </t>
    </r>
    <r>
      <rPr>
        <i/>
        <sz val="10"/>
        <color theme="1"/>
        <rFont val="Arial"/>
        <family val="2"/>
      </rPr>
      <t>"Adquirir elementos de protección personal para los servidores de la Dirección Seccional de Administración Judicial de Bogotá."</t>
    </r>
    <r>
      <rPr>
        <sz val="10"/>
        <color theme="1"/>
        <rFont val="Arial"/>
        <family val="2"/>
      </rPr>
      <t>,  la Dirección Seccional de Adminsitración Judicial de Bogotá adelantó en el mes de julio el  análisis económico con base en el estudio de mercado efectuado, tal y como se describe a continuación.</t>
    </r>
  </si>
  <si>
    <t xml:space="preserve">INVITACIONES A COTIZAR  / SOPORTES DEL ANALISIS DE COSTOS </t>
  </si>
  <si>
    <r>
      <t>ANEXOS:</t>
    </r>
    <r>
      <rPr>
        <sz val="10"/>
        <color theme="1"/>
        <rFont val="Arial"/>
        <family val="2"/>
      </rPr>
      <t xml:space="preserve"> Hace parte integral del presente estudio de mercado, el formato de cotización, las comunicaciones mediante las cuales se remitió invitación a cotizar a los posibles interesados, así como los demás documentos que fueron tenidos en cuenta para efectuar el análisis económico y la solicitud de información mediante la plataforma Secop II. </t>
    </r>
  </si>
  <si>
    <t>CALCULO DEL VALOR MAXIMO A PAGAR POR LA ENTIDAD</t>
  </si>
  <si>
    <t>Que en virtud de las invitaciones a cotizar remitidas,  la Dirección Seccional de Adminsitración Judicial de Bogotá recibió únicamente una (1) oferta por la empresa Ambiente Consultores SAS</t>
  </si>
  <si>
    <t>Teniendo en cuenta que únicamente se recibió respuesta por parte de una (1) empresa a las invitaciones a cotizar remitidas, la Dirección Seccional de Administración Judicial de Bogotá tomó como base para la elaboración del presente estudio de mercado las siguientes fuentes de información:
i. La cotización presentada por la empresa Ambiente Consultores SAS.
ii. Dos (2) cotizaciones presentadas por las empresas (i) Pubblica SAS y (ii)Logística y Eventos Experiencial S.A.S., ante la Dirección Ejecutiva de Administración Judicial de Bogotá durante la vigencia 2026, considerando que los ítems, cantidades y especificaciones técnicas contenidos en dichas cotizaciones corresponden integralmente a las necesidades que la Dirección Seccional de Administración Judicial de Bogotá pretende satisfacer mediante el presente proceso de contratación.
En consecuencia, las cotizaciones anteriormente relacionadas constituyen un referente válido para el análisis económico del sector y la determinación de los valores de mercado del objeto a contratar, en atención a la similitud de las condiciones técnicas y de las cantidades requeridas.</t>
  </si>
  <si>
    <t>IDENTIFICACIÓN DE LOS PROVEEDORES COTIZANTES</t>
  </si>
  <si>
    <t>Información extraída del Formato de Solicitud de Cotización V5 diligenciado por cada proveedor en SECOP II.</t>
  </si>
  <si>
    <t>Campo</t>
  </si>
  <si>
    <t>PROVEEDOR 1</t>
  </si>
  <si>
    <t>PROVEEDOR 2</t>
  </si>
  <si>
    <t>PROVEEDOR 3</t>
  </si>
  <si>
    <t>Razón social</t>
  </si>
  <si>
    <t>AMBIENTE CONSULTORES SAS</t>
  </si>
  <si>
    <t>PUBBLICA SAS</t>
  </si>
  <si>
    <t>LOGÍSTICA Y EVENTOS EXPERIENCIAL S.A.S.</t>
  </si>
  <si>
    <t>NIT</t>
  </si>
  <si>
    <t>901318925-2</t>
  </si>
  <si>
    <t>800.064.773</t>
  </si>
  <si>
    <t>900.149.418-0</t>
  </si>
  <si>
    <t>Tipo de persona</t>
  </si>
  <si>
    <t xml:space="preserve">Juridica </t>
  </si>
  <si>
    <t>Jurídica</t>
  </si>
  <si>
    <t>Tamaño empresarial</t>
  </si>
  <si>
    <t xml:space="preserve">Mediana </t>
  </si>
  <si>
    <t>Mediana</t>
  </si>
  <si>
    <t>Pequeña</t>
  </si>
  <si>
    <t>Empresa de mujeres (Ley 2069/2020)</t>
  </si>
  <si>
    <t>Si</t>
  </si>
  <si>
    <t>SÍ</t>
  </si>
  <si>
    <t>Ciudad</t>
  </si>
  <si>
    <t xml:space="preserve">Bogota </t>
  </si>
  <si>
    <t>Bogotá D.C.</t>
  </si>
  <si>
    <t>Dirección</t>
  </si>
  <si>
    <t>Calle 93 # 15-59 off 106</t>
  </si>
  <si>
    <t>Calle 97A # 8-10 Of. 304</t>
  </si>
  <si>
    <t>Avenida Boyacá # 48A-60</t>
  </si>
  <si>
    <t>Teléfono</t>
  </si>
  <si>
    <t>3165274370 - 3115142434</t>
  </si>
  <si>
    <t>317 366 2872</t>
  </si>
  <si>
    <t>(601) 6152949 / 301 744 1956</t>
  </si>
  <si>
    <t>Correo electrónico</t>
  </si>
  <si>
    <t>lvera@ambienteconsultores.co</t>
  </si>
  <si>
    <t>licitaciones@pubblica.com.co</t>
  </si>
  <si>
    <t>orbyl.castro@logisticayeventos.com</t>
  </si>
  <si>
    <t>Página web</t>
  </si>
  <si>
    <t xml:space="preserve">https://ambienteconsultores.com.co/	</t>
  </si>
  <si>
    <t>www.pubblica.com.co</t>
  </si>
  <si>
    <t>www.logisticayeventos.com</t>
  </si>
  <si>
    <t>Matrícula mercantil</t>
  </si>
  <si>
    <t xml:space="preserve">03162477 DEL 4 DE SEPTIEMBRE DE 2019	</t>
  </si>
  <si>
    <t>N/A</t>
  </si>
  <si>
    <t>1702024</t>
  </si>
  <si>
    <t>CIIU principal</t>
  </si>
  <si>
    <t xml:space="preserve">"6522 SERVICIOS DE SEGUROS SOCIALES EN RIESGOS
LABORALES. 7490 OTRAS ACTIVIDADES PROFESIONALES, CIENTÍFICAS Y
TÉCNICAS N.C.P.."	</t>
  </si>
  <si>
    <t>7310 — Publicidad / Investigación de mercados</t>
  </si>
  <si>
    <t>7020 — Consultoría de gestión empresarial</t>
  </si>
  <si>
    <t>Años de experiencia</t>
  </si>
  <si>
    <t xml:space="preserve">7 AÑOS	</t>
  </si>
  <si>
    <t>15 años</t>
  </si>
  <si>
    <t>33 años</t>
  </si>
  <si>
    <t>Representante legal</t>
  </si>
  <si>
    <t xml:space="preserve">Diana Caterine </t>
  </si>
  <si>
    <t>Hernán Darío Botero Pineda</t>
  </si>
  <si>
    <t>Adriana Patricia Villalobos Espinel</t>
  </si>
  <si>
    <t>Cédula del rep. legal</t>
  </si>
  <si>
    <t xml:space="preserve">CC 52994032	</t>
  </si>
  <si>
    <t>70.124.245</t>
  </si>
  <si>
    <t>52.195.721</t>
  </si>
  <si>
    <t>Cargo del rep. legal</t>
  </si>
  <si>
    <t xml:space="preserve">GERENTE RIESGOS LABORALES 	</t>
  </si>
  <si>
    <t>Representante Legal</t>
  </si>
  <si>
    <t>Fecha de la cotización</t>
  </si>
  <si>
    <t>11/05/2026</t>
  </si>
  <si>
    <t>Lugar de la cotización</t>
  </si>
  <si>
    <t>Bogotá</t>
  </si>
  <si>
    <t>Bogotá D.C., Colombia</t>
  </si>
  <si>
    <t>MATRIZ COMPARATIVA DETALLADA — VALORES UNITARIOS POR ÍTEM (ANTES DE IVA)</t>
  </si>
  <si>
    <t>Valores tomados de las cotizaciones recibidas por SECOP II. Estadísticos calculados sobre los valores unitarios. El Precio de Referencia sugerido es la mediana, conforme a la recomendación de la Guía V3 de Colombia Compra Eficiente.</t>
  </si>
  <si>
    <t>DESCRIPCIÓN DEL ÍTEM</t>
  </si>
  <si>
    <t>AMBIENTES CONSULTORES</t>
  </si>
  <si>
    <t>LOGÍSTICA Y EVENTOS EXP. SAS</t>
  </si>
  <si>
    <t>ANÁLISIS ESTADÍSTICO DEL SONDEO (UNIT.)</t>
  </si>
  <si>
    <t>PRECIO DE REFERENCIA</t>
  </si>
  <si>
    <t>Observación</t>
  </si>
  <si>
    <t>Cat</t>
  </si>
  <si>
    <t>Ítem</t>
  </si>
  <si>
    <t>Descripción</t>
  </si>
  <si>
    <t>Unid.</t>
  </si>
  <si>
    <t>Cant</t>
  </si>
  <si>
    <t>Valor unit.</t>
  </si>
  <si>
    <t>Valor total</t>
  </si>
  <si>
    <t>Promedio</t>
  </si>
  <si>
    <t>Mínimo</t>
  </si>
  <si>
    <t>Máximo</t>
  </si>
  <si>
    <t>Desv. Std</t>
  </si>
  <si>
    <t>CV %</t>
  </si>
  <si>
    <t>Precio Ref.</t>
  </si>
  <si>
    <t>Total Ref.</t>
  </si>
  <si>
    <t>Observaciones</t>
  </si>
  <si>
    <t>CATEGORÍA A. COMPONENTES DE ESTIMULACIÓN VISUAL Y LUMÍNICA</t>
  </si>
  <si>
    <t>A</t>
  </si>
  <si>
    <t>A.1</t>
  </si>
  <si>
    <t>Tubo de Burbujas Interactivo (≥150cm × 15cm, LED RGB, controlador inalámbrico)</t>
  </si>
  <si>
    <t>Und</t>
  </si>
  <si>
    <t>A.2</t>
  </si>
  <si>
    <t>Mazo de Fibras Ópticas (27-45W, 150-200 hebras, sin látex)</t>
  </si>
  <si>
    <t>A.3</t>
  </si>
  <si>
    <t>Proyector de Imágenes Amplio Espectro (LED, ≥4.000 lúmenes, tiro corto)</t>
  </si>
  <si>
    <t>A.4</t>
  </si>
  <si>
    <t>Gafas de Realidad Virtual (VR Standalone, ≥1832×1920 por ojo)</t>
  </si>
  <si>
    <t>SUBTOTAL CATEGORÍA A</t>
  </si>
  <si>
    <t>CATEGORÍA B. COMPONENTES DE ESTIMULACIÓN AUDITIVA Y VIBRATORIA</t>
  </si>
  <si>
    <t>B</t>
  </si>
  <si>
    <t>B.1</t>
  </si>
  <si>
    <t>Sillón Vibratorio Ergonómico (transductores táctiles, terapia vibroacústica)</t>
  </si>
  <si>
    <t>B.2</t>
  </si>
  <si>
    <t>Cuencos Tibetanos (set de 3, aleación 7 metales, martillados a mano)</t>
  </si>
  <si>
    <t>Set</t>
  </si>
  <si>
    <t>B.3</t>
  </si>
  <si>
    <t>Tablet 10.9" 128GB (uso rudo, software gestión sensorial)</t>
  </si>
  <si>
    <t>B.4</t>
  </si>
  <si>
    <t>Barra de Sonido Dolby Atmos (sistema 2.1, Bluetooth, control decibelios)</t>
  </si>
  <si>
    <t>B.5</t>
  </si>
  <si>
    <t>Fuente de Cascada Interior (circuito cerrado, bomba ultra-silenciosa, RETIE)</t>
  </si>
  <si>
    <t>B.6</t>
  </si>
  <si>
    <t>Orejeras NRR ≥ 25 dB (almohadillas ajustables)</t>
  </si>
  <si>
    <t>Par</t>
  </si>
  <si>
    <t>SUBTOTAL CATEGORÍA B</t>
  </si>
  <si>
    <t>CATEGORÍA C. COMPONENTES TÁCTILES Y DE APOYO CORPORAL</t>
  </si>
  <si>
    <t>C</t>
  </si>
  <si>
    <t>C.1</t>
  </si>
  <si>
    <t>Sets de Abrazo Táctil y Texturas (weighted blankets 2-5 kg, texturas diferenciadas)</t>
  </si>
  <si>
    <t>C.2</t>
  </si>
  <si>
    <t>Bolas de Inquietud Sensorial (kit 10 elementos silicona grado médico)</t>
  </si>
  <si>
    <t>Kit</t>
  </si>
  <si>
    <t>C.3</t>
  </si>
  <si>
    <t>Kits de Arte (mandalas, lápices acuarelables, carboncillos, bloc 180g)</t>
  </si>
  <si>
    <t>C.4</t>
  </si>
  <si>
    <t>Colchonetas Ergonómicas Memory Foam 5cm (funda impermeable, ignífuga)</t>
  </si>
  <si>
    <t>SUBTOTAL CATEGORÍA C</t>
  </si>
  <si>
    <t>CATEGORÍA D. COMPONENTES DE ESTIMULACIÓN OLFATIVA</t>
  </si>
  <si>
    <t>D</t>
  </si>
  <si>
    <t>D.1</t>
  </si>
  <si>
    <t>Difusor de Aroma Institucional (nebulización frío, 40 m², programable)</t>
  </si>
  <si>
    <t>D.2</t>
  </si>
  <si>
    <t>Kit 4 aceites esenciales (Lavanda, Eucalipto, Bergamota, Lemongrass)</t>
  </si>
  <si>
    <t>SUBTOTAL CATEGORÍA D</t>
  </si>
  <si>
    <t>CATEGORÍA E. DISEÑO, RENDERS Y APROBACIÓN ARQUITECTÓNICA</t>
  </si>
  <si>
    <t>E</t>
  </si>
  <si>
    <t>E.1</t>
  </si>
  <si>
    <t>Diseño sensorial: renders 3D, planos, fichas técnicas (con aprobación supervisor)</t>
  </si>
  <si>
    <t>Glb</t>
  </si>
  <si>
    <t>SUBTOTAL CATEGORÍA E</t>
  </si>
  <si>
    <t>CATEGORÍA F. INSTALACIÓN, PUESTA EN MARCHA Y PRUEBAS</t>
  </si>
  <si>
    <t>F</t>
  </si>
  <si>
    <t>F.1</t>
  </si>
  <si>
    <t>Instalación, adaptación, configuración, integración, pruebas y entrega</t>
  </si>
  <si>
    <t>SUBTOTAL CATEGORÍA F</t>
  </si>
  <si>
    <t>CATEGORÍA G. CAPACITACIÓN Y ACOMPAÑAMIENTO</t>
  </si>
  <si>
    <t>G</t>
  </si>
  <si>
    <t>G.1</t>
  </si>
  <si>
    <t>Capacitación a 3 profesionales (modalidad presencial, ludo-preventivo)</t>
  </si>
  <si>
    <t>Cap</t>
  </si>
  <si>
    <t>SUBTOTAL CATEGORÍA G</t>
  </si>
  <si>
    <t>VALOR TOTAL ANTES DE IVA</t>
  </si>
  <si>
    <t>VALOR TOTAL CON IVA</t>
  </si>
  <si>
    <t>RESUMEN COMPARATIVO POR CATEGORÍA</t>
  </si>
  <si>
    <t>Valores totales por categoría (cantidad × valor unitario) tomados de la hoja «3. Matriz por Ítem». La columna «Valor de referencia» utiliza el promedio aritmético de los valores unitarios por ítem aplicado sobre las cantidades.</t>
  </si>
  <si>
    <t>CATEGORÍA</t>
  </si>
  <si>
    <t>Pubblica</t>
  </si>
  <si>
    <t>Logística y Eventos</t>
  </si>
  <si>
    <t>Valor de Ref.</t>
  </si>
  <si>
    <t>% sobre total ref.</t>
  </si>
  <si>
    <t>Componentes de estimulación visual y lumínica</t>
  </si>
  <si>
    <t>Componentes de estimulación auditiva y vibratoria</t>
  </si>
  <si>
    <t>Componentes táctiles y de apoyo corporal</t>
  </si>
  <si>
    <t>Componentes de estimulación olfativa</t>
  </si>
  <si>
    <t>Diseño, renders y aprobación arquitectónica</t>
  </si>
  <si>
    <t>Instalación, puesta en marcha y pruebas</t>
  </si>
  <si>
    <t>Capacitación y acompañamiento</t>
  </si>
  <si>
    <t>TOTAL ANTES DE IVA</t>
  </si>
  <si>
    <t>SÍNTESIS DEL SONDEO Y PRESUPUESTO OFICIAL SUGERIDO</t>
  </si>
  <si>
    <t>Documento de sustentación para el establecimiento del presupuesto oficial del proceso conforme a la Guía V3 de Colombia Compra Eficiente.</t>
  </si>
  <si>
    <t>1. VALOR TOTAL OFERTADO POR CADA PROVEEDOR (CON IVA)</t>
  </si>
  <si>
    <t>Antes de IVA</t>
  </si>
  <si>
    <t>Total con IVA</t>
  </si>
  <si>
    <t>2. ESTADÍSTICOS DEL SONDEO DE MERCADO (TOTALES CON IVA)</t>
  </si>
  <si>
    <t>Promedio aritmético</t>
  </si>
  <si>
    <t>Rango (Máx - Mín)</t>
  </si>
  <si>
    <t>Desviación estándar</t>
  </si>
  <si>
    <t>Coeficiente de variación (CV%)</t>
  </si>
  <si>
    <t>3. VALOR DE REFERENCIA DEL MERCADO (PROMEDIO ARITMÉTICO POR ÍTEM)</t>
  </si>
  <si>
    <t>El valor de referencia ítem por ítem aplica el promedio aritmético de los tres valores unitarios cotizados, multiplicado por la cantidad requerida. Con tres observaciones, el promedio aritmético utiliza la información de todas las cotizaciones, mientras que la mediana descartaría dos terceras partes de los datos. Por el reducido tamaño muestral, no se justifica el uso de métodos basados en intervalos o detección de atípicos.</t>
  </si>
  <si>
    <t>Valor de referencia antes de IVA</t>
  </si>
  <si>
    <t>VALOR DE REFERENCIA CON IVA</t>
  </si>
  <si>
    <t>4. CONTRASTE CON LÍMITES NORMATIVOS Y PRESUPUESTO INICIAL</t>
  </si>
  <si>
    <t>Tope de mínima cuantía (100 SMMLV 2026)</t>
  </si>
  <si>
    <t>Límite normativo de la modalidad de selección. La oferta no puede igualarlo ni excederlo en el proceso final.</t>
  </si>
  <si>
    <t>Presupuesto oficial inicial proyectado por la entidad</t>
  </si>
  <si>
    <t>Valor inicialmente estimado en el formato de necesidad. Resultó insuficiente frente al mercado real.</t>
  </si>
  <si>
    <t>Promedio aritmético de las tres ofertas (con IVA)</t>
  </si>
  <si>
    <t>Utiliza todas las observaciones del sondeo. Es el estimador más eficiente cuando no es viable un análisis de intervalos por tamaño muestral.</t>
  </si>
  <si>
    <t>Mediana de las tres ofertas (con IVA)</t>
  </si>
  <si>
    <t>Estadístico menos sensible a atípicos. Con tres observaciones, descarta dos terceras partes de los datos del sondeo.</t>
  </si>
  <si>
    <t>Valor de referencia ítem por ítem (promedio unitario × cant.)</t>
  </si>
  <si>
    <t>Construido desde el detalle. Es la metodología recomendada por la Guía V3 CCE y la más adecuada para un sondeo con tres observaciones.</t>
  </si>
  <si>
    <t>5. RECOMENDACIÓN PARA EL PRESUPUESTO OFICIAL</t>
  </si>
  <si>
    <t>Con base en el análisis de las tres cotizaciones recibidas dos  a través de SECOP II (DESAJ) y una por correo electronico (DSAJ), y considerando que el tamaño muestral (n=3) no permite la aplicación rigurosa de métodos basados en intervalos ni la detección robusta de valores atípicos, se recomienda utilizar el promedio aritmético como estimador del valor de referencia del mercado. Este criterio utiliza la información de las tres cotizaciones y resulta consistente con el numeral 5.2.5 de la Guía V3 de Colombia Compra Eficiente. La oferta de AMBIENTES CONSULTORES ($166.031.180 con IVA), por coincidir exactamente con el tope de mínima cuantía, debe documentarse como hallazgo del sondeo en el Estudio del Sector, manteniendo su inclusión en el cálculo del promedio para preservar el principio de equivalencia metodológica entre las cotizaciones recibidas.</t>
  </si>
  <si>
    <t>★ PRESUPUESTO OFICIAL RECOMENDADO (Promedio aritmético ítem por ítem)</t>
  </si>
  <si>
    <t>Opción alternativa A (Promedio aritmético de los totales de las tres ofertas)</t>
  </si>
  <si>
    <t>Opción alternativa B — referencia (Mediana de las tres ofertas)</t>
  </si>
  <si>
    <t>6. ELABORACIÓN DEL ANÁLISIS</t>
  </si>
  <si>
    <t>Elaborado por (nombre y cargo):</t>
  </si>
  <si>
    <t xml:space="preserve">Harol  Callejas Bastidas </t>
  </si>
  <si>
    <t>Fecha:</t>
  </si>
  <si>
    <t>Firma:</t>
  </si>
  <si>
    <t>Aprobado por (supervisor o jefe inmediato):</t>
  </si>
  <si>
    <t xml:space="preserve">Daniela Rosa Murgas Duran </t>
  </si>
  <si>
    <t>Fecha de aprobación: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</si>
</sst>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_-;&quot;-$&quot;* #,##0_-;_-\$* \-??_-;_-@_-"/>
    <numFmt numFmtId="165" formatCode="0.0%"/>
  </numFmts>
  <fonts count="18">
    <font>
      <sz val="11"/>
      <color theme="1"/>
      <name val="Calibri"/>
      <family val="2"/>
      <charset val="1"/>
    </font>
    <font>
      <b/>
      <sz val="14"/>
      <color rgb="FFFFFFFF"/>
      <name val="Arial"/>
      <family val="2"/>
    </font>
    <font>
      <i/>
      <sz val="12"/>
      <color rgb="FF1F3864"/>
      <name val="Arial"/>
      <family val="2"/>
    </font>
    <font>
      <b/>
      <sz val="11"/>
      <color rgb="FFFFFFFF"/>
      <name val="Arial"/>
      <family val="2"/>
    </font>
    <font>
      <sz val="10"/>
      <name val="Arial"/>
      <family val="2"/>
    </font>
    <font>
      <b/>
      <sz val="10"/>
      <color rgb="FFFFFFFF"/>
      <name val="Arial"/>
      <family val="2"/>
    </font>
    <font>
      <b/>
      <sz val="10"/>
      <name val="Arial"/>
      <family val="2"/>
    </font>
    <font>
      <b/>
      <sz val="10"/>
      <color rgb="FF9C0006"/>
      <name val="Arial"/>
      <family val="2"/>
    </font>
    <font>
      <i/>
      <sz val="9"/>
      <color rgb="FF595959"/>
      <name val="Arial"/>
      <family val="2"/>
    </font>
    <font>
      <b/>
      <sz val="10"/>
      <color rgb="FF1F3864"/>
      <name val="Arial"/>
      <family val="2"/>
    </font>
    <font>
      <b/>
      <sz val="12"/>
      <color rgb="FFFFFFFF"/>
      <name val="Arial"/>
      <family val="2"/>
    </font>
    <font>
      <u/>
      <sz val="11"/>
      <color theme="10"/>
      <name val="Calibri"/>
      <family val="2"/>
      <charset val="1"/>
    </font>
    <font>
      <sz val="10"/>
      <color theme="1"/>
      <name val="Calibri"/>
      <family val="2"/>
      <scheme val="minor"/>
    </font>
    <font>
      <sz val="10"/>
      <color theme="1"/>
      <name val="Arial"/>
      <family val="2"/>
    </font>
    <font>
      <i/>
      <sz val="10"/>
      <color theme="1"/>
      <name val="Arial"/>
      <family val="2"/>
    </font>
    <font>
      <sz val="10"/>
      <color rgb="FFFF0000"/>
      <name val="Arial"/>
      <family val="2"/>
    </font>
    <font>
      <b/>
      <sz val="10"/>
      <color theme="1"/>
      <name val="Arial"/>
      <family val="2"/>
    </font>
    <font>
      <b/>
      <sz val="10"/>
      <color rgb="FFFF0000"/>
      <name val="Arial"/>
      <family val="2"/>
    </font>
  </fonts>
  <fills count="16">
    <fill>
      <patternFill patternType="none"/>
    </fill>
    <fill>
      <patternFill patternType="gray125"/>
    </fill>
    <fill>
      <patternFill patternType="solid">
        <fgColor rgb="FF1F3864"/>
        <bgColor rgb="FF333333"/>
      </patternFill>
    </fill>
    <fill>
      <patternFill patternType="solid">
        <fgColor rgb="FF2E75B6"/>
        <bgColor rgb="FF0066CC"/>
      </patternFill>
    </fill>
    <fill>
      <patternFill patternType="solid">
        <fgColor rgb="FFFCE4D6"/>
        <bgColor rgb="FFFFF2CC"/>
      </patternFill>
    </fill>
    <fill>
      <patternFill patternType="solid">
        <fgColor rgb="FFF2F2F2"/>
        <bgColor rgb="FFE7E6E6"/>
      </patternFill>
    </fill>
    <fill>
      <patternFill patternType="solid">
        <fgColor rgb="FF5B9BD5"/>
        <bgColor rgb="FF2E75B6"/>
      </patternFill>
    </fill>
    <fill>
      <patternFill patternType="solid">
        <fgColor rgb="FFED7D31"/>
        <bgColor rgb="FFFF8080"/>
      </patternFill>
    </fill>
    <fill>
      <patternFill patternType="solid">
        <fgColor rgb="FF7030A0"/>
        <bgColor rgb="FF993366"/>
      </patternFill>
    </fill>
    <fill>
      <patternFill patternType="solid">
        <fgColor rgb="FFE7E6E6"/>
        <bgColor rgb="FFE2EFDA"/>
      </patternFill>
    </fill>
    <fill>
      <patternFill patternType="solid">
        <fgColor rgb="FFE2EFDA"/>
        <bgColor rgb="FFE7E6E6"/>
      </patternFill>
    </fill>
    <fill>
      <patternFill patternType="solid">
        <fgColor rgb="FFFFF2CC"/>
        <bgColor rgb="FFFCE4D6"/>
      </patternFill>
    </fill>
    <fill>
      <patternFill patternType="solid">
        <fgColor rgb="FFD9E2F3"/>
        <bgColor rgb="FFE7E6E6"/>
      </patternFill>
    </fill>
    <fill>
      <patternFill patternType="solid">
        <fgColor theme="0"/>
        <bgColor rgb="FFFCE4D6"/>
      </patternFill>
    </fill>
    <fill>
      <patternFill patternType="solid">
        <fgColor rgb="FFFFC000"/>
        <bgColor rgb="FF333333"/>
      </patternFill>
    </fill>
    <fill>
      <patternFill patternType="solid">
        <fgColor theme="0"/>
        <bgColor indexed="64"/>
      </patternFill>
    </fill>
  </fills>
  <borders count="29">
    <border>
      <left/>
      <right/>
      <top/>
      <bottom/>
      <diagonal/>
    </border>
    <border>
      <left style="thin">
        <color rgb="FFBFBFBF"/>
      </left>
      <right style="thin">
        <color rgb="FFBFBFBF"/>
      </right>
      <top style="thin">
        <color rgb="FFBFBFBF"/>
      </top>
      <bottom style="thin">
        <color rgb="FFBFBFBF"/>
      </bottom>
      <diagonal/>
    </border>
    <border>
      <left style="thin">
        <color rgb="FFBFBFBF"/>
      </left>
      <right/>
      <top style="thin">
        <color rgb="FFBFBFBF"/>
      </top>
      <bottom style="thin">
        <color rgb="FFBFBFBF"/>
      </bottom>
      <diagonal/>
    </border>
    <border>
      <left style="thin">
        <color rgb="FFBFBFBF"/>
      </left>
      <right/>
      <top style="thin">
        <color rgb="FFBFBFBF"/>
      </top>
      <bottom/>
      <diagonal/>
    </border>
    <border>
      <left style="thin">
        <color indexed="64"/>
      </left>
      <right style="thin">
        <color indexed="64"/>
      </right>
      <top style="thin">
        <color indexed="64"/>
      </top>
      <bottom style="thin">
        <color indexed="64"/>
      </bottom>
      <diagonal/>
    </border>
    <border>
      <left style="thin">
        <color rgb="FFBFBFBF"/>
      </left>
      <right style="thin">
        <color rgb="FFBFBFBF"/>
      </right>
      <top/>
      <bottom style="thin">
        <color rgb="FFBFBFBF"/>
      </bottom>
      <diagonal/>
    </border>
    <border>
      <left/>
      <right style="thin">
        <color rgb="FFBFBFBF"/>
      </right>
      <top style="thin">
        <color rgb="FFBFBFBF"/>
      </top>
      <bottom style="thin">
        <color rgb="FFBFBFBF"/>
      </bottom>
      <diagonal/>
    </border>
    <border>
      <left/>
      <right/>
      <top style="thin">
        <color rgb="FFBFBFBF"/>
      </top>
      <bottom style="thin">
        <color rgb="FFBFBFBF"/>
      </bottom>
      <diagonal/>
    </border>
    <border>
      <left style="medium">
        <color indexed="64"/>
      </left>
      <right/>
      <top style="medium">
        <color indexed="64"/>
      </top>
      <bottom/>
      <diagonal/>
    </border>
    <border>
      <left/>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s>
  <cellStyleXfs count="3">
    <xf numFmtId="0" fontId="0" fillId="0" borderId="0"/>
    <xf numFmtId="0" fontId="11" fillId="0" borderId="0" applyNumberFormat="0" applyFill="0" applyBorder="0" applyAlignment="0" applyProtection="0"/>
    <xf numFmtId="0" fontId="4" fillId="0" borderId="0"/>
  </cellStyleXfs>
  <cellXfs count="92">
    <xf numFmtId="0" fontId="0" fillId="0" borderId="0" xfId="0"/>
    <xf numFmtId="0" fontId="6" fillId="12" borderId="1" xfId="0" applyFont="1" applyFill="1" applyBorder="1" applyAlignment="1">
      <alignment horizontal="right" vertical="center" wrapText="1"/>
    </xf>
    <xf numFmtId="0" fontId="5" fillId="2" borderId="1" xfId="0" applyFont="1" applyFill="1" applyBorder="1" applyAlignment="1">
      <alignment horizontal="center" vertical="center" wrapText="1"/>
    </xf>
    <xf numFmtId="0" fontId="4" fillId="0" borderId="1" xfId="0" applyFont="1" applyBorder="1" applyAlignment="1">
      <alignment horizontal="left" vertical="top" wrapText="1"/>
    </xf>
    <xf numFmtId="0" fontId="6" fillId="0" borderId="1" xfId="0" applyFont="1" applyBorder="1" applyAlignment="1">
      <alignment horizontal="center" vertical="center" wrapText="1"/>
    </xf>
    <xf numFmtId="0" fontId="4" fillId="0" borderId="1" xfId="0" applyFont="1" applyBorder="1" applyAlignment="1">
      <alignment horizontal="left" vertical="center" wrapText="1"/>
    </xf>
    <xf numFmtId="164" fontId="4" fillId="0" borderId="1" xfId="0" applyNumberFormat="1" applyFont="1" applyBorder="1" applyAlignment="1">
      <alignment horizontal="right" vertical="center" wrapText="1"/>
    </xf>
    <xf numFmtId="164" fontId="6" fillId="0" borderId="1" xfId="0" applyNumberFormat="1" applyFont="1" applyBorder="1" applyAlignment="1">
      <alignment horizontal="right" vertical="center" wrapText="1"/>
    </xf>
    <xf numFmtId="165" fontId="4" fillId="0" borderId="1" xfId="0" applyNumberFormat="1" applyFont="1" applyBorder="1" applyAlignment="1">
      <alignment horizontal="right" vertical="center" wrapText="1"/>
    </xf>
    <xf numFmtId="164" fontId="3" fillId="2" borderId="1" xfId="0" applyNumberFormat="1" applyFont="1" applyFill="1" applyBorder="1" applyAlignment="1">
      <alignment horizontal="right" vertical="center" wrapText="1"/>
    </xf>
    <xf numFmtId="0" fontId="0" fillId="2" borderId="1" xfId="0" applyFill="1" applyBorder="1"/>
    <xf numFmtId="165" fontId="3" fillId="2" borderId="1" xfId="0" applyNumberFormat="1" applyFont="1" applyFill="1" applyBorder="1" applyAlignment="1">
      <alignment horizontal="right" vertical="center" wrapText="1"/>
    </xf>
    <xf numFmtId="0" fontId="7" fillId="4" borderId="1" xfId="0" applyFont="1" applyFill="1" applyBorder="1" applyAlignment="1">
      <alignment horizontal="left" vertical="top" wrapText="1"/>
    </xf>
    <xf numFmtId="0" fontId="6" fillId="0" borderId="0" xfId="0" applyFont="1" applyAlignment="1">
      <alignment horizontal="center" vertical="top"/>
    </xf>
    <xf numFmtId="0" fontId="9" fillId="5" borderId="1" xfId="0" applyFont="1" applyFill="1" applyBorder="1" applyAlignment="1">
      <alignment horizontal="left" vertical="top" wrapText="1"/>
    </xf>
    <xf numFmtId="0" fontId="4" fillId="0" borderId="1" xfId="0" applyFont="1" applyBorder="1" applyAlignment="1">
      <alignment horizontal="center" vertical="center" wrapText="1"/>
    </xf>
    <xf numFmtId="164" fontId="4" fillId="9" borderId="1" xfId="0" applyNumberFormat="1" applyFont="1" applyFill="1" applyBorder="1" applyAlignment="1">
      <alignment horizontal="right" vertical="center" wrapText="1"/>
    </xf>
    <xf numFmtId="165" fontId="4" fillId="9" borderId="1" xfId="0" applyNumberFormat="1" applyFont="1" applyFill="1" applyBorder="1" applyAlignment="1">
      <alignment horizontal="center" vertical="center" wrapText="1"/>
    </xf>
    <xf numFmtId="164" fontId="6" fillId="10" borderId="1" xfId="0" applyNumberFormat="1" applyFont="1" applyFill="1" applyBorder="1" applyAlignment="1">
      <alignment horizontal="right" vertical="center" wrapText="1"/>
    </xf>
    <xf numFmtId="0" fontId="8" fillId="11" borderId="1" xfId="0" applyFont="1" applyFill="1" applyBorder="1" applyAlignment="1">
      <alignment horizontal="left" vertical="top" wrapText="1"/>
    </xf>
    <xf numFmtId="0" fontId="0" fillId="12" borderId="1" xfId="0" applyFill="1" applyBorder="1"/>
    <xf numFmtId="164" fontId="6" fillId="12" borderId="1" xfId="0" applyNumberFormat="1" applyFont="1" applyFill="1" applyBorder="1" applyAlignment="1">
      <alignment horizontal="right" vertical="center" wrapText="1"/>
    </xf>
    <xf numFmtId="164" fontId="10" fillId="2" borderId="1" xfId="0" applyNumberFormat="1" applyFont="1" applyFill="1" applyBorder="1" applyAlignment="1">
      <alignment horizontal="right" vertical="center" wrapText="1"/>
    </xf>
    <xf numFmtId="164" fontId="6" fillId="9" borderId="1" xfId="0" applyNumberFormat="1" applyFont="1" applyFill="1" applyBorder="1" applyAlignment="1">
      <alignment horizontal="right" vertical="center" wrapText="1"/>
    </xf>
    <xf numFmtId="164" fontId="1" fillId="2" borderId="1" xfId="0" applyNumberFormat="1" applyFont="1" applyFill="1" applyBorder="1" applyAlignment="1">
      <alignment horizontal="right" vertical="center" wrapText="1"/>
    </xf>
    <xf numFmtId="165" fontId="6" fillId="10" borderId="1" xfId="0" applyNumberFormat="1" applyFont="1" applyFill="1" applyBorder="1" applyAlignment="1">
      <alignment horizontal="right" vertical="center" wrapText="1"/>
    </xf>
    <xf numFmtId="164" fontId="4" fillId="10" borderId="1" xfId="0" applyNumberFormat="1" applyFont="1" applyFill="1" applyBorder="1" applyAlignment="1">
      <alignment horizontal="right" vertical="center" wrapText="1"/>
    </xf>
    <xf numFmtId="0" fontId="8" fillId="0" borderId="1" xfId="0" applyFont="1" applyBorder="1" applyAlignment="1">
      <alignment horizontal="left" vertical="top" wrapText="1"/>
    </xf>
    <xf numFmtId="0" fontId="9" fillId="5" borderId="1" xfId="0" applyFont="1" applyFill="1" applyBorder="1" applyAlignment="1">
      <alignment horizontal="left" vertical="center" wrapText="1"/>
    </xf>
    <xf numFmtId="0" fontId="5" fillId="2" borderId="5" xfId="0" applyFont="1" applyFill="1" applyBorder="1" applyAlignment="1">
      <alignment horizontal="center" vertical="center" wrapText="1"/>
    </xf>
    <xf numFmtId="0" fontId="3" fillId="2" borderId="1" xfId="0" applyFont="1" applyFill="1" applyBorder="1" applyAlignment="1">
      <alignment vertical="center" wrapText="1"/>
    </xf>
    <xf numFmtId="0" fontId="10" fillId="2" borderId="1" xfId="0" applyFont="1" applyFill="1" applyBorder="1" applyAlignment="1">
      <alignment vertical="center" wrapText="1"/>
    </xf>
    <xf numFmtId="0" fontId="11" fillId="0" borderId="1" xfId="1" applyBorder="1" applyAlignment="1">
      <alignment horizontal="center" vertical="top" wrapText="1"/>
    </xf>
    <xf numFmtId="9" fontId="4" fillId="0" borderId="1" xfId="0" applyNumberFormat="1" applyFont="1" applyBorder="1" applyAlignment="1">
      <alignment horizontal="right" vertical="center" wrapText="1"/>
    </xf>
    <xf numFmtId="0" fontId="4" fillId="15" borderId="8" xfId="0" applyFont="1" applyFill="1" applyBorder="1" applyAlignment="1">
      <alignment vertical="center" wrapText="1"/>
    </xf>
    <xf numFmtId="0" fontId="6" fillId="15" borderId="9" xfId="2" applyFont="1" applyFill="1" applyBorder="1" applyAlignment="1">
      <alignment vertical="center" wrapText="1"/>
    </xf>
    <xf numFmtId="0" fontId="12" fillId="0" borderId="0" xfId="0" applyFont="1" applyAlignment="1">
      <alignment vertical="center"/>
    </xf>
    <xf numFmtId="0" fontId="5" fillId="2" borderId="2" xfId="0" applyFont="1" applyFill="1" applyBorder="1" applyAlignment="1">
      <alignment horizontal="center" vertical="center" wrapText="1"/>
    </xf>
    <xf numFmtId="0" fontId="1" fillId="2" borderId="0" xfId="0" applyFont="1" applyFill="1" applyAlignment="1">
      <alignment horizontal="center" vertical="center" wrapText="1"/>
    </xf>
    <xf numFmtId="0" fontId="8" fillId="0" borderId="0" xfId="0" applyFont="1" applyAlignment="1">
      <alignment horizontal="center" vertical="center" wrapText="1"/>
    </xf>
    <xf numFmtId="0" fontId="5" fillId="2" borderId="1"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6" borderId="6" xfId="0" applyFont="1" applyFill="1" applyBorder="1" applyAlignment="1">
      <alignment horizontal="center" vertical="center" wrapText="1"/>
    </xf>
    <xf numFmtId="0" fontId="5" fillId="6" borderId="1" xfId="0" applyFont="1" applyFill="1" applyBorder="1" applyAlignment="1">
      <alignment horizontal="center" vertical="center" wrapText="1"/>
    </xf>
    <xf numFmtId="0" fontId="5" fillId="7" borderId="1" xfId="0" applyFont="1" applyFill="1" applyBorder="1" applyAlignment="1">
      <alignment horizontal="center" vertical="center" wrapText="1"/>
    </xf>
    <xf numFmtId="0" fontId="5" fillId="8" borderId="1" xfId="0" applyFont="1" applyFill="1" applyBorder="1" applyAlignment="1">
      <alignment horizontal="center" vertical="center" wrapText="1"/>
    </xf>
    <xf numFmtId="0" fontId="5" fillId="14" borderId="4" xfId="0" applyFont="1" applyFill="1" applyBorder="1" applyAlignment="1">
      <alignment horizontal="center" vertical="center" wrapText="1"/>
    </xf>
    <xf numFmtId="0" fontId="3" fillId="3" borderId="1" xfId="0" applyFont="1" applyFill="1" applyBorder="1" applyAlignment="1">
      <alignment horizontal="left" vertical="center" wrapText="1"/>
    </xf>
    <xf numFmtId="0" fontId="6" fillId="12" borderId="1" xfId="0" applyFont="1" applyFill="1" applyBorder="1" applyAlignment="1">
      <alignment horizontal="right" vertical="center" wrapText="1"/>
    </xf>
    <xf numFmtId="0" fontId="3" fillId="2" borderId="2"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0" fillId="2" borderId="2" xfId="0" applyFont="1" applyFill="1" applyBorder="1" applyAlignment="1">
      <alignment horizontal="center" vertical="center" wrapText="1"/>
    </xf>
    <xf numFmtId="0" fontId="10" fillId="2" borderId="7" xfId="0" applyFont="1" applyFill="1" applyBorder="1" applyAlignment="1">
      <alignment horizontal="center" vertical="center" wrapText="1"/>
    </xf>
    <xf numFmtId="0" fontId="10" fillId="2" borderId="6" xfId="0" applyFont="1" applyFill="1" applyBorder="1" applyAlignment="1">
      <alignment horizontal="center" vertical="center" wrapText="1"/>
    </xf>
    <xf numFmtId="0" fontId="2" fillId="0" borderId="0" xfId="0" applyFont="1" applyAlignment="1">
      <alignment horizontal="center" vertical="center" wrapText="1"/>
    </xf>
    <xf numFmtId="0" fontId="3" fillId="3" borderId="0" xfId="0" applyFont="1" applyFill="1" applyAlignment="1">
      <alignment horizontal="left" vertical="center" wrapText="1"/>
    </xf>
    <xf numFmtId="0" fontId="4" fillId="0" borderId="0" xfId="0" applyFont="1" applyAlignment="1">
      <alignment horizontal="left" vertical="top" wrapText="1"/>
    </xf>
    <xf numFmtId="0" fontId="3" fillId="2" borderId="1" xfId="0" applyFont="1" applyFill="1" applyBorder="1" applyAlignment="1">
      <alignment horizontal="right" vertical="center" wrapText="1"/>
    </xf>
    <xf numFmtId="0" fontId="4" fillId="0" borderId="1" xfId="0" applyFont="1" applyBorder="1" applyAlignment="1">
      <alignment horizontal="left" vertical="top" wrapText="1"/>
    </xf>
    <xf numFmtId="0" fontId="6" fillId="0" borderId="8" xfId="0" applyFont="1" applyBorder="1" applyAlignment="1">
      <alignment horizontal="center" vertical="center" wrapText="1"/>
    </xf>
    <xf numFmtId="0" fontId="6" fillId="0" borderId="18" xfId="0" applyFont="1" applyBorder="1" applyAlignment="1">
      <alignment horizontal="center" vertical="center" wrapText="1"/>
    </xf>
    <xf numFmtId="0" fontId="6" fillId="0" borderId="19" xfId="0" applyFont="1" applyBorder="1" applyAlignment="1">
      <alignment horizontal="center" vertical="center" wrapText="1"/>
    </xf>
    <xf numFmtId="0" fontId="13" fillId="0" borderId="23" xfId="0" applyFont="1" applyBorder="1" applyAlignment="1">
      <alignment horizontal="left" vertical="center" wrapText="1"/>
    </xf>
    <xf numFmtId="0" fontId="13" fillId="0" borderId="24" xfId="0" applyFont="1" applyBorder="1" applyAlignment="1">
      <alignment horizontal="left" vertical="center" wrapText="1"/>
    </xf>
    <xf numFmtId="0" fontId="13" fillId="0" borderId="4" xfId="0" applyFont="1" applyBorder="1" applyAlignment="1">
      <alignment horizontal="left" vertical="center" wrapText="1"/>
    </xf>
    <xf numFmtId="0" fontId="13" fillId="0" borderId="25" xfId="0" applyFont="1" applyBorder="1" applyAlignment="1">
      <alignment horizontal="left" vertical="center" wrapText="1"/>
    </xf>
    <xf numFmtId="0" fontId="13" fillId="0" borderId="26" xfId="0" applyFont="1" applyBorder="1" applyAlignment="1">
      <alignment horizontal="left" vertical="center" wrapText="1"/>
    </xf>
    <xf numFmtId="0" fontId="13" fillId="0" borderId="27" xfId="0" applyFont="1" applyBorder="1" applyAlignment="1">
      <alignment horizontal="left" vertical="center" wrapText="1"/>
    </xf>
    <xf numFmtId="0" fontId="13" fillId="0" borderId="28" xfId="0" applyFont="1" applyBorder="1" applyAlignment="1">
      <alignment horizontal="left" vertical="center" wrapText="1"/>
    </xf>
    <xf numFmtId="0" fontId="6" fillId="15" borderId="4" xfId="2" applyFont="1" applyFill="1" applyBorder="1" applyAlignment="1">
      <alignment horizontal="center" vertical="center" wrapText="1"/>
    </xf>
    <xf numFmtId="0" fontId="6" fillId="0" borderId="10" xfId="2" applyFont="1" applyBorder="1" applyAlignment="1">
      <alignment horizontal="center" vertical="center" wrapText="1"/>
    </xf>
    <xf numFmtId="0" fontId="6" fillId="0" borderId="11" xfId="2" applyFont="1" applyBorder="1" applyAlignment="1">
      <alignment horizontal="center" vertical="center" wrapText="1"/>
    </xf>
    <xf numFmtId="0" fontId="6" fillId="0" borderId="12" xfId="2" applyFont="1" applyBorder="1" applyAlignment="1">
      <alignment horizontal="center" vertical="center" wrapText="1"/>
    </xf>
    <xf numFmtId="0" fontId="6" fillId="0" borderId="13" xfId="2" applyFont="1" applyBorder="1" applyAlignment="1">
      <alignment horizontal="center" vertical="center" wrapText="1"/>
    </xf>
    <xf numFmtId="0" fontId="13" fillId="0" borderId="14" xfId="0" applyFont="1" applyBorder="1" applyAlignment="1">
      <alignment horizontal="justify" vertical="center" wrapText="1"/>
    </xf>
    <xf numFmtId="0" fontId="15" fillId="0" borderId="15" xfId="0" applyFont="1" applyBorder="1" applyAlignment="1">
      <alignment horizontal="justify" vertical="center" wrapText="1"/>
    </xf>
    <xf numFmtId="0" fontId="15" fillId="0" borderId="16" xfId="0" applyFont="1" applyBorder="1" applyAlignment="1">
      <alignment horizontal="justify" vertical="center" wrapText="1"/>
    </xf>
    <xf numFmtId="0" fontId="15" fillId="0" borderId="17" xfId="0" applyFont="1" applyBorder="1" applyAlignment="1">
      <alignment horizontal="justify" vertical="center" wrapText="1"/>
    </xf>
    <xf numFmtId="0" fontId="16" fillId="0" borderId="20" xfId="0" applyFont="1" applyBorder="1" applyAlignment="1">
      <alignment horizontal="justify" vertical="center" wrapText="1"/>
    </xf>
    <xf numFmtId="0" fontId="17" fillId="0" borderId="21" xfId="0" applyFont="1" applyBorder="1" applyAlignment="1">
      <alignment horizontal="justify" vertical="center" wrapText="1"/>
    </xf>
    <xf numFmtId="0" fontId="17" fillId="0" borderId="22" xfId="0" applyFont="1" applyBorder="1" applyAlignment="1">
      <alignment horizontal="justify" vertical="center" wrapText="1"/>
    </xf>
    <xf numFmtId="0" fontId="1" fillId="2" borderId="2" xfId="0" applyFont="1" applyFill="1" applyBorder="1" applyAlignment="1">
      <alignment horizontal="right" vertical="center" wrapText="1"/>
    </xf>
    <xf numFmtId="0" fontId="3" fillId="2" borderId="2" xfId="0" applyFont="1" applyFill="1" applyBorder="1" applyAlignment="1">
      <alignment horizontal="right" vertical="center" wrapText="1"/>
    </xf>
    <xf numFmtId="0" fontId="0" fillId="11" borderId="2" xfId="0" applyFill="1" applyBorder="1" applyAlignment="1">
      <alignment horizontal="left" vertical="center" wrapText="1"/>
    </xf>
    <xf numFmtId="0" fontId="9" fillId="5" borderId="2" xfId="0" applyFont="1" applyFill="1" applyBorder="1" applyAlignment="1">
      <alignment horizontal="left" vertical="center" wrapText="1"/>
    </xf>
    <xf numFmtId="0" fontId="8" fillId="0" borderId="0" xfId="0" applyFont="1" applyAlignment="1">
      <alignment horizontal="left" vertical="top" wrapText="1"/>
    </xf>
    <xf numFmtId="0" fontId="1" fillId="2" borderId="2" xfId="0" applyFont="1" applyFill="1" applyBorder="1" applyAlignment="1">
      <alignment horizontal="left" vertical="center" wrapText="1"/>
    </xf>
    <xf numFmtId="164" fontId="6" fillId="0" borderId="2" xfId="0" applyNumberFormat="1" applyFont="1" applyBorder="1" applyAlignment="1">
      <alignment horizontal="right" vertical="center" wrapText="1"/>
    </xf>
    <xf numFmtId="0" fontId="4" fillId="0" borderId="3" xfId="0" applyFont="1" applyBorder="1" applyAlignment="1">
      <alignment horizontal="left" vertical="top" wrapText="1"/>
    </xf>
    <xf numFmtId="14" fontId="0" fillId="11" borderId="2" xfId="0" applyNumberFormat="1" applyFill="1" applyBorder="1" applyAlignment="1">
      <alignment horizontal="left" vertical="center" wrapText="1"/>
    </xf>
    <xf numFmtId="164" fontId="4" fillId="13" borderId="4" xfId="0" applyNumberFormat="1" applyFont="1" applyFill="1" applyBorder="1" applyAlignment="1" applyProtection="1">
      <alignment horizontal="right" vertical="center" wrapText="1"/>
      <protection locked="0"/>
    </xf>
  </cellXfs>
  <cellStyles count="3">
    <cellStyle name="Hipervínculo" xfId="1" builtinId="8"/>
    <cellStyle name="Normal" xfId="0" builtinId="0"/>
    <cellStyle name="Normal 2" xfId="2" xr:uid="{3144EF32-CFB7-4A80-BF3F-E182FB2D7046}"/>
  </cellStyles>
  <dxfs count="1">
    <dxf>
      <font>
        <b/>
        <color rgb="FF9C0006"/>
      </font>
      <fill>
        <patternFill>
          <bgColor rgb="FFFCE4D6"/>
        </patternFill>
      </fill>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9C0006"/>
      <rgbColor rgb="FF008000"/>
      <rgbColor rgb="FF000080"/>
      <rgbColor rgb="FF808000"/>
      <rgbColor rgb="FF800080"/>
      <rgbColor rgb="FF008080"/>
      <rgbColor rgb="FFBFBFBF"/>
      <rgbColor rgb="FF808080"/>
      <rgbColor rgb="FF5B9BD5"/>
      <rgbColor rgb="FF7030A0"/>
      <rgbColor rgb="FFFFF2CC"/>
      <rgbColor rgb="FFF2F2F2"/>
      <rgbColor rgb="FF660066"/>
      <rgbColor rgb="FFFF8080"/>
      <rgbColor rgb="FF0066CC"/>
      <rgbColor rgb="FFD9E2F3"/>
      <rgbColor rgb="FF000080"/>
      <rgbColor rgb="FFFF00FF"/>
      <rgbColor rgb="FFFFFF00"/>
      <rgbColor rgb="FF00FFFF"/>
      <rgbColor rgb="FF800080"/>
      <rgbColor rgb="FF800000"/>
      <rgbColor rgb="FF008080"/>
      <rgbColor rgb="FF0000FF"/>
      <rgbColor rgb="FF00CCFF"/>
      <rgbColor rgb="FFE7E6E6"/>
      <rgbColor rgb="FFE2EFDA"/>
      <rgbColor rgb="FFFFFF99"/>
      <rgbColor rgb="FF99CCFF"/>
      <rgbColor rgb="FFFF99CC"/>
      <rgbColor rgb="FFCC99FF"/>
      <rgbColor rgb="FFFCE4D6"/>
      <rgbColor rgb="FF2E75B6"/>
      <rgbColor rgb="FF33CCCC"/>
      <rgbColor rgb="FF99CC00"/>
      <rgbColor rgb="FFFFCC00"/>
      <rgbColor rgb="FFFF9900"/>
      <rgbColor rgb="FFED7D31"/>
      <rgbColor rgb="FF595959"/>
      <rgbColor rgb="FF70AD47"/>
      <rgbColor rgb="FF1F3864"/>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microsoft.com/office/2017/06/relationships/rdRichValueStructure" Target="richData/rdrichvaluestructure.xml"/><Relationship Id="rId3" Type="http://schemas.openxmlformats.org/officeDocument/2006/relationships/worksheet" Target="worksheets/sheet3.xml"/><Relationship Id="rId7" Type="http://schemas.openxmlformats.org/officeDocument/2006/relationships/theme" Target="theme/theme1.xml"/><Relationship Id="rId12" Type="http://schemas.microsoft.com/office/2017/06/relationships/rdRichValue" Target="richData/rdrichvalue.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22/10/relationships/richValueRel" Target="richData/richValueRel.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microsoft.com/office/2017/06/relationships/rdRichValueTypes" Target="richData/rdRichValueTyp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3.jpg"/></Relationships>
</file>

<file path=xl/drawings/drawing1.xml><?xml version="1.0" encoding="utf-8"?>
<xdr:wsDr xmlns:xdr="http://schemas.openxmlformats.org/drawingml/2006/spreadsheetDrawing" xmlns:a="http://schemas.openxmlformats.org/drawingml/2006/main">
  <xdr:twoCellAnchor editAs="oneCell">
    <xdr:from>
      <xdr:col>0</xdr:col>
      <xdr:colOff>19050</xdr:colOff>
      <xdr:row>0</xdr:row>
      <xdr:rowOff>66674</xdr:rowOff>
    </xdr:from>
    <xdr:to>
      <xdr:col>1</xdr:col>
      <xdr:colOff>661490</xdr:colOff>
      <xdr:row>1</xdr:row>
      <xdr:rowOff>323850</xdr:rowOff>
    </xdr:to>
    <xdr:pic>
      <xdr:nvPicPr>
        <xdr:cNvPr id="2" name="Imagen 1">
          <a:extLst>
            <a:ext uri="{FF2B5EF4-FFF2-40B4-BE49-F238E27FC236}">
              <a16:creationId xmlns:a16="http://schemas.microsoft.com/office/drawing/2014/main" id="{7CE60991-27E0-482B-BEDE-C53778E0A2F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9050" y="66674"/>
          <a:ext cx="1404440" cy="504826"/>
        </a:xfrm>
        <a:prstGeom prst="rect">
          <a:avLst/>
        </a:prstGeom>
      </xdr:spPr>
    </xdr:pic>
    <xdr:clientData/>
  </xdr:twoCellAnchor>
</xdr:wsDr>
</file>

<file path=xl/richData/_rels/richValueRel.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2">
  <rv s="0">
    <v>0</v>
    <v>5</v>
  </rv>
  <rv s="0">
    <v>1</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ichValueRels>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2" Type="http://schemas.openxmlformats.org/officeDocument/2006/relationships/hyperlink" Target="https://ambienteconsultores.com.co/" TargetMode="External"/><Relationship Id="rId1" Type="http://schemas.openxmlformats.org/officeDocument/2006/relationships/hyperlink" Target="mailto:lvera@ambienteconsultores.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33"/>
  <sheetViews>
    <sheetView topLeftCell="A23" zoomScaleNormal="100" workbookViewId="0">
      <selection activeCell="B24" sqref="B24:F24"/>
    </sheetView>
  </sheetViews>
  <sheetFormatPr defaultColWidth="8.7109375" defaultRowHeight="15"/>
  <cols>
    <col min="1" max="1" width="5" customWidth="1"/>
    <col min="2" max="2" width="32" customWidth="1"/>
    <col min="3" max="6" width="18" customWidth="1"/>
  </cols>
  <sheetData>
    <row r="1" spans="1:6" ht="27.75" customHeight="1">
      <c r="A1" s="38" t="s">
        <v>0</v>
      </c>
      <c r="B1" s="38"/>
      <c r="C1" s="38"/>
      <c r="D1" s="38"/>
      <c r="E1" s="38"/>
      <c r="F1" s="38"/>
    </row>
    <row r="2" spans="1:6" ht="21.75" customHeight="1">
      <c r="A2" s="55" t="s">
        <v>1</v>
      </c>
      <c r="B2" s="55"/>
      <c r="C2" s="55"/>
      <c r="D2" s="55"/>
      <c r="E2" s="55"/>
      <c r="F2" s="55"/>
    </row>
    <row r="4" spans="1:6" ht="21.75" customHeight="1">
      <c r="A4" s="56" t="s">
        <v>2</v>
      </c>
      <c r="B4" s="56"/>
      <c r="C4" s="56"/>
      <c r="D4" s="56"/>
      <c r="E4" s="56"/>
      <c r="F4" s="56"/>
    </row>
    <row r="5" spans="1:6" ht="21.75" customHeight="1">
      <c r="A5" s="57" t="s">
        <v>3</v>
      </c>
      <c r="B5" s="57"/>
      <c r="C5" s="57"/>
      <c r="D5" s="57"/>
      <c r="E5" s="57"/>
      <c r="F5" s="57"/>
    </row>
    <row r="6" spans="1:6" ht="15" customHeight="1">
      <c r="A6" s="57"/>
      <c r="B6" s="57"/>
      <c r="C6" s="57"/>
      <c r="D6" s="57"/>
      <c r="E6" s="57"/>
      <c r="F6" s="57"/>
    </row>
    <row r="7" spans="1:6" ht="15" customHeight="1">
      <c r="A7" s="57"/>
      <c r="B7" s="57"/>
      <c r="C7" s="57"/>
      <c r="D7" s="57"/>
      <c r="E7" s="57"/>
      <c r="F7" s="57"/>
    </row>
    <row r="9" spans="1:6" ht="21.75" customHeight="1">
      <c r="A9" s="56" t="s">
        <v>4</v>
      </c>
      <c r="B9" s="56"/>
      <c r="C9" s="56"/>
      <c r="D9" s="56"/>
      <c r="E9" s="56"/>
      <c r="F9" s="56"/>
    </row>
    <row r="10" spans="1:6" ht="31.5" customHeight="1">
      <c r="A10" s="2" t="s">
        <v>5</v>
      </c>
      <c r="B10" s="2" t="s">
        <v>6</v>
      </c>
      <c r="C10" s="2" t="s">
        <v>7</v>
      </c>
      <c r="D10" s="2" t="s">
        <v>8</v>
      </c>
      <c r="E10" s="2" t="s">
        <v>9</v>
      </c>
      <c r="F10" s="2" t="s">
        <v>10</v>
      </c>
    </row>
    <row r="11" spans="1:6" ht="21.75" customHeight="1">
      <c r="A11" s="4">
        <v>1</v>
      </c>
      <c r="B11" s="5" t="s">
        <v>11</v>
      </c>
      <c r="C11" s="7">
        <v>139522000</v>
      </c>
      <c r="D11" s="7">
        <v>26509180</v>
      </c>
      <c r="E11" s="7">
        <v>166031180</v>
      </c>
      <c r="F11" s="33">
        <v>1.03</v>
      </c>
    </row>
    <row r="12" spans="1:6" ht="21.75" customHeight="1">
      <c r="A12" s="4">
        <v>2</v>
      </c>
      <c r="B12" s="5" t="s">
        <v>12</v>
      </c>
      <c r="C12" s="7">
        <v>134292580</v>
      </c>
      <c r="D12" s="7">
        <v>25515590.199999999</v>
      </c>
      <c r="E12" s="7">
        <v>159808170.19999999</v>
      </c>
      <c r="F12" s="8">
        <v>0.99890000000000001</v>
      </c>
    </row>
    <row r="13" spans="1:6" ht="21.75" customHeight="1">
      <c r="A13" s="4">
        <v>3</v>
      </c>
      <c r="B13" s="5" t="s">
        <v>13</v>
      </c>
      <c r="C13" s="7">
        <v>147134874</v>
      </c>
      <c r="D13" s="7">
        <v>27955626.059999999</v>
      </c>
      <c r="E13" s="7">
        <v>175090500.06</v>
      </c>
      <c r="F13" s="8">
        <v>1.0900000000000001</v>
      </c>
    </row>
    <row r="15" spans="1:6" ht="21.75" customHeight="1">
      <c r="A15" s="58" t="s">
        <v>14</v>
      </c>
      <c r="B15" s="58"/>
      <c r="C15" s="58"/>
      <c r="D15" s="58"/>
      <c r="E15" s="9">
        <v>166976616.75333333</v>
      </c>
      <c r="F15" s="10"/>
    </row>
    <row r="16" spans="1:6" ht="21.75" customHeight="1">
      <c r="A16" s="58" t="s">
        <v>15</v>
      </c>
      <c r="B16" s="58"/>
      <c r="C16" s="58"/>
      <c r="D16" s="58"/>
      <c r="E16" s="9">
        <v>166031180</v>
      </c>
      <c r="F16" s="10"/>
    </row>
    <row r="17" spans="1:6" ht="21.75" customHeight="1">
      <c r="A17" s="58" t="s">
        <v>16</v>
      </c>
      <c r="B17" s="58"/>
      <c r="C17" s="58"/>
      <c r="D17" s="58"/>
      <c r="E17" s="9">
        <v>159808170.19999999</v>
      </c>
      <c r="F17" s="10"/>
    </row>
    <row r="18" spans="1:6" ht="21.75" customHeight="1">
      <c r="A18" s="58" t="s">
        <v>17</v>
      </c>
      <c r="B18" s="58"/>
      <c r="C18" s="58"/>
      <c r="D18" s="58"/>
      <c r="E18" s="9">
        <v>175090500.06</v>
      </c>
      <c r="F18" s="10"/>
    </row>
    <row r="19" spans="1:6" ht="21.75" customHeight="1">
      <c r="A19" s="58" t="s">
        <v>18</v>
      </c>
      <c r="B19" s="58"/>
      <c r="C19" s="58"/>
      <c r="D19" s="58"/>
      <c r="E19" s="9">
        <v>7684906.6017992124</v>
      </c>
      <c r="F19" s="10"/>
    </row>
    <row r="20" spans="1:6" ht="21.75" customHeight="1">
      <c r="A20" s="58" t="s">
        <v>19</v>
      </c>
      <c r="B20" s="58"/>
      <c r="C20" s="58"/>
      <c r="D20" s="58"/>
      <c r="E20" s="11">
        <v>4.6023849034812832E-2</v>
      </c>
      <c r="F20" s="10"/>
    </row>
    <row r="22" spans="1:6" ht="21.75" customHeight="1">
      <c r="A22" s="56" t="s">
        <v>20</v>
      </c>
      <c r="B22" s="56"/>
      <c r="C22" s="56"/>
      <c r="D22" s="56"/>
      <c r="E22" s="56"/>
      <c r="F22" s="56"/>
    </row>
    <row r="23" spans="1:6" ht="90" customHeight="1">
      <c r="A23" s="12" t="s">
        <v>21</v>
      </c>
      <c r="B23" s="59" t="s">
        <v>22</v>
      </c>
      <c r="C23" s="59"/>
      <c r="D23" s="59"/>
      <c r="E23" s="59"/>
      <c r="F23" s="59"/>
    </row>
    <row r="24" spans="1:6" ht="90" customHeight="1">
      <c r="A24" s="12" t="s">
        <v>23</v>
      </c>
      <c r="B24" s="59" t="s">
        <v>24</v>
      </c>
      <c r="C24" s="59"/>
      <c r="D24" s="59"/>
      <c r="E24" s="59"/>
      <c r="F24" s="59"/>
    </row>
    <row r="25" spans="1:6" ht="90" customHeight="1">
      <c r="A25" s="12" t="s">
        <v>25</v>
      </c>
      <c r="B25" s="59" t="s">
        <v>26</v>
      </c>
      <c r="C25" s="59"/>
      <c r="D25" s="59"/>
      <c r="E25" s="59"/>
      <c r="F25" s="59"/>
    </row>
    <row r="26" spans="1:6" ht="90" customHeight="1">
      <c r="A26" s="12" t="s">
        <v>27</v>
      </c>
      <c r="B26" s="59" t="s">
        <v>28</v>
      </c>
      <c r="C26" s="59"/>
      <c r="D26" s="59"/>
      <c r="E26" s="59"/>
      <c r="F26" s="59"/>
    </row>
    <row r="28" spans="1:6" ht="21.75" customHeight="1">
      <c r="A28" s="56" t="s">
        <v>29</v>
      </c>
      <c r="B28" s="56"/>
      <c r="C28" s="56"/>
      <c r="D28" s="56"/>
      <c r="E28" s="56"/>
      <c r="F28" s="56"/>
    </row>
    <row r="29" spans="1:6" ht="31.5" customHeight="1">
      <c r="A29" s="13" t="s">
        <v>30</v>
      </c>
      <c r="B29" s="57" t="s">
        <v>31</v>
      </c>
      <c r="C29" s="57"/>
      <c r="D29" s="57"/>
      <c r="E29" s="57"/>
      <c r="F29" s="57"/>
    </row>
    <row r="30" spans="1:6" ht="31.5" customHeight="1">
      <c r="A30" s="13" t="s">
        <v>30</v>
      </c>
      <c r="B30" s="57" t="s">
        <v>32</v>
      </c>
      <c r="C30" s="57"/>
      <c r="D30" s="57"/>
      <c r="E30" s="57"/>
      <c r="F30" s="57"/>
    </row>
    <row r="31" spans="1:6" ht="31.5" customHeight="1">
      <c r="A31" s="13" t="s">
        <v>30</v>
      </c>
      <c r="B31" s="57" t="s">
        <v>33</v>
      </c>
      <c r="C31" s="57"/>
      <c r="D31" s="57"/>
      <c r="E31" s="57"/>
      <c r="F31" s="57"/>
    </row>
    <row r="32" spans="1:6" ht="31.5" customHeight="1">
      <c r="A32" s="13" t="s">
        <v>30</v>
      </c>
      <c r="B32" s="57" t="s">
        <v>34</v>
      </c>
      <c r="C32" s="57"/>
      <c r="D32" s="57"/>
      <c r="E32" s="57"/>
      <c r="F32" s="57"/>
    </row>
    <row r="33" spans="1:6" ht="31.5" customHeight="1">
      <c r="A33" s="13" t="s">
        <v>30</v>
      </c>
      <c r="B33" s="57" t="s">
        <v>35</v>
      </c>
      <c r="C33" s="57"/>
      <c r="D33" s="57"/>
      <c r="E33" s="57"/>
      <c r="F33" s="57"/>
    </row>
  </sheetData>
  <mergeCells count="22">
    <mergeCell ref="B31:F31"/>
    <mergeCell ref="B32:F32"/>
    <mergeCell ref="B33:F33"/>
    <mergeCell ref="B26:F26"/>
    <mergeCell ref="A28:F28"/>
    <mergeCell ref="B29:F29"/>
    <mergeCell ref="B30:F30"/>
    <mergeCell ref="A20:D20"/>
    <mergeCell ref="A22:F22"/>
    <mergeCell ref="B23:F23"/>
    <mergeCell ref="B24:F24"/>
    <mergeCell ref="B25:F25"/>
    <mergeCell ref="A15:D15"/>
    <mergeCell ref="A16:D16"/>
    <mergeCell ref="A17:D17"/>
    <mergeCell ref="A18:D18"/>
    <mergeCell ref="A19:D19"/>
    <mergeCell ref="A1:F1"/>
    <mergeCell ref="A2:F2"/>
    <mergeCell ref="A4:F4"/>
    <mergeCell ref="A5:F7"/>
    <mergeCell ref="A9:F9"/>
  </mergeCells>
  <pageMargins left="0.75" right="0.75" top="1" bottom="1" header="0.511811023622047" footer="0.511811023622047"/>
  <pageSetup paperSize="9" orientation="portrait"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641ACE-F1A8-4E6B-85F7-F5BD81AB06F4}">
  <dimension ref="A1:G8"/>
  <sheetViews>
    <sheetView workbookViewId="0">
      <selection activeCell="A5" sqref="A5:XFD5"/>
    </sheetView>
  </sheetViews>
  <sheetFormatPr defaultColWidth="11.42578125" defaultRowHeight="15"/>
  <cols>
    <col min="7" max="7" width="27.42578125" customWidth="1"/>
  </cols>
  <sheetData>
    <row r="1" spans="1:7" s="36" customFormat="1" ht="19.5" customHeight="1">
      <c r="A1" s="34"/>
      <c r="B1" s="35"/>
      <c r="C1" s="35"/>
      <c r="D1" s="70"/>
      <c r="E1" s="70"/>
      <c r="F1" s="70"/>
      <c r="G1" s="70"/>
    </row>
    <row r="2" spans="1:7" s="36" customFormat="1" ht="30.75" customHeight="1" thickBot="1">
      <c r="A2" s="71" t="s">
        <v>36</v>
      </c>
      <c r="B2" s="72"/>
      <c r="C2" s="72"/>
      <c r="D2" s="73"/>
      <c r="E2" s="73"/>
      <c r="F2" s="73"/>
      <c r="G2" s="74"/>
    </row>
    <row r="3" spans="1:7" s="36" customFormat="1" ht="69" customHeight="1" thickBot="1">
      <c r="A3" s="75" t="s">
        <v>37</v>
      </c>
      <c r="B3" s="76"/>
      <c r="C3" s="77"/>
      <c r="D3" s="77"/>
      <c r="E3" s="77"/>
      <c r="F3" s="77"/>
      <c r="G3" s="78"/>
    </row>
    <row r="4" spans="1:7" s="36" customFormat="1" ht="19.5" customHeight="1">
      <c r="A4" s="60" t="s">
        <v>38</v>
      </c>
      <c r="B4" s="61"/>
      <c r="C4" s="61"/>
      <c r="D4" s="61"/>
      <c r="E4" s="61"/>
      <c r="F4" s="61"/>
      <c r="G4" s="62"/>
    </row>
    <row r="5" spans="1:7" s="36" customFormat="1" ht="50.25" customHeight="1" thickBot="1">
      <c r="A5" s="79" t="s">
        <v>39</v>
      </c>
      <c r="B5" s="80"/>
      <c r="C5" s="80"/>
      <c r="D5" s="80"/>
      <c r="E5" s="80"/>
      <c r="F5" s="80"/>
      <c r="G5" s="81"/>
    </row>
    <row r="6" spans="1:7" s="36" customFormat="1" ht="19.5" customHeight="1">
      <c r="A6" s="60" t="s">
        <v>40</v>
      </c>
      <c r="B6" s="61"/>
      <c r="C6" s="61"/>
      <c r="D6" s="61"/>
      <c r="E6" s="61"/>
      <c r="F6" s="61"/>
      <c r="G6" s="62"/>
    </row>
    <row r="7" spans="1:7" s="36" customFormat="1" ht="24.75" customHeight="1">
      <c r="A7" s="63" t="s">
        <v>41</v>
      </c>
      <c r="B7" s="64"/>
      <c r="C7" s="65"/>
      <c r="D7" s="65"/>
      <c r="E7" s="65"/>
      <c r="F7" s="65"/>
      <c r="G7" s="66"/>
    </row>
    <row r="8" spans="1:7" s="36" customFormat="1" ht="172.5" customHeight="1">
      <c r="A8" s="67" t="s">
        <v>42</v>
      </c>
      <c r="B8" s="68"/>
      <c r="C8" s="68"/>
      <c r="D8" s="68"/>
      <c r="E8" s="68"/>
      <c r="F8" s="68"/>
      <c r="G8" s="69"/>
    </row>
  </sheetData>
  <mergeCells count="8">
    <mergeCell ref="A6:G6"/>
    <mergeCell ref="A7:G7"/>
    <mergeCell ref="A8:G8"/>
    <mergeCell ref="D1:G1"/>
    <mergeCell ref="A2:G2"/>
    <mergeCell ref="A3:G3"/>
    <mergeCell ref="A4:G4"/>
    <mergeCell ref="A5:G5"/>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22"/>
  <sheetViews>
    <sheetView zoomScaleNormal="100" workbookViewId="0">
      <selection activeCell="C7" sqref="C7"/>
    </sheetView>
  </sheetViews>
  <sheetFormatPr defaultColWidth="8.7109375" defaultRowHeight="15"/>
  <cols>
    <col min="1" max="2" width="28" customWidth="1"/>
    <col min="3" max="4" width="30" customWidth="1"/>
  </cols>
  <sheetData>
    <row r="1" spans="1:4" ht="27.75" customHeight="1">
      <c r="A1" s="38" t="s">
        <v>43</v>
      </c>
      <c r="B1" s="38"/>
      <c r="C1" s="38"/>
      <c r="D1" s="38"/>
    </row>
    <row r="2" spans="1:4" ht="21.75" customHeight="1">
      <c r="A2" s="39" t="s">
        <v>44</v>
      </c>
      <c r="B2" s="39"/>
      <c r="C2" s="39"/>
      <c r="D2" s="39"/>
    </row>
    <row r="4" spans="1:4" ht="24" customHeight="1">
      <c r="A4" s="2" t="s">
        <v>45</v>
      </c>
      <c r="B4" s="2" t="s">
        <v>46</v>
      </c>
      <c r="C4" s="2" t="s">
        <v>47</v>
      </c>
      <c r="D4" s="2" t="s">
        <v>48</v>
      </c>
    </row>
    <row r="5" spans="1:4" ht="30" customHeight="1">
      <c r="A5" s="14" t="s">
        <v>49</v>
      </c>
      <c r="B5" s="3" t="s">
        <v>50</v>
      </c>
      <c r="C5" s="3" t="s">
        <v>51</v>
      </c>
      <c r="D5" s="3" t="s">
        <v>52</v>
      </c>
    </row>
    <row r="6" spans="1:4" ht="30" customHeight="1">
      <c r="A6" s="14" t="s">
        <v>53</v>
      </c>
      <c r="B6" s="3" t="s">
        <v>54</v>
      </c>
      <c r="C6" s="3" t="s">
        <v>55</v>
      </c>
      <c r="D6" s="3" t="s">
        <v>56</v>
      </c>
    </row>
    <row r="7" spans="1:4" ht="30" customHeight="1">
      <c r="A7" s="14" t="s">
        <v>57</v>
      </c>
      <c r="B7" s="3" t="s">
        <v>58</v>
      </c>
      <c r="C7" s="3" t="s">
        <v>59</v>
      </c>
      <c r="D7" s="3" t="s">
        <v>59</v>
      </c>
    </row>
    <row r="8" spans="1:4" ht="30" customHeight="1">
      <c r="A8" s="14" t="s">
        <v>60</v>
      </c>
      <c r="B8" s="3" t="s">
        <v>61</v>
      </c>
      <c r="C8" s="3" t="s">
        <v>62</v>
      </c>
      <c r="D8" s="3" t="s">
        <v>63</v>
      </c>
    </row>
    <row r="9" spans="1:4" ht="30" customHeight="1">
      <c r="A9" s="14" t="s">
        <v>64</v>
      </c>
      <c r="B9" s="3" t="s">
        <v>65</v>
      </c>
      <c r="C9" s="3" t="s">
        <v>66</v>
      </c>
      <c r="D9" s="3" t="s">
        <v>66</v>
      </c>
    </row>
    <row r="10" spans="1:4" ht="30" customHeight="1">
      <c r="A10" s="14" t="s">
        <v>67</v>
      </c>
      <c r="B10" s="3" t="s">
        <v>68</v>
      </c>
      <c r="C10" s="3" t="s">
        <v>69</v>
      </c>
      <c r="D10" s="3" t="s">
        <v>69</v>
      </c>
    </row>
    <row r="11" spans="1:4" ht="30" customHeight="1">
      <c r="A11" s="14" t="s">
        <v>70</v>
      </c>
      <c r="B11" s="3" t="s">
        <v>71</v>
      </c>
      <c r="C11" s="3" t="s">
        <v>72</v>
      </c>
      <c r="D11" s="3" t="s">
        <v>73</v>
      </c>
    </row>
    <row r="12" spans="1:4" ht="30" customHeight="1">
      <c r="A12" s="14" t="s">
        <v>74</v>
      </c>
      <c r="B12" s="3" t="s">
        <v>75</v>
      </c>
      <c r="C12" s="3" t="s">
        <v>76</v>
      </c>
      <c r="D12" s="3" t="s">
        <v>77</v>
      </c>
    </row>
    <row r="13" spans="1:4" ht="25.5">
      <c r="A13" s="14" t="s">
        <v>78</v>
      </c>
      <c r="B13" s="3" t="s">
        <v>79</v>
      </c>
      <c r="C13" s="3" t="s">
        <v>80</v>
      </c>
      <c r="D13" s="3" t="s">
        <v>81</v>
      </c>
    </row>
    <row r="14" spans="1:4" ht="38.25" customHeight="1">
      <c r="A14" s="14" t="s">
        <v>82</v>
      </c>
      <c r="B14" s="32" t="s">
        <v>83</v>
      </c>
      <c r="C14" s="3" t="s">
        <v>84</v>
      </c>
      <c r="D14" s="3" t="s">
        <v>85</v>
      </c>
    </row>
    <row r="15" spans="1:4" ht="30" customHeight="1">
      <c r="A15" s="14" t="s">
        <v>86</v>
      </c>
      <c r="B15" s="3" t="s">
        <v>87</v>
      </c>
      <c r="C15" s="3" t="s">
        <v>88</v>
      </c>
      <c r="D15" s="3" t="s">
        <v>89</v>
      </c>
    </row>
    <row r="16" spans="1:4" ht="103.5" customHeight="1">
      <c r="A16" s="14" t="s">
        <v>90</v>
      </c>
      <c r="B16" s="3" t="s">
        <v>91</v>
      </c>
      <c r="C16" s="3" t="s">
        <v>92</v>
      </c>
      <c r="D16" s="3" t="s">
        <v>93</v>
      </c>
    </row>
    <row r="17" spans="1:4" ht="30" customHeight="1">
      <c r="A17" s="14" t="s">
        <v>94</v>
      </c>
      <c r="B17" s="3" t="s">
        <v>95</v>
      </c>
      <c r="C17" s="3" t="s">
        <v>96</v>
      </c>
      <c r="D17" s="3" t="s">
        <v>97</v>
      </c>
    </row>
    <row r="18" spans="1:4" ht="30" customHeight="1">
      <c r="A18" s="14" t="s">
        <v>98</v>
      </c>
      <c r="B18" s="3" t="s">
        <v>99</v>
      </c>
      <c r="C18" s="3" t="s">
        <v>100</v>
      </c>
      <c r="D18" s="3" t="s">
        <v>101</v>
      </c>
    </row>
    <row r="19" spans="1:4" ht="30" customHeight="1">
      <c r="A19" s="14" t="s">
        <v>102</v>
      </c>
      <c r="B19" s="3" t="s">
        <v>103</v>
      </c>
      <c r="C19" s="3" t="s">
        <v>104</v>
      </c>
      <c r="D19" s="3" t="s">
        <v>105</v>
      </c>
    </row>
    <row r="20" spans="1:4" ht="30" customHeight="1">
      <c r="A20" s="14" t="s">
        <v>106</v>
      </c>
      <c r="B20" s="3" t="s">
        <v>107</v>
      </c>
      <c r="C20" s="3" t="s">
        <v>108</v>
      </c>
      <c r="D20" s="3" t="s">
        <v>108</v>
      </c>
    </row>
    <row r="21" spans="1:4" ht="30" customHeight="1">
      <c r="A21" s="14" t="s">
        <v>109</v>
      </c>
      <c r="B21" s="3">
        <v>46177</v>
      </c>
      <c r="C21" s="3" t="s">
        <v>110</v>
      </c>
      <c r="D21" s="3" t="s">
        <v>110</v>
      </c>
    </row>
    <row r="22" spans="1:4" ht="30" customHeight="1">
      <c r="A22" s="14" t="s">
        <v>111</v>
      </c>
      <c r="B22" s="3" t="s">
        <v>68</v>
      </c>
      <c r="C22" s="3" t="s">
        <v>112</v>
      </c>
      <c r="D22" s="3" t="s">
        <v>113</v>
      </c>
    </row>
  </sheetData>
  <mergeCells count="2">
    <mergeCell ref="A1:D1"/>
    <mergeCell ref="A2:D2"/>
  </mergeCells>
  <hyperlinks>
    <hyperlink ref="B13" r:id="rId1" xr:uid="{E23CBB25-6B17-4073-843E-EF3F6A4B74A7}"/>
    <hyperlink ref="B14" r:id="rId2" xr:uid="{75E2C602-D674-4A46-A4E9-A2B31CC058D7}"/>
  </hyperlinks>
  <pageMargins left="0.75" right="0.75" top="1" bottom="1" header="0.511811023622047" footer="0.511811023622047"/>
  <pageSetup paperSize="9" orientation="portrait" horizontalDpi="300" verticalDpi="30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T42"/>
  <sheetViews>
    <sheetView tabSelected="1" zoomScaleNormal="100" workbookViewId="0">
      <pane xSplit="5" ySplit="5" topLeftCell="Q24" activePane="bottomRight" state="frozen"/>
      <selection pane="bottomRight" activeCell="Y39" sqref="Y39"/>
      <selection pane="bottomLeft" activeCell="A6" sqref="A6"/>
      <selection pane="topRight" activeCell="F1" sqref="F1"/>
    </sheetView>
  </sheetViews>
  <sheetFormatPr defaultColWidth="8.7109375" defaultRowHeight="15"/>
  <cols>
    <col min="1" max="1" width="5" customWidth="1"/>
    <col min="2" max="2" width="7" customWidth="1"/>
    <col min="3" max="3" width="36" customWidth="1"/>
    <col min="4" max="5" width="7" customWidth="1"/>
    <col min="6" max="6" width="14.42578125" customWidth="1"/>
    <col min="7" max="7" width="26.28515625" customWidth="1"/>
    <col min="8" max="8" width="13" customWidth="1"/>
    <col min="9" max="9" width="19.140625" customWidth="1"/>
    <col min="10" max="10" width="13" customWidth="1"/>
    <col min="11" max="11" width="20" customWidth="1"/>
    <col min="12" max="15" width="13" customWidth="1"/>
    <col min="16" max="16" width="12" customWidth="1"/>
    <col min="17" max="17" width="8" customWidth="1"/>
    <col min="18" max="18" width="14" customWidth="1"/>
    <col min="19" max="19" width="19.28515625" customWidth="1"/>
    <col min="20" max="20" width="22" customWidth="1"/>
  </cols>
  <sheetData>
    <row r="1" spans="1:20" ht="27.75" customHeight="1">
      <c r="A1" s="38" t="s">
        <v>114</v>
      </c>
      <c r="B1" s="38"/>
      <c r="C1" s="38"/>
      <c r="D1" s="38"/>
      <c r="E1" s="38"/>
      <c r="F1" s="38"/>
      <c r="G1" s="38"/>
      <c r="H1" s="38"/>
      <c r="I1" s="38"/>
      <c r="J1" s="38"/>
      <c r="K1" s="38"/>
      <c r="L1" s="38"/>
      <c r="M1" s="38"/>
      <c r="N1" s="38"/>
      <c r="O1" s="38"/>
      <c r="P1" s="38"/>
      <c r="Q1" s="38"/>
      <c r="R1" s="38"/>
      <c r="S1" s="38"/>
      <c r="T1" s="38"/>
    </row>
    <row r="2" spans="1:20" ht="31.5" customHeight="1">
      <c r="A2" s="39" t="s">
        <v>115</v>
      </c>
      <c r="B2" s="39"/>
      <c r="C2" s="39"/>
      <c r="D2" s="39"/>
      <c r="E2" s="39"/>
      <c r="F2" s="39"/>
      <c r="G2" s="39"/>
      <c r="H2" s="39"/>
      <c r="I2" s="39"/>
      <c r="J2" s="39"/>
      <c r="K2" s="39"/>
      <c r="L2" s="39"/>
      <c r="M2" s="39"/>
      <c r="N2" s="39"/>
      <c r="O2" s="39"/>
      <c r="P2" s="39"/>
      <c r="Q2" s="39"/>
      <c r="R2" s="39"/>
      <c r="S2" s="39"/>
      <c r="T2" s="39"/>
    </row>
    <row r="4" spans="1:20" ht="21.75" customHeight="1">
      <c r="A4" s="40" t="s">
        <v>116</v>
      </c>
      <c r="B4" s="40"/>
      <c r="C4" s="40"/>
      <c r="D4" s="40"/>
      <c r="E4" s="41"/>
      <c r="F4" s="46" t="s">
        <v>117</v>
      </c>
      <c r="G4" s="46"/>
      <c r="H4" s="42" t="s">
        <v>51</v>
      </c>
      <c r="I4" s="43"/>
      <c r="J4" s="44" t="s">
        <v>118</v>
      </c>
      <c r="K4" s="44"/>
      <c r="L4" s="45" t="s">
        <v>119</v>
      </c>
      <c r="M4" s="45"/>
      <c r="N4" s="45"/>
      <c r="O4" s="45"/>
      <c r="P4" s="45"/>
      <c r="Q4" s="45"/>
      <c r="R4" s="40" t="s">
        <v>120</v>
      </c>
      <c r="S4" s="40"/>
      <c r="T4" s="2" t="s">
        <v>121</v>
      </c>
    </row>
    <row r="5" spans="1:20" ht="27.75" customHeight="1">
      <c r="A5" s="2" t="s">
        <v>122</v>
      </c>
      <c r="B5" s="2" t="s">
        <v>123</v>
      </c>
      <c r="C5" s="2" t="s">
        <v>124</v>
      </c>
      <c r="D5" s="2" t="s">
        <v>125</v>
      </c>
      <c r="E5" s="2" t="s">
        <v>126</v>
      </c>
      <c r="F5" s="29" t="s">
        <v>127</v>
      </c>
      <c r="G5" s="29" t="s">
        <v>128</v>
      </c>
      <c r="H5" s="2" t="s">
        <v>127</v>
      </c>
      <c r="I5" s="2" t="s">
        <v>128</v>
      </c>
      <c r="J5" s="2" t="s">
        <v>127</v>
      </c>
      <c r="K5" s="2" t="s">
        <v>128</v>
      </c>
      <c r="L5" s="2" t="s">
        <v>129</v>
      </c>
      <c r="M5" s="2" t="s">
        <v>62</v>
      </c>
      <c r="N5" s="2" t="s">
        <v>130</v>
      </c>
      <c r="O5" s="2" t="s">
        <v>131</v>
      </c>
      <c r="P5" s="2" t="s">
        <v>132</v>
      </c>
      <c r="Q5" s="2" t="s">
        <v>133</v>
      </c>
      <c r="R5" s="2" t="s">
        <v>134</v>
      </c>
      <c r="S5" s="2" t="s">
        <v>135</v>
      </c>
      <c r="T5" s="2" t="s">
        <v>136</v>
      </c>
    </row>
    <row r="6" spans="1:20" ht="21.75" customHeight="1">
      <c r="A6" s="47" t="s">
        <v>137</v>
      </c>
      <c r="B6" s="47"/>
      <c r="C6" s="47"/>
      <c r="D6" s="47"/>
      <c r="E6" s="47"/>
      <c r="F6" s="47"/>
      <c r="G6" s="47"/>
      <c r="H6" s="47"/>
      <c r="I6" s="47"/>
      <c r="J6" s="47"/>
      <c r="K6" s="47"/>
      <c r="L6" s="47"/>
      <c r="M6" s="47"/>
      <c r="N6" s="47"/>
      <c r="O6" s="47"/>
      <c r="P6" s="47"/>
      <c r="Q6" s="47"/>
      <c r="R6" s="47"/>
      <c r="S6" s="47"/>
      <c r="T6" s="47"/>
    </row>
    <row r="7" spans="1:20" ht="36" customHeight="1">
      <c r="A7" s="4" t="s">
        <v>138</v>
      </c>
      <c r="B7" s="4" t="s">
        <v>139</v>
      </c>
      <c r="C7" s="3" t="s">
        <v>140</v>
      </c>
      <c r="D7" s="15" t="s">
        <v>141</v>
      </c>
      <c r="E7" s="15">
        <v>2</v>
      </c>
      <c r="F7" s="91">
        <v>3486000</v>
      </c>
      <c r="G7" s="16">
        <f>E7*F7</f>
        <v>6972000</v>
      </c>
      <c r="H7" s="6">
        <v>3128480</v>
      </c>
      <c r="I7" s="16">
        <f>E7*H7</f>
        <v>6256960</v>
      </c>
      <c r="J7" s="6">
        <v>5454000</v>
      </c>
      <c r="K7" s="16">
        <f>E7*J7</f>
        <v>10908000</v>
      </c>
      <c r="L7" s="16">
        <f>IFERROR(AVERAGE(F7,H7,J7,),"")</f>
        <v>3017120</v>
      </c>
      <c r="M7" s="16">
        <f>IFERROR(MEDIAN(F7,H7,J7),"")</f>
        <v>3486000</v>
      </c>
      <c r="N7" s="16">
        <f>IFERROR(MIN(F7,H7,J7),"")</f>
        <v>3128480</v>
      </c>
      <c r="O7" s="16">
        <f>IFERROR(MAX(F7,H7,J7),"")</f>
        <v>5454000</v>
      </c>
      <c r="P7" s="16">
        <f>IFERROR(STDEV(F7,H7,J7),"")</f>
        <v>1252257.1501625902</v>
      </c>
      <c r="Q7" s="17">
        <f>IFERROR(IF(L7&gt;0,P7/L7,""),"")</f>
        <v>0.41505049522809506</v>
      </c>
      <c r="R7" s="18">
        <f>L7</f>
        <v>3017120</v>
      </c>
      <c r="S7" s="18">
        <f>E7*R7</f>
        <v>6034240</v>
      </c>
      <c r="T7" s="19"/>
    </row>
    <row r="8" spans="1:20" ht="36" customHeight="1">
      <c r="A8" s="4" t="s">
        <v>138</v>
      </c>
      <c r="B8" s="4" t="s">
        <v>142</v>
      </c>
      <c r="C8" s="3" t="s">
        <v>143</v>
      </c>
      <c r="D8" s="15" t="s">
        <v>141</v>
      </c>
      <c r="E8" s="15">
        <v>2</v>
      </c>
      <c r="F8" s="91">
        <v>6360000</v>
      </c>
      <c r="G8" s="16">
        <f t="shared" ref="G8:G10" si="0">E8*F8</f>
        <v>12720000</v>
      </c>
      <c r="H8" s="6">
        <v>5961450</v>
      </c>
      <c r="I8" s="16">
        <f>E8*H8</f>
        <v>11922900</v>
      </c>
      <c r="J8" s="6">
        <v>1241000</v>
      </c>
      <c r="K8" s="16">
        <f>E8*J8</f>
        <v>2482000</v>
      </c>
      <c r="L8" s="16">
        <f>IFERROR(AVERAGE(F8,H8,J8,),"")</f>
        <v>3390612.5</v>
      </c>
      <c r="M8" s="16">
        <f t="shared" ref="M8:M10" si="1">IFERROR(MEDIAN(F8,H8,J8),"")</f>
        <v>5961450</v>
      </c>
      <c r="N8" s="16">
        <f t="shared" ref="N8:N10" si="2">IFERROR(MIN(F8,H8,J8),"")</f>
        <v>1241000</v>
      </c>
      <c r="O8" s="16">
        <f t="shared" ref="O8:O10" si="3">IFERROR(MAX(F8,H8,J8),"")</f>
        <v>6360000</v>
      </c>
      <c r="P8" s="16">
        <f t="shared" ref="P8:P10" si="4">IFERROR(STDEV(F8,H8,J8),"")</f>
        <v>2847386.2665316998</v>
      </c>
      <c r="Q8" s="17">
        <f>IFERROR(IF(L8&gt;0,P8/L8,""),"")</f>
        <v>0.83978522067375727</v>
      </c>
      <c r="R8" s="18">
        <f>L8</f>
        <v>3390612.5</v>
      </c>
      <c r="S8" s="18">
        <f>E8*R8</f>
        <v>6781225</v>
      </c>
      <c r="T8" s="19"/>
    </row>
    <row r="9" spans="1:20" ht="36" customHeight="1">
      <c r="A9" s="4" t="s">
        <v>138</v>
      </c>
      <c r="B9" s="4" t="s">
        <v>144</v>
      </c>
      <c r="C9" s="3" t="s">
        <v>145</v>
      </c>
      <c r="D9" s="15" t="s">
        <v>141</v>
      </c>
      <c r="E9" s="15">
        <v>2</v>
      </c>
      <c r="F9" s="91">
        <v>4480000</v>
      </c>
      <c r="G9" s="16">
        <f t="shared" si="0"/>
        <v>8960000</v>
      </c>
      <c r="H9" s="6">
        <v>5324360</v>
      </c>
      <c r="I9" s="16">
        <f>E9*H9</f>
        <v>10648720</v>
      </c>
      <c r="J9" s="6">
        <v>4112000</v>
      </c>
      <c r="K9" s="16">
        <f>E9*J9</f>
        <v>8224000</v>
      </c>
      <c r="L9" s="16">
        <f t="shared" ref="L9:L10" si="5">IFERROR(AVERAGE(F9,H9,J9,),"")</f>
        <v>3479090</v>
      </c>
      <c r="M9" s="16">
        <f t="shared" si="1"/>
        <v>4480000</v>
      </c>
      <c r="N9" s="16">
        <f t="shared" si="2"/>
        <v>4112000</v>
      </c>
      <c r="O9" s="16">
        <f t="shared" si="3"/>
        <v>5324360</v>
      </c>
      <c r="P9" s="16">
        <f t="shared" si="4"/>
        <v>621581.9306683006</v>
      </c>
      <c r="Q9" s="17">
        <f>IFERROR(IF(L9&gt;0,P9/L9,""),"")</f>
        <v>0.17866221646128747</v>
      </c>
      <c r="R9" s="18">
        <f>L9</f>
        <v>3479090</v>
      </c>
      <c r="S9" s="18">
        <f>E9*R9</f>
        <v>6958180</v>
      </c>
      <c r="T9" s="19"/>
    </row>
    <row r="10" spans="1:20" ht="36" customHeight="1">
      <c r="A10" s="4" t="s">
        <v>138</v>
      </c>
      <c r="B10" s="4" t="s">
        <v>146</v>
      </c>
      <c r="C10" s="3" t="s">
        <v>147</v>
      </c>
      <c r="D10" s="15" t="s">
        <v>141</v>
      </c>
      <c r="E10" s="15">
        <v>2</v>
      </c>
      <c r="F10" s="91">
        <v>4900000</v>
      </c>
      <c r="G10" s="16">
        <f t="shared" si="0"/>
        <v>9800000</v>
      </c>
      <c r="H10" s="6">
        <v>2296000</v>
      </c>
      <c r="I10" s="16">
        <f>E10*H10</f>
        <v>4592000</v>
      </c>
      <c r="J10" s="6">
        <v>3869000</v>
      </c>
      <c r="K10" s="16">
        <f>E10*J10</f>
        <v>7738000</v>
      </c>
      <c r="L10" s="16">
        <f t="shared" si="5"/>
        <v>2766250</v>
      </c>
      <c r="M10" s="16">
        <f t="shared" si="1"/>
        <v>3869000</v>
      </c>
      <c r="N10" s="16">
        <f t="shared" si="2"/>
        <v>2296000</v>
      </c>
      <c r="O10" s="16">
        <f t="shared" si="3"/>
        <v>4900000</v>
      </c>
      <c r="P10" s="16">
        <f t="shared" si="4"/>
        <v>1311367.3525497469</v>
      </c>
      <c r="Q10" s="17">
        <f>IFERROR(IF(L10&gt;0,P10/L10,""),"")</f>
        <v>0.47405959423397986</v>
      </c>
      <c r="R10" s="18">
        <f>L10</f>
        <v>2766250</v>
      </c>
      <c r="S10" s="18">
        <f>E10*R10</f>
        <v>5532500</v>
      </c>
      <c r="T10" s="19"/>
    </row>
    <row r="11" spans="1:20" ht="21.75" customHeight="1">
      <c r="A11" s="48" t="s">
        <v>148</v>
      </c>
      <c r="B11" s="48"/>
      <c r="C11" s="48"/>
      <c r="D11" s="48"/>
      <c r="E11" s="48"/>
      <c r="F11" s="1"/>
      <c r="G11" s="21">
        <f>SUM(G7:G10)</f>
        <v>38452000</v>
      </c>
      <c r="H11" s="20"/>
      <c r="I11" s="21">
        <f>SUM(I7:I10)</f>
        <v>33420580</v>
      </c>
      <c r="J11" s="20"/>
      <c r="K11" s="21">
        <f>SUM(K7:K10)</f>
        <v>29352000</v>
      </c>
      <c r="L11" s="20"/>
      <c r="M11" s="20"/>
      <c r="N11" s="20"/>
      <c r="O11" s="20"/>
      <c r="P11" s="20"/>
      <c r="Q11" s="20"/>
      <c r="R11" s="20"/>
      <c r="S11" s="21">
        <f>SUM(S7:S10)</f>
        <v>25306145</v>
      </c>
      <c r="T11" s="20"/>
    </row>
    <row r="12" spans="1:20" ht="21.75" customHeight="1">
      <c r="A12" s="47" t="s">
        <v>149</v>
      </c>
      <c r="B12" s="47"/>
      <c r="C12" s="47"/>
      <c r="D12" s="47"/>
      <c r="E12" s="47"/>
      <c r="F12" s="47"/>
      <c r="G12" s="47"/>
      <c r="H12" s="47"/>
      <c r="I12" s="47"/>
      <c r="J12" s="47"/>
      <c r="K12" s="47"/>
      <c r="L12" s="47"/>
      <c r="M12" s="47"/>
      <c r="N12" s="47"/>
      <c r="O12" s="47"/>
      <c r="P12" s="47"/>
      <c r="Q12" s="47"/>
      <c r="R12" s="47"/>
      <c r="S12" s="47"/>
      <c r="T12" s="47"/>
    </row>
    <row r="13" spans="1:20" ht="43.5" customHeight="1">
      <c r="A13" s="4" t="s">
        <v>150</v>
      </c>
      <c r="B13" s="4" t="s">
        <v>151</v>
      </c>
      <c r="C13" s="3" t="s">
        <v>152</v>
      </c>
      <c r="D13" s="15" t="s">
        <v>141</v>
      </c>
      <c r="E13" s="15">
        <v>2</v>
      </c>
      <c r="F13" s="91">
        <v>8225000</v>
      </c>
      <c r="G13" s="16">
        <f t="shared" ref="G13:G18" si="6">E13*F13</f>
        <v>16450000</v>
      </c>
      <c r="H13" s="6">
        <v>3090000</v>
      </c>
      <c r="I13" s="16">
        <f t="shared" ref="I13:I18" si="7">E13*H13</f>
        <v>6180000</v>
      </c>
      <c r="J13" s="6">
        <v>13064000</v>
      </c>
      <c r="K13" s="16">
        <f t="shared" ref="K13:K18" si="8">E13*J13</f>
        <v>26128000</v>
      </c>
      <c r="L13" s="16">
        <f>IFERROR(AVERAGE(F13,H13,J13),"")</f>
        <v>8126333.333333333</v>
      </c>
      <c r="M13" s="16">
        <f t="shared" ref="M13:M18" si="9">IFERROR(MEDIAN(F13,H13,J13),"")</f>
        <v>8225000</v>
      </c>
      <c r="N13" s="16">
        <f t="shared" ref="N13:N18" si="10">IFERROR(MIN(F13,H13,J13),"")</f>
        <v>3090000</v>
      </c>
      <c r="O13" s="16">
        <f t="shared" ref="O13:O18" si="11">IFERROR(MAX(F13,H13,J13),"")</f>
        <v>13064000</v>
      </c>
      <c r="P13" s="16">
        <f t="shared" ref="P13:P18" si="12">IFERROR(STDEV(F13,H13,J13),"")</f>
        <v>4987731.9829089986</v>
      </c>
      <c r="Q13" s="17">
        <f t="shared" ref="Q13:Q18" si="13">IFERROR(IF(L13&gt;0,P13/L13,""),"")</f>
        <v>0.61377398370429448</v>
      </c>
      <c r="R13" s="18">
        <f t="shared" ref="R13:R18" si="14">L13</f>
        <v>8126333.333333333</v>
      </c>
      <c r="S13" s="18">
        <f t="shared" ref="S13:S18" si="15">E13*R13</f>
        <v>16252666.666666666</v>
      </c>
      <c r="T13" s="19"/>
    </row>
    <row r="14" spans="1:20" ht="33" customHeight="1">
      <c r="A14" s="4" t="s">
        <v>150</v>
      </c>
      <c r="B14" s="4" t="s">
        <v>153</v>
      </c>
      <c r="C14" s="3" t="s">
        <v>154</v>
      </c>
      <c r="D14" s="15" t="s">
        <v>155</v>
      </c>
      <c r="E14" s="15">
        <v>2</v>
      </c>
      <c r="F14" s="91">
        <v>550000</v>
      </c>
      <c r="G14" s="16">
        <f t="shared" si="6"/>
        <v>1100000</v>
      </c>
      <c r="H14" s="6">
        <v>3950000</v>
      </c>
      <c r="I14" s="16">
        <f t="shared" si="7"/>
        <v>7900000</v>
      </c>
      <c r="J14" s="6">
        <v>1402000</v>
      </c>
      <c r="K14" s="16">
        <f t="shared" si="8"/>
        <v>2804000</v>
      </c>
      <c r="L14" s="16">
        <f t="shared" ref="L14:L18" si="16">IFERROR(AVERAGE(F14,H14,J14),"")</f>
        <v>1967333.3333333333</v>
      </c>
      <c r="M14" s="16">
        <f t="shared" si="9"/>
        <v>1402000</v>
      </c>
      <c r="N14" s="16">
        <f t="shared" si="10"/>
        <v>550000</v>
      </c>
      <c r="O14" s="16">
        <f t="shared" si="11"/>
        <v>3950000</v>
      </c>
      <c r="P14" s="16">
        <f t="shared" si="12"/>
        <v>1769096.1910911833</v>
      </c>
      <c r="Q14" s="17">
        <f t="shared" si="13"/>
        <v>0.89923561051737555</v>
      </c>
      <c r="R14" s="18">
        <f t="shared" si="14"/>
        <v>1967333.3333333333</v>
      </c>
      <c r="S14" s="18">
        <f t="shared" si="15"/>
        <v>3934666.6666666665</v>
      </c>
      <c r="T14" s="19"/>
    </row>
    <row r="15" spans="1:20" ht="36" customHeight="1">
      <c r="A15" s="4" t="s">
        <v>150</v>
      </c>
      <c r="B15" s="4" t="s">
        <v>156</v>
      </c>
      <c r="C15" s="3" t="s">
        <v>157</v>
      </c>
      <c r="D15" s="15" t="s">
        <v>141</v>
      </c>
      <c r="E15" s="15">
        <v>2</v>
      </c>
      <c r="F15" s="91">
        <v>1796000</v>
      </c>
      <c r="G15" s="16">
        <f t="shared" si="6"/>
        <v>3592000</v>
      </c>
      <c r="H15" s="6">
        <v>4100000</v>
      </c>
      <c r="I15" s="16">
        <f t="shared" si="7"/>
        <v>8200000</v>
      </c>
      <c r="J15" s="6">
        <v>3121000</v>
      </c>
      <c r="K15" s="16">
        <f t="shared" si="8"/>
        <v>6242000</v>
      </c>
      <c r="L15" s="16">
        <f t="shared" si="16"/>
        <v>3005666.6666666665</v>
      </c>
      <c r="M15" s="16">
        <f t="shared" si="9"/>
        <v>3121000</v>
      </c>
      <c r="N15" s="16">
        <f t="shared" si="10"/>
        <v>1796000</v>
      </c>
      <c r="O15" s="16">
        <f t="shared" si="11"/>
        <v>4100000</v>
      </c>
      <c r="P15" s="16">
        <f t="shared" si="12"/>
        <v>1156321.8986654771</v>
      </c>
      <c r="Q15" s="17">
        <f t="shared" si="13"/>
        <v>0.38471395098108369</v>
      </c>
      <c r="R15" s="18">
        <f t="shared" si="14"/>
        <v>3005666.6666666665</v>
      </c>
      <c r="S15" s="18">
        <f t="shared" si="15"/>
        <v>6011333.333333333</v>
      </c>
      <c r="T15" s="19"/>
    </row>
    <row r="16" spans="1:20" ht="36" customHeight="1">
      <c r="A16" s="4" t="s">
        <v>150</v>
      </c>
      <c r="B16" s="4" t="s">
        <v>158</v>
      </c>
      <c r="C16" s="3" t="s">
        <v>159</v>
      </c>
      <c r="D16" s="15" t="s">
        <v>141</v>
      </c>
      <c r="E16" s="15">
        <v>2</v>
      </c>
      <c r="F16" s="91">
        <v>1780000</v>
      </c>
      <c r="G16" s="16">
        <f t="shared" si="6"/>
        <v>3560000</v>
      </c>
      <c r="H16" s="6">
        <v>3298600</v>
      </c>
      <c r="I16" s="16">
        <f t="shared" si="7"/>
        <v>6597200</v>
      </c>
      <c r="J16" s="6">
        <v>2336000</v>
      </c>
      <c r="K16" s="16">
        <f t="shared" si="8"/>
        <v>4672000</v>
      </c>
      <c r="L16" s="16">
        <f t="shared" si="16"/>
        <v>2471533.3333333335</v>
      </c>
      <c r="M16" s="16">
        <f t="shared" si="9"/>
        <v>2336000</v>
      </c>
      <c r="N16" s="16">
        <f t="shared" si="10"/>
        <v>1780000</v>
      </c>
      <c r="O16" s="16">
        <f t="shared" si="11"/>
        <v>3298600</v>
      </c>
      <c r="P16" s="16">
        <f t="shared" si="12"/>
        <v>768318.58843407792</v>
      </c>
      <c r="Q16" s="17">
        <f t="shared" si="13"/>
        <v>0.31086717628762628</v>
      </c>
      <c r="R16" s="18">
        <f t="shared" si="14"/>
        <v>2471533.3333333335</v>
      </c>
      <c r="S16" s="18">
        <f>E16*R16</f>
        <v>4943066.666666667</v>
      </c>
      <c r="T16" s="19"/>
    </row>
    <row r="17" spans="1:20" ht="36" customHeight="1">
      <c r="A17" s="4" t="s">
        <v>150</v>
      </c>
      <c r="B17" s="4" t="s">
        <v>160</v>
      </c>
      <c r="C17" s="3" t="s">
        <v>161</v>
      </c>
      <c r="D17" s="15" t="s">
        <v>141</v>
      </c>
      <c r="E17" s="15">
        <v>2</v>
      </c>
      <c r="F17" s="91">
        <v>2670000</v>
      </c>
      <c r="G17" s="16">
        <f t="shared" si="6"/>
        <v>5340000</v>
      </c>
      <c r="H17" s="6">
        <v>3380000</v>
      </c>
      <c r="I17" s="16">
        <f t="shared" si="7"/>
        <v>6760000</v>
      </c>
      <c r="J17" s="6">
        <v>1682000</v>
      </c>
      <c r="K17" s="16">
        <f t="shared" si="8"/>
        <v>3364000</v>
      </c>
      <c r="L17" s="16">
        <f t="shared" si="16"/>
        <v>2577333.3333333335</v>
      </c>
      <c r="M17" s="16">
        <f t="shared" si="9"/>
        <v>2670000</v>
      </c>
      <c r="N17" s="16">
        <f t="shared" si="10"/>
        <v>1682000</v>
      </c>
      <c r="O17" s="16">
        <f t="shared" si="11"/>
        <v>3380000</v>
      </c>
      <c r="P17" s="16">
        <f t="shared" si="12"/>
        <v>852784.45889529085</v>
      </c>
      <c r="Q17" s="17">
        <f t="shared" si="13"/>
        <v>0.33087860536547753</v>
      </c>
      <c r="R17" s="18">
        <f t="shared" si="14"/>
        <v>2577333.3333333335</v>
      </c>
      <c r="S17" s="18">
        <f t="shared" si="15"/>
        <v>5154666.666666667</v>
      </c>
      <c r="T17" s="19"/>
    </row>
    <row r="18" spans="1:20" ht="36" customHeight="1">
      <c r="A18" s="4" t="s">
        <v>150</v>
      </c>
      <c r="B18" s="4" t="s">
        <v>162</v>
      </c>
      <c r="C18" s="3" t="s">
        <v>163</v>
      </c>
      <c r="D18" s="15" t="s">
        <v>164</v>
      </c>
      <c r="E18" s="15">
        <v>2</v>
      </c>
      <c r="F18" s="91">
        <v>389000</v>
      </c>
      <c r="G18" s="16">
        <f t="shared" si="6"/>
        <v>778000</v>
      </c>
      <c r="H18" s="6">
        <v>190000</v>
      </c>
      <c r="I18" s="16">
        <f t="shared" si="7"/>
        <v>380000</v>
      </c>
      <c r="J18" s="6">
        <v>112000</v>
      </c>
      <c r="K18" s="16">
        <f t="shared" si="8"/>
        <v>224000</v>
      </c>
      <c r="L18" s="16">
        <f t="shared" si="16"/>
        <v>230333.33333333334</v>
      </c>
      <c r="M18" s="16">
        <f t="shared" si="9"/>
        <v>190000</v>
      </c>
      <c r="N18" s="16">
        <f t="shared" si="10"/>
        <v>112000</v>
      </c>
      <c r="O18" s="16">
        <f t="shared" si="11"/>
        <v>389000</v>
      </c>
      <c r="P18" s="16">
        <f t="shared" si="12"/>
        <v>142836.73663778981</v>
      </c>
      <c r="Q18" s="17">
        <f t="shared" si="13"/>
        <v>0.62013054980227122</v>
      </c>
      <c r="R18" s="18">
        <f t="shared" si="14"/>
        <v>230333.33333333334</v>
      </c>
      <c r="S18" s="18">
        <f t="shared" si="15"/>
        <v>460666.66666666669</v>
      </c>
      <c r="T18" s="19"/>
    </row>
    <row r="19" spans="1:20" ht="21.75" customHeight="1">
      <c r="A19" s="48" t="s">
        <v>165</v>
      </c>
      <c r="B19" s="48"/>
      <c r="C19" s="48"/>
      <c r="D19" s="48"/>
      <c r="E19" s="48"/>
      <c r="F19" s="1"/>
      <c r="G19" s="21">
        <f>SUM(G13:G18)</f>
        <v>30820000</v>
      </c>
      <c r="H19" s="20"/>
      <c r="I19" s="21">
        <f>SUM(I13:I18)</f>
        <v>36017200</v>
      </c>
      <c r="J19" s="20"/>
      <c r="K19" s="21">
        <f>SUM(K13:K18)</f>
        <v>43434000</v>
      </c>
      <c r="L19" s="20"/>
      <c r="M19" s="20"/>
      <c r="N19" s="20"/>
      <c r="O19" s="20"/>
      <c r="P19" s="20"/>
      <c r="Q19" s="20"/>
      <c r="R19" s="20"/>
      <c r="S19" s="21">
        <f>SUM(S13:S18)</f>
        <v>36757066.666666664</v>
      </c>
      <c r="T19" s="20"/>
    </row>
    <row r="20" spans="1:20" ht="21.75" customHeight="1">
      <c r="A20" s="47" t="s">
        <v>166</v>
      </c>
      <c r="B20" s="47"/>
      <c r="C20" s="47"/>
      <c r="D20" s="47"/>
      <c r="E20" s="47"/>
      <c r="F20" s="47"/>
      <c r="G20" s="47"/>
      <c r="H20" s="47"/>
      <c r="I20" s="47"/>
      <c r="J20" s="47"/>
      <c r="K20" s="47"/>
      <c r="L20" s="47"/>
      <c r="M20" s="47"/>
      <c r="N20" s="47"/>
      <c r="O20" s="47"/>
      <c r="P20" s="47"/>
      <c r="Q20" s="47"/>
      <c r="R20" s="47"/>
      <c r="S20" s="47"/>
      <c r="T20" s="47"/>
    </row>
    <row r="21" spans="1:20" ht="36" customHeight="1">
      <c r="A21" s="4" t="s">
        <v>167</v>
      </c>
      <c r="B21" s="4" t="s">
        <v>168</v>
      </c>
      <c r="C21" s="3" t="s">
        <v>169</v>
      </c>
      <c r="D21" s="15" t="s">
        <v>155</v>
      </c>
      <c r="E21" s="15">
        <v>4</v>
      </c>
      <c r="F21" s="91">
        <v>3370000</v>
      </c>
      <c r="G21" s="16">
        <f t="shared" ref="G21:G24" si="17">E21*F21</f>
        <v>13480000</v>
      </c>
      <c r="H21" s="6">
        <v>2996000</v>
      </c>
      <c r="I21" s="16">
        <f>E21*H21</f>
        <v>11984000</v>
      </c>
      <c r="J21" s="6">
        <v>444000</v>
      </c>
      <c r="K21" s="16">
        <f>E21*J21</f>
        <v>1776000</v>
      </c>
      <c r="L21" s="16">
        <f t="shared" ref="L21:L24" si="18">IFERROR(AVERAGE(F21,H21,J21),"")</f>
        <v>2270000</v>
      </c>
      <c r="M21" s="16">
        <f t="shared" ref="M21:M28" si="19">IFERROR(MEDIAN(F21,H21,J21),"")</f>
        <v>2996000</v>
      </c>
      <c r="N21" s="16">
        <f t="shared" ref="N21:N24" si="20">IFERROR(MIN(F21,H21,J21),"")</f>
        <v>444000</v>
      </c>
      <c r="O21" s="16">
        <f t="shared" ref="O21:O24" si="21">IFERROR(MAX(F21,H21,J21),"")</f>
        <v>3370000</v>
      </c>
      <c r="P21" s="16">
        <f t="shared" ref="P21:P24" si="22">IFERROR(STDEV(F21,H21,J21),"")</f>
        <v>1592380.6077693864</v>
      </c>
      <c r="Q21" s="17">
        <f>IFERROR(IF(L21&gt;0,P21/L21,""),"")</f>
        <v>0.70148925452395872</v>
      </c>
      <c r="R21" s="18">
        <f>L21</f>
        <v>2270000</v>
      </c>
      <c r="S21" s="18">
        <f>E21*R21</f>
        <v>9080000</v>
      </c>
      <c r="T21" s="19"/>
    </row>
    <row r="22" spans="1:20" ht="36" customHeight="1">
      <c r="A22" s="4" t="s">
        <v>167</v>
      </c>
      <c r="B22" s="4" t="s">
        <v>170</v>
      </c>
      <c r="C22" s="3" t="s">
        <v>171</v>
      </c>
      <c r="D22" s="15" t="s">
        <v>172</v>
      </c>
      <c r="E22" s="15">
        <v>2</v>
      </c>
      <c r="F22" s="91">
        <v>390000</v>
      </c>
      <c r="G22" s="16">
        <f t="shared" si="17"/>
        <v>780000</v>
      </c>
      <c r="H22" s="6">
        <v>320000</v>
      </c>
      <c r="I22" s="16">
        <f>E22*H22</f>
        <v>640000</v>
      </c>
      <c r="J22" s="6">
        <v>199000</v>
      </c>
      <c r="K22" s="16">
        <f>E22*J22</f>
        <v>398000</v>
      </c>
      <c r="L22" s="16">
        <f t="shared" si="18"/>
        <v>303000</v>
      </c>
      <c r="M22" s="16">
        <f t="shared" si="19"/>
        <v>320000</v>
      </c>
      <c r="N22" s="16">
        <f t="shared" si="20"/>
        <v>199000</v>
      </c>
      <c r="O22" s="16">
        <f t="shared" si="21"/>
        <v>390000</v>
      </c>
      <c r="P22" s="16">
        <f t="shared" si="22"/>
        <v>96628.153247384384</v>
      </c>
      <c r="Q22" s="17">
        <f>IFERROR(IF(L22&gt;0,P22/L22,""),"")</f>
        <v>0.31890479619598805</v>
      </c>
      <c r="R22" s="18">
        <f>L22</f>
        <v>303000</v>
      </c>
      <c r="S22" s="18">
        <f>E22*R22</f>
        <v>606000</v>
      </c>
      <c r="T22" s="19"/>
    </row>
    <row r="23" spans="1:20" ht="36" customHeight="1">
      <c r="A23" s="4" t="s">
        <v>167</v>
      </c>
      <c r="B23" s="4" t="s">
        <v>173</v>
      </c>
      <c r="C23" s="3" t="s">
        <v>174</v>
      </c>
      <c r="D23" s="15" t="s">
        <v>172</v>
      </c>
      <c r="E23" s="15">
        <v>4</v>
      </c>
      <c r="F23" s="91">
        <v>270000</v>
      </c>
      <c r="G23" s="16">
        <f t="shared" si="17"/>
        <v>1080000</v>
      </c>
      <c r="H23" s="6">
        <v>315000</v>
      </c>
      <c r="I23" s="16">
        <f>E23*H23</f>
        <v>1260000</v>
      </c>
      <c r="J23" s="6">
        <v>190000</v>
      </c>
      <c r="K23" s="16">
        <f>E23*J23</f>
        <v>760000</v>
      </c>
      <c r="L23" s="16">
        <f t="shared" si="18"/>
        <v>258333.33333333334</v>
      </c>
      <c r="M23" s="16">
        <f t="shared" si="19"/>
        <v>270000</v>
      </c>
      <c r="N23" s="16">
        <f t="shared" si="20"/>
        <v>190000</v>
      </c>
      <c r="O23" s="16">
        <f t="shared" si="21"/>
        <v>315000</v>
      </c>
      <c r="P23" s="16">
        <f t="shared" si="22"/>
        <v>63311.399710741891</v>
      </c>
      <c r="Q23" s="17">
        <f>IFERROR(IF(L23&gt;0,P23/L23,""),"")</f>
        <v>0.24507638597706538</v>
      </c>
      <c r="R23" s="18">
        <f>L23</f>
        <v>258333.33333333334</v>
      </c>
      <c r="S23" s="18">
        <f>E23*R23</f>
        <v>1033333.3333333334</v>
      </c>
      <c r="T23" s="19"/>
    </row>
    <row r="24" spans="1:20" ht="36" customHeight="1">
      <c r="A24" s="4" t="s">
        <v>167</v>
      </c>
      <c r="B24" s="4" t="s">
        <v>175</v>
      </c>
      <c r="C24" s="3" t="s">
        <v>176</v>
      </c>
      <c r="D24" s="15" t="s">
        <v>141</v>
      </c>
      <c r="E24" s="15">
        <v>2</v>
      </c>
      <c r="F24" s="91">
        <v>350000</v>
      </c>
      <c r="G24" s="16">
        <f t="shared" si="17"/>
        <v>700000</v>
      </c>
      <c r="H24" s="6">
        <v>950000</v>
      </c>
      <c r="I24" s="16">
        <f>E24*H24</f>
        <v>1900000</v>
      </c>
      <c r="J24" s="6">
        <v>1867000</v>
      </c>
      <c r="K24" s="16">
        <f>E24*J24</f>
        <v>3734000</v>
      </c>
      <c r="L24" s="16">
        <f t="shared" si="18"/>
        <v>1055666.6666666667</v>
      </c>
      <c r="M24" s="16">
        <f t="shared" si="19"/>
        <v>950000</v>
      </c>
      <c r="N24" s="16">
        <f t="shared" si="20"/>
        <v>350000</v>
      </c>
      <c r="O24" s="16">
        <f t="shared" si="21"/>
        <v>1867000</v>
      </c>
      <c r="P24" s="16">
        <f t="shared" si="22"/>
        <v>764000.21815005608</v>
      </c>
      <c r="Q24" s="17">
        <f>IFERROR(IF(L24&gt;0,P24/L24,""),"")</f>
        <v>0.72371349998426526</v>
      </c>
      <c r="R24" s="18">
        <f>L24</f>
        <v>1055666.6666666667</v>
      </c>
      <c r="S24" s="18">
        <f>E24*R24</f>
        <v>2111333.3333333335</v>
      </c>
      <c r="T24" s="19"/>
    </row>
    <row r="25" spans="1:20" ht="21.75" customHeight="1">
      <c r="A25" s="48" t="s">
        <v>177</v>
      </c>
      <c r="B25" s="48"/>
      <c r="C25" s="48"/>
      <c r="D25" s="48"/>
      <c r="E25" s="48"/>
      <c r="F25" s="1"/>
      <c r="G25" s="21">
        <f>SUM(G21:G24)</f>
        <v>16040000</v>
      </c>
      <c r="H25" s="20"/>
      <c r="I25" s="21">
        <f>SUM(I21:I24)</f>
        <v>15784000</v>
      </c>
      <c r="J25" s="20"/>
      <c r="K25" s="21">
        <f>SUM(K21:K24)</f>
        <v>6668000</v>
      </c>
      <c r="L25" s="20"/>
      <c r="M25" s="16" t="str">
        <f t="shared" si="19"/>
        <v/>
      </c>
      <c r="N25" s="20"/>
      <c r="O25" s="20"/>
      <c r="P25" s="20"/>
      <c r="Q25" s="20"/>
      <c r="R25" s="20"/>
      <c r="S25" s="21">
        <f>SUM(S21:S24)</f>
        <v>12830666.666666668</v>
      </c>
      <c r="T25" s="20"/>
    </row>
    <row r="26" spans="1:20" ht="21.75" customHeight="1">
      <c r="A26" s="47" t="s">
        <v>178</v>
      </c>
      <c r="B26" s="47"/>
      <c r="C26" s="47"/>
      <c r="D26" s="47"/>
      <c r="E26" s="47"/>
      <c r="F26" s="47"/>
      <c r="G26" s="47"/>
      <c r="H26" s="47"/>
      <c r="I26" s="47"/>
      <c r="J26" s="47"/>
      <c r="K26" s="47"/>
      <c r="L26" s="47"/>
      <c r="M26" s="47"/>
      <c r="N26" s="47"/>
      <c r="O26" s="47"/>
      <c r="P26" s="47"/>
      <c r="Q26" s="47"/>
      <c r="R26" s="47"/>
      <c r="S26" s="47"/>
      <c r="T26" s="47"/>
    </row>
    <row r="27" spans="1:20" ht="36" customHeight="1">
      <c r="A27" s="4" t="s">
        <v>179</v>
      </c>
      <c r="B27" s="4" t="s">
        <v>180</v>
      </c>
      <c r="C27" s="3" t="s">
        <v>181</v>
      </c>
      <c r="D27" s="15" t="s">
        <v>141</v>
      </c>
      <c r="E27" s="15">
        <v>2</v>
      </c>
      <c r="F27" s="91">
        <v>480000</v>
      </c>
      <c r="G27" s="16">
        <f t="shared" ref="G27:G28" si="23">E27*F27</f>
        <v>960000</v>
      </c>
      <c r="H27" s="6">
        <v>590400</v>
      </c>
      <c r="I27" s="16">
        <f>E27*H27</f>
        <v>1180800</v>
      </c>
      <c r="J27" s="6">
        <v>336000</v>
      </c>
      <c r="K27" s="16">
        <f>E27*J27</f>
        <v>672000</v>
      </c>
      <c r="L27" s="16">
        <f t="shared" ref="L27" si="24">IFERROR(AVERAGE(F27,H27,J27),"")</f>
        <v>468800</v>
      </c>
      <c r="M27" s="16">
        <f t="shared" si="19"/>
        <v>480000</v>
      </c>
      <c r="N27" s="16">
        <f t="shared" ref="N27:N28" si="25">IFERROR(MIN(F27,H27,J27),"")</f>
        <v>336000</v>
      </c>
      <c r="O27" s="16">
        <f t="shared" ref="O27:O28" si="26">IFERROR(MAX(F27,H27,J27),"")</f>
        <v>590400</v>
      </c>
      <c r="P27" s="16">
        <f t="shared" ref="P27:P28" si="27">IFERROR(STDEV(F27,H27,J27),"")</f>
        <v>127569.27529777693</v>
      </c>
      <c r="Q27" s="17">
        <f>IFERROR(IF(L27&gt;0,P27/L27,""),"")</f>
        <v>0.27211876130071871</v>
      </c>
      <c r="R27" s="18">
        <f>L27</f>
        <v>468800</v>
      </c>
      <c r="S27" s="18">
        <f>E27*R27</f>
        <v>937600</v>
      </c>
      <c r="T27" s="19"/>
    </row>
    <row r="28" spans="1:20" ht="36" customHeight="1">
      <c r="A28" s="4" t="s">
        <v>179</v>
      </c>
      <c r="B28" s="4" t="s">
        <v>182</v>
      </c>
      <c r="C28" s="3" t="s">
        <v>183</v>
      </c>
      <c r="D28" s="15" t="s">
        <v>172</v>
      </c>
      <c r="E28" s="15">
        <v>2</v>
      </c>
      <c r="F28" s="91">
        <v>225000</v>
      </c>
      <c r="G28" s="16">
        <f t="shared" si="23"/>
        <v>450000</v>
      </c>
      <c r="H28" s="6">
        <v>380000</v>
      </c>
      <c r="I28" s="16">
        <f>E28*H28</f>
        <v>760000</v>
      </c>
      <c r="J28" s="6">
        <v>75000</v>
      </c>
      <c r="K28" s="16">
        <f>E28*J28</f>
        <v>150000</v>
      </c>
      <c r="L28" s="16">
        <f>IFERROR(AVERAGE(F28,H28,J28),"")</f>
        <v>226666.66666666666</v>
      </c>
      <c r="M28" s="16">
        <f t="shared" si="19"/>
        <v>225000</v>
      </c>
      <c r="N28" s="16">
        <f t="shared" si="25"/>
        <v>75000</v>
      </c>
      <c r="O28" s="16">
        <f t="shared" si="26"/>
        <v>380000</v>
      </c>
      <c r="P28" s="16">
        <f t="shared" si="27"/>
        <v>152506.83044812561</v>
      </c>
      <c r="Q28" s="17">
        <f>IFERROR(IF(L28&gt;0,P28/L28,""),"")</f>
        <v>0.67282425197702478</v>
      </c>
      <c r="R28" s="18">
        <f>L28</f>
        <v>226666.66666666666</v>
      </c>
      <c r="S28" s="18">
        <f>E28*R28</f>
        <v>453333.33333333331</v>
      </c>
      <c r="T28" s="19"/>
    </row>
    <row r="29" spans="1:20" ht="21.75" customHeight="1">
      <c r="A29" s="48" t="s">
        <v>184</v>
      </c>
      <c r="B29" s="48"/>
      <c r="C29" s="48"/>
      <c r="D29" s="48"/>
      <c r="E29" s="48"/>
      <c r="F29" s="1"/>
      <c r="G29" s="21">
        <f>SUM(G27:G28)</f>
        <v>1410000</v>
      </c>
      <c r="H29" s="20"/>
      <c r="I29" s="21">
        <f>SUM(I27:I28)</f>
        <v>1940800</v>
      </c>
      <c r="J29" s="20"/>
      <c r="K29" s="21">
        <f>SUM(K27:K28)</f>
        <v>822000</v>
      </c>
      <c r="L29" s="20"/>
      <c r="M29" s="20"/>
      <c r="N29" s="20"/>
      <c r="O29" s="20"/>
      <c r="P29" s="20"/>
      <c r="Q29" s="20"/>
      <c r="R29" s="20"/>
      <c r="S29" s="21">
        <f>SUM(S27:S28)</f>
        <v>1390933.3333333333</v>
      </c>
      <c r="T29" s="20"/>
    </row>
    <row r="30" spans="1:20" ht="21.75" customHeight="1">
      <c r="A30" s="47" t="s">
        <v>185</v>
      </c>
      <c r="B30" s="47"/>
      <c r="C30" s="47"/>
      <c r="D30" s="47"/>
      <c r="E30" s="47"/>
      <c r="F30" s="47"/>
      <c r="G30" s="47"/>
      <c r="H30" s="47"/>
      <c r="I30" s="47"/>
      <c r="J30" s="47"/>
      <c r="K30" s="47"/>
      <c r="L30" s="47"/>
      <c r="M30" s="47"/>
      <c r="N30" s="47"/>
      <c r="O30" s="47"/>
      <c r="P30" s="47"/>
      <c r="Q30" s="47"/>
      <c r="R30" s="47"/>
      <c r="S30" s="47"/>
      <c r="T30" s="47"/>
    </row>
    <row r="31" spans="1:20" ht="36" customHeight="1">
      <c r="A31" s="4" t="s">
        <v>186</v>
      </c>
      <c r="B31" s="4" t="s">
        <v>187</v>
      </c>
      <c r="C31" s="3" t="s">
        <v>188</v>
      </c>
      <c r="D31" s="15" t="s">
        <v>189</v>
      </c>
      <c r="E31" s="15">
        <v>2</v>
      </c>
      <c r="F31" s="91">
        <v>350000</v>
      </c>
      <c r="G31" s="16">
        <f t="shared" ref="G31" si="28">E31*F31</f>
        <v>700000</v>
      </c>
      <c r="H31" s="6">
        <v>7000000</v>
      </c>
      <c r="I31" s="16">
        <f>E31*H31</f>
        <v>14000000</v>
      </c>
      <c r="J31" s="6">
        <v>1495000</v>
      </c>
      <c r="K31" s="16">
        <f>E31*J31</f>
        <v>2990000</v>
      </c>
      <c r="L31" s="16">
        <f t="shared" ref="L31" si="29">IFERROR(AVERAGE(F31,H31,J31),"")</f>
        <v>2948333.3333333335</v>
      </c>
      <c r="M31" s="16">
        <f t="shared" ref="M31" si="30">IFERROR(MEDIAN(F31,H31,J31),"")</f>
        <v>1495000</v>
      </c>
      <c r="N31" s="16">
        <f t="shared" ref="N31" si="31">IFERROR(MIN(F31,H31,J31),"")</f>
        <v>350000</v>
      </c>
      <c r="O31" s="16">
        <f t="shared" ref="O31" si="32">IFERROR(MAX(F31,H31,J31),"")</f>
        <v>7000000</v>
      </c>
      <c r="P31" s="16">
        <f t="shared" ref="P31" si="33">IFERROR(STDEV(F31,H31,J31),"")</f>
        <v>3555243.7797334422</v>
      </c>
      <c r="Q31" s="17">
        <f>IFERROR(IF(L31&gt;0,P31/L31,""),"")</f>
        <v>1.2058486533861308</v>
      </c>
      <c r="R31" s="18">
        <f>L31</f>
        <v>2948333.3333333335</v>
      </c>
      <c r="S31" s="18">
        <f>E31*R31</f>
        <v>5896666.666666667</v>
      </c>
      <c r="T31" s="19"/>
    </row>
    <row r="32" spans="1:20" ht="21.75" customHeight="1">
      <c r="A32" s="48" t="s">
        <v>190</v>
      </c>
      <c r="B32" s="48"/>
      <c r="C32" s="48"/>
      <c r="D32" s="48"/>
      <c r="E32" s="48"/>
      <c r="F32" s="91"/>
      <c r="G32" s="21">
        <f>SUM(G31:G31)</f>
        <v>700000</v>
      </c>
      <c r="H32" s="20"/>
      <c r="I32" s="21">
        <f>SUM(I31:I31)</f>
        <v>14000000</v>
      </c>
      <c r="J32" s="20"/>
      <c r="K32" s="21">
        <f>SUM(K31:K31)</f>
        <v>2990000</v>
      </c>
      <c r="L32" s="20"/>
      <c r="M32" s="20"/>
      <c r="N32" s="20"/>
      <c r="O32" s="20"/>
      <c r="P32" s="20"/>
      <c r="Q32" s="20"/>
      <c r="R32" s="20"/>
      <c r="S32" s="21">
        <f>SUM(S31:S31)</f>
        <v>5896666.666666667</v>
      </c>
      <c r="T32" s="20"/>
    </row>
    <row r="33" spans="1:20" ht="21.75" customHeight="1">
      <c r="A33" s="47" t="s">
        <v>191</v>
      </c>
      <c r="B33" s="47"/>
      <c r="C33" s="47"/>
      <c r="D33" s="47"/>
      <c r="E33" s="47"/>
      <c r="F33" s="47"/>
      <c r="G33" s="47"/>
      <c r="H33" s="47"/>
      <c r="I33" s="47"/>
      <c r="J33" s="47"/>
      <c r="K33" s="47"/>
      <c r="L33" s="47"/>
      <c r="M33" s="47"/>
      <c r="N33" s="47"/>
      <c r="O33" s="47"/>
      <c r="P33" s="47"/>
      <c r="Q33" s="47"/>
      <c r="R33" s="47"/>
      <c r="S33" s="47"/>
      <c r="T33" s="47"/>
    </row>
    <row r="34" spans="1:20" ht="36" customHeight="1">
      <c r="A34" s="4" t="s">
        <v>192</v>
      </c>
      <c r="B34" s="4" t="s">
        <v>193</v>
      </c>
      <c r="C34" s="3" t="s">
        <v>194</v>
      </c>
      <c r="D34" s="15" t="s">
        <v>189</v>
      </c>
      <c r="E34" s="15">
        <v>2</v>
      </c>
      <c r="F34" s="91">
        <v>25300000</v>
      </c>
      <c r="G34" s="16">
        <f t="shared" ref="G34" si="34">E34*F34</f>
        <v>50600000</v>
      </c>
      <c r="H34" s="6">
        <v>12810000</v>
      </c>
      <c r="I34" s="16">
        <f>E34*H34</f>
        <v>25620000</v>
      </c>
      <c r="J34" s="6">
        <v>6542000</v>
      </c>
      <c r="K34" s="16">
        <f>E34*J34</f>
        <v>13084000</v>
      </c>
      <c r="L34" s="16">
        <f t="shared" ref="L34" si="35">IFERROR(AVERAGE(F34,H34,J34),"")</f>
        <v>14884000</v>
      </c>
      <c r="M34" s="16">
        <f t="shared" ref="M34" si="36">IFERROR(MEDIAN(F34,H34,J34),"")</f>
        <v>12810000</v>
      </c>
      <c r="N34" s="16">
        <f t="shared" ref="N34" si="37">IFERROR(MIN(F34,H34,J34),"")</f>
        <v>6542000</v>
      </c>
      <c r="O34" s="16">
        <f t="shared" ref="O34" si="38">IFERROR(MAX(F34,H34,J34),"")</f>
        <v>25300000</v>
      </c>
      <c r="P34" s="16">
        <f t="shared" ref="P34" si="39">IFERROR(STDEV(F34,H34,J34),"")</f>
        <v>9549437.0514706261</v>
      </c>
      <c r="Q34" s="17">
        <f>IFERROR(IF(L34&gt;0,P34/L34,""),"")</f>
        <v>0.64159077206870641</v>
      </c>
      <c r="R34" s="18">
        <f>L34</f>
        <v>14884000</v>
      </c>
      <c r="S34" s="18">
        <f>E34*R34</f>
        <v>29768000</v>
      </c>
      <c r="T34" s="19"/>
    </row>
    <row r="35" spans="1:20" ht="21.75" customHeight="1">
      <c r="A35" s="48" t="s">
        <v>195</v>
      </c>
      <c r="B35" s="48"/>
      <c r="C35" s="48"/>
      <c r="D35" s="48"/>
      <c r="E35" s="48"/>
      <c r="F35" s="91"/>
      <c r="G35" s="21">
        <f>SUM(G34:G34)</f>
        <v>50600000</v>
      </c>
      <c r="H35" s="20"/>
      <c r="I35" s="21">
        <f>SUM(I34:I34)</f>
        <v>25620000</v>
      </c>
      <c r="J35" s="20"/>
      <c r="K35" s="21">
        <f>SUM(K34:K34)</f>
        <v>13084000</v>
      </c>
      <c r="L35" s="20"/>
      <c r="M35" s="20"/>
      <c r="N35" s="20"/>
      <c r="O35" s="20"/>
      <c r="P35" s="20"/>
      <c r="Q35" s="20"/>
      <c r="R35" s="20"/>
      <c r="S35" s="21">
        <f>SUM(S34:S34)</f>
        <v>29768000</v>
      </c>
      <c r="T35" s="20"/>
    </row>
    <row r="36" spans="1:20" ht="21.75" customHeight="1">
      <c r="A36" s="47" t="s">
        <v>196</v>
      </c>
      <c r="B36" s="47"/>
      <c r="C36" s="47"/>
      <c r="D36" s="47"/>
      <c r="E36" s="47"/>
      <c r="F36" s="47"/>
      <c r="G36" s="47"/>
      <c r="H36" s="47"/>
      <c r="I36" s="47"/>
      <c r="J36" s="47"/>
      <c r="K36" s="47"/>
      <c r="L36" s="47"/>
      <c r="M36" s="47"/>
      <c r="N36" s="47"/>
      <c r="O36" s="47"/>
      <c r="P36" s="47"/>
      <c r="Q36" s="47"/>
      <c r="R36" s="47"/>
      <c r="S36" s="47"/>
      <c r="T36" s="47"/>
    </row>
    <row r="37" spans="1:20" ht="36" customHeight="1">
      <c r="A37" s="4" t="s">
        <v>197</v>
      </c>
      <c r="B37" s="4" t="s">
        <v>198</v>
      </c>
      <c r="C37" s="3" t="s">
        <v>199</v>
      </c>
      <c r="D37" s="15" t="s">
        <v>200</v>
      </c>
      <c r="E37" s="15">
        <v>1</v>
      </c>
      <c r="F37" s="91">
        <v>1500000</v>
      </c>
      <c r="G37" s="16">
        <f t="shared" ref="G37" si="40">E37*F37</f>
        <v>1500000</v>
      </c>
      <c r="H37" s="6">
        <v>7510000</v>
      </c>
      <c r="I37" s="16">
        <f>E37*H37</f>
        <v>7510000</v>
      </c>
      <c r="J37" s="6">
        <v>50784874</v>
      </c>
      <c r="K37" s="16">
        <f>E37*J37</f>
        <v>50784874</v>
      </c>
      <c r="L37" s="16">
        <f t="shared" ref="L37" si="41">IFERROR(AVERAGE(F37,H37,J37),"")</f>
        <v>19931624.666666668</v>
      </c>
      <c r="M37" s="16">
        <f t="shared" ref="M37" si="42">IFERROR(MEDIAN(F37,H37,J37),"")</f>
        <v>7510000</v>
      </c>
      <c r="N37" s="16">
        <f t="shared" ref="N37" si="43">IFERROR(MIN(F37,H37,J37),"")</f>
        <v>1500000</v>
      </c>
      <c r="O37" s="16">
        <f t="shared" ref="O37" si="44">IFERROR(MAX(F37,H37,J37),"")</f>
        <v>50784874</v>
      </c>
      <c r="P37" s="16">
        <f t="shared" ref="P37" si="45">IFERROR(STDEV(F37,H37,J37),"")</f>
        <v>26888143.684877641</v>
      </c>
      <c r="Q37" s="17">
        <f>IFERROR(IF(L37&gt;0,P37/L37,""),"")</f>
        <v>1.3490191660013018</v>
      </c>
      <c r="R37" s="18">
        <f>L37</f>
        <v>19931624.666666668</v>
      </c>
      <c r="S37" s="18">
        <f>E37*R37</f>
        <v>19931624.666666668</v>
      </c>
      <c r="T37" s="19"/>
    </row>
    <row r="38" spans="1:20" ht="21.75" customHeight="1">
      <c r="A38" s="48" t="s">
        <v>201</v>
      </c>
      <c r="B38" s="48"/>
      <c r="C38" s="48"/>
      <c r="D38" s="48"/>
      <c r="E38" s="48"/>
      <c r="F38" s="91"/>
      <c r="G38" s="21">
        <f>SUM(G37:G37)</f>
        <v>1500000</v>
      </c>
      <c r="H38" s="20"/>
      <c r="I38" s="21">
        <f>SUM(I37:I37)</f>
        <v>7510000</v>
      </c>
      <c r="J38" s="20"/>
      <c r="K38" s="21">
        <f>SUM(K37:K37)</f>
        <v>50784874</v>
      </c>
      <c r="L38" s="20"/>
      <c r="M38" s="20"/>
      <c r="N38" s="20"/>
      <c r="O38" s="20"/>
      <c r="P38" s="20"/>
      <c r="Q38" s="20"/>
      <c r="R38" s="20"/>
      <c r="S38" s="21">
        <f>SUM(S37:S37)</f>
        <v>19931624.666666668</v>
      </c>
      <c r="T38" s="20"/>
    </row>
    <row r="40" spans="1:20" ht="25.5" customHeight="1">
      <c r="A40" s="49" t="s">
        <v>202</v>
      </c>
      <c r="B40" s="50"/>
      <c r="C40" s="50"/>
      <c r="D40" s="50"/>
      <c r="E40" s="50"/>
      <c r="F40" s="51"/>
      <c r="G40" s="9">
        <f>G11+G19+G25+G29+G32+G35+G38</f>
        <v>139522000</v>
      </c>
      <c r="H40" s="30"/>
      <c r="I40" s="9">
        <f>I11+I19+I25+I29+I32+I35+I38</f>
        <v>134292580</v>
      </c>
      <c r="J40" s="10"/>
      <c r="K40" s="9">
        <f>K11+K19+K25+K29+K32+K35+K38</f>
        <v>147134874</v>
      </c>
      <c r="L40" s="10"/>
      <c r="M40" s="10"/>
      <c r="N40" s="10"/>
      <c r="O40" s="10"/>
      <c r="P40" s="10"/>
      <c r="Q40" s="10"/>
      <c r="R40" s="10"/>
      <c r="S40" s="9">
        <f>S11+S19+S25+S29+S32+S35+S38</f>
        <v>131881103</v>
      </c>
      <c r="T40" s="10"/>
    </row>
    <row r="41" spans="1:20" ht="24" customHeight="1">
      <c r="A41" s="49" t="s">
        <v>8</v>
      </c>
      <c r="B41" s="50"/>
      <c r="C41" s="50"/>
      <c r="D41" s="50"/>
      <c r="E41" s="50"/>
      <c r="F41" s="51"/>
      <c r="G41" s="9">
        <f>G40*0.19</f>
        <v>26509180</v>
      </c>
      <c r="H41" s="30"/>
      <c r="I41" s="9">
        <f>I40*0.19</f>
        <v>25515590.199999999</v>
      </c>
      <c r="J41" s="10"/>
      <c r="K41" s="9">
        <f>K40*0.19</f>
        <v>27955626.059999999</v>
      </c>
      <c r="L41" s="10"/>
      <c r="M41" s="10"/>
      <c r="N41" s="10"/>
      <c r="O41" s="10"/>
      <c r="P41" s="10"/>
      <c r="Q41" s="10"/>
      <c r="R41" s="10"/>
      <c r="S41" s="9">
        <f>S40*0.19</f>
        <v>25057409.57</v>
      </c>
      <c r="T41" s="10"/>
    </row>
    <row r="42" spans="1:20" ht="27.75" customHeight="1">
      <c r="A42" s="52" t="s">
        <v>203</v>
      </c>
      <c r="B42" s="53"/>
      <c r="C42" s="53"/>
      <c r="D42" s="53"/>
      <c r="E42" s="53"/>
      <c r="F42" s="54"/>
      <c r="G42" s="22">
        <f>G40+G41</f>
        <v>166031180</v>
      </c>
      <c r="H42" s="31"/>
      <c r="I42" s="22">
        <f>I40+I41</f>
        <v>159808170.19999999</v>
      </c>
      <c r="J42" s="10"/>
      <c r="K42" s="22">
        <f>K40+K41</f>
        <v>175090500.06</v>
      </c>
      <c r="L42" s="10"/>
      <c r="M42" s="10"/>
      <c r="N42" s="10"/>
      <c r="O42" s="10"/>
      <c r="P42" s="10"/>
      <c r="Q42" s="10"/>
      <c r="R42" s="10"/>
      <c r="S42" s="22">
        <f>S40+S41</f>
        <v>156938512.56999999</v>
      </c>
      <c r="T42" s="10"/>
    </row>
  </sheetData>
  <mergeCells count="25">
    <mergeCell ref="A41:F41"/>
    <mergeCell ref="A42:F42"/>
    <mergeCell ref="A33:T33"/>
    <mergeCell ref="A35:E35"/>
    <mergeCell ref="A36:T36"/>
    <mergeCell ref="A38:E38"/>
    <mergeCell ref="A40:F40"/>
    <mergeCell ref="A25:E25"/>
    <mergeCell ref="A26:T26"/>
    <mergeCell ref="A29:E29"/>
    <mergeCell ref="A30:T30"/>
    <mergeCell ref="A32:E32"/>
    <mergeCell ref="A6:T6"/>
    <mergeCell ref="A11:E11"/>
    <mergeCell ref="A12:T12"/>
    <mergeCell ref="A19:E19"/>
    <mergeCell ref="A20:T20"/>
    <mergeCell ref="A1:T1"/>
    <mergeCell ref="A2:T2"/>
    <mergeCell ref="A4:E4"/>
    <mergeCell ref="H4:I4"/>
    <mergeCell ref="J4:K4"/>
    <mergeCell ref="L4:Q4"/>
    <mergeCell ref="R4:S4"/>
    <mergeCell ref="F4:G4"/>
  </mergeCells>
  <conditionalFormatting sqref="Q6:Q39">
    <cfRule type="cellIs" dxfId="0" priority="2" operator="greaterThan">
      <formula>0.3</formula>
    </cfRule>
  </conditionalFormatting>
  <pageMargins left="0.75" right="0.75" top="1" bottom="1" header="0.511811023622047" footer="0.511811023622047"/>
  <pageSetup fitToHeight="0" orientation="landscape" horizontalDpi="300" verticalDpi="30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I15"/>
  <sheetViews>
    <sheetView zoomScaleNormal="100" workbookViewId="0">
      <pane xSplit="2" ySplit="4" topLeftCell="C5" activePane="bottomRight" state="frozen"/>
      <selection pane="bottomRight" activeCell="H15" sqref="H15"/>
      <selection pane="bottomLeft" activeCell="A5" sqref="A5"/>
      <selection pane="topRight" activeCell="C1" sqref="C1"/>
    </sheetView>
  </sheetViews>
  <sheetFormatPr defaultColWidth="8.7109375" defaultRowHeight="15"/>
  <cols>
    <col min="1" max="1" width="8" customWidth="1"/>
    <col min="2" max="3" width="36" customWidth="1"/>
    <col min="4" max="8" width="20" bestFit="1" customWidth="1"/>
    <col min="9" max="9" width="12.5703125" bestFit="1" customWidth="1"/>
  </cols>
  <sheetData>
    <row r="1" spans="1:9" ht="27.75" customHeight="1">
      <c r="A1" s="38" t="s">
        <v>204</v>
      </c>
      <c r="B1" s="38"/>
      <c r="C1" s="38"/>
      <c r="D1" s="38"/>
      <c r="E1" s="38"/>
      <c r="F1" s="38"/>
      <c r="G1" s="38"/>
      <c r="H1" s="38"/>
      <c r="I1" s="38"/>
    </row>
    <row r="2" spans="1:9" ht="31.5" customHeight="1">
      <c r="A2" s="39" t="s">
        <v>205</v>
      </c>
      <c r="B2" s="39"/>
      <c r="C2" s="39"/>
      <c r="D2" s="39"/>
      <c r="E2" s="39"/>
      <c r="F2" s="39"/>
      <c r="G2" s="39"/>
      <c r="H2" s="39"/>
      <c r="I2" s="39"/>
    </row>
    <row r="4" spans="1:9" ht="27.75" customHeight="1">
      <c r="A4" s="41" t="s">
        <v>206</v>
      </c>
      <c r="B4" s="41"/>
      <c r="C4" s="37" t="s">
        <v>117</v>
      </c>
      <c r="D4" s="2" t="s">
        <v>207</v>
      </c>
      <c r="E4" s="2" t="s">
        <v>208</v>
      </c>
      <c r="F4" s="2" t="s">
        <v>129</v>
      </c>
      <c r="G4" s="2" t="s">
        <v>62</v>
      </c>
      <c r="H4" s="2" t="s">
        <v>209</v>
      </c>
      <c r="I4" s="2" t="s">
        <v>210</v>
      </c>
    </row>
    <row r="5" spans="1:9" ht="30" customHeight="1">
      <c r="A5" s="4" t="s">
        <v>138</v>
      </c>
      <c r="B5" s="5" t="s">
        <v>211</v>
      </c>
      <c r="C5" s="16">
        <f>'Matriz por Ítem'!G11</f>
        <v>38452000</v>
      </c>
      <c r="D5" s="16">
        <f>'Matriz por Ítem'!I11</f>
        <v>33420580</v>
      </c>
      <c r="E5" s="16">
        <f>'Matriz por Ítem'!K11</f>
        <v>29352000</v>
      </c>
      <c r="F5" s="23">
        <f>AVERAGE(C5,D5:E5)</f>
        <v>33741526.666666664</v>
      </c>
      <c r="G5" s="23">
        <f>MEDIAN(C5,D5:E5)</f>
        <v>33420580</v>
      </c>
      <c r="H5" s="18">
        <f>'Matriz por Ítem'!S11</f>
        <v>25306145</v>
      </c>
      <c r="I5" s="17">
        <f t="shared" ref="I5:I11" si="0">H5/$H$13</f>
        <v>0.19188605815648963</v>
      </c>
    </row>
    <row r="6" spans="1:9" ht="30" customHeight="1">
      <c r="A6" s="4" t="s">
        <v>150</v>
      </c>
      <c r="B6" s="5" t="s">
        <v>212</v>
      </c>
      <c r="C6" s="16">
        <f>'Matriz por Ítem'!G19</f>
        <v>30820000</v>
      </c>
      <c r="D6" s="16">
        <f>'Matriz por Ítem'!I19</f>
        <v>36017200</v>
      </c>
      <c r="E6" s="16">
        <f>'Matriz por Ítem'!K19</f>
        <v>43434000</v>
      </c>
      <c r="F6" s="23">
        <f t="shared" ref="F6:F11" si="1">AVERAGE(C6,D6:E6)</f>
        <v>36757066.666666664</v>
      </c>
      <c r="G6" s="23">
        <f t="shared" ref="G6:G11" si="2">MEDIAN(C6,D6:E6)</f>
        <v>36017200</v>
      </c>
      <c r="H6" s="18">
        <f>'Matriz por Ítem'!S19</f>
        <v>36757066.666666664</v>
      </c>
      <c r="I6" s="17">
        <f t="shared" si="0"/>
        <v>0.27871367338098973</v>
      </c>
    </row>
    <row r="7" spans="1:9" ht="26.25" customHeight="1">
      <c r="A7" s="4" t="s">
        <v>167</v>
      </c>
      <c r="B7" s="5" t="s">
        <v>213</v>
      </c>
      <c r="C7" s="16">
        <f>'Matriz por Ítem'!G25</f>
        <v>16040000</v>
      </c>
      <c r="D7" s="16">
        <f>'Matriz por Ítem'!I25</f>
        <v>15784000</v>
      </c>
      <c r="E7" s="16">
        <f>'Matriz por Ítem'!K25</f>
        <v>6668000</v>
      </c>
      <c r="F7" s="23">
        <f t="shared" si="1"/>
        <v>12830666.666666666</v>
      </c>
      <c r="G7" s="23">
        <f t="shared" si="2"/>
        <v>15784000</v>
      </c>
      <c r="H7" s="18">
        <f>'Matriz por Ítem'!S25</f>
        <v>12830666.666666668</v>
      </c>
      <c r="I7" s="17">
        <f t="shared" si="0"/>
        <v>9.7289652382317945E-2</v>
      </c>
    </row>
    <row r="8" spans="1:9" ht="21.75" customHeight="1">
      <c r="A8" s="4" t="s">
        <v>179</v>
      </c>
      <c r="B8" s="5" t="s">
        <v>214</v>
      </c>
      <c r="C8" s="16">
        <f>'Matriz por Ítem'!G29</f>
        <v>1410000</v>
      </c>
      <c r="D8" s="16">
        <f>'Matriz por Ítem'!I29</f>
        <v>1940800</v>
      </c>
      <c r="E8" s="16">
        <f>'Matriz por Ítem'!K29</f>
        <v>822000</v>
      </c>
      <c r="F8" s="23">
        <f t="shared" si="1"/>
        <v>1390933.3333333333</v>
      </c>
      <c r="G8" s="23">
        <f t="shared" si="2"/>
        <v>1410000</v>
      </c>
      <c r="H8" s="18">
        <f>'Matriz por Ítem'!S29</f>
        <v>1390933.3333333333</v>
      </c>
      <c r="I8" s="17">
        <f t="shared" si="0"/>
        <v>1.0546873674034507E-2</v>
      </c>
    </row>
    <row r="9" spans="1:9" ht="21.75" customHeight="1">
      <c r="A9" s="4" t="s">
        <v>186</v>
      </c>
      <c r="B9" s="5" t="s">
        <v>215</v>
      </c>
      <c r="C9" s="16">
        <f>'Matriz por Ítem'!G32</f>
        <v>700000</v>
      </c>
      <c r="D9" s="16">
        <f>'Matriz por Ítem'!I32</f>
        <v>14000000</v>
      </c>
      <c r="E9" s="16">
        <f>'Matriz por Ítem'!K32</f>
        <v>2990000</v>
      </c>
      <c r="F9" s="23">
        <f t="shared" si="1"/>
        <v>5896666.666666667</v>
      </c>
      <c r="G9" s="23">
        <f t="shared" si="2"/>
        <v>2990000</v>
      </c>
      <c r="H9" s="18">
        <f>'Matriz por Ítem'!S32</f>
        <v>5896666.666666667</v>
      </c>
      <c r="I9" s="17">
        <f t="shared" si="0"/>
        <v>4.4711990819993878E-2</v>
      </c>
    </row>
    <row r="10" spans="1:9" ht="21.75" customHeight="1">
      <c r="A10" s="4" t="s">
        <v>192</v>
      </c>
      <c r="B10" s="5" t="s">
        <v>216</v>
      </c>
      <c r="C10" s="16">
        <f>'Matriz por Ítem'!G35</f>
        <v>50600000</v>
      </c>
      <c r="D10" s="16">
        <f>'Matriz por Ítem'!I35</f>
        <v>25620000</v>
      </c>
      <c r="E10" s="16">
        <f>'Matriz por Ítem'!K35</f>
        <v>13084000</v>
      </c>
      <c r="F10" s="23">
        <f t="shared" si="1"/>
        <v>29768000</v>
      </c>
      <c r="G10" s="23">
        <f t="shared" si="2"/>
        <v>25620000</v>
      </c>
      <c r="H10" s="18">
        <f>'Matriz por Ítem'!S35</f>
        <v>29768000</v>
      </c>
      <c r="I10" s="17">
        <f t="shared" si="0"/>
        <v>0.22571846400162426</v>
      </c>
    </row>
    <row r="11" spans="1:9" ht="21.75" customHeight="1">
      <c r="A11" s="4" t="s">
        <v>197</v>
      </c>
      <c r="B11" s="5" t="s">
        <v>217</v>
      </c>
      <c r="C11" s="16">
        <f>'Matriz por Ítem'!G38</f>
        <v>1500000</v>
      </c>
      <c r="D11" s="16">
        <f>'Matriz por Ítem'!I38</f>
        <v>7510000</v>
      </c>
      <c r="E11" s="16">
        <f>'Matriz por Ítem'!K38</f>
        <v>50784874</v>
      </c>
      <c r="F11" s="23">
        <f t="shared" si="1"/>
        <v>19931624.666666668</v>
      </c>
      <c r="G11" s="23">
        <f t="shared" si="2"/>
        <v>7510000</v>
      </c>
      <c r="H11" s="18">
        <f>'Matriz por Ítem'!S38</f>
        <v>19931624.666666668</v>
      </c>
      <c r="I11" s="17">
        <f t="shared" si="0"/>
        <v>0.15113328758455005</v>
      </c>
    </row>
    <row r="13" spans="1:9" ht="27.75" customHeight="1">
      <c r="A13" s="82" t="s">
        <v>218</v>
      </c>
      <c r="B13" s="82"/>
      <c r="C13" s="24">
        <f>SUM(C5:C11)</f>
        <v>139522000</v>
      </c>
      <c r="D13" s="24">
        <f t="shared" ref="D13:G13" si="3">SUM(D5:D11)</f>
        <v>134292580</v>
      </c>
      <c r="E13" s="24">
        <f t="shared" si="3"/>
        <v>147134874</v>
      </c>
      <c r="F13" s="24">
        <f t="shared" si="3"/>
        <v>140316484.66666666</v>
      </c>
      <c r="G13" s="24">
        <f t="shared" si="3"/>
        <v>122751780</v>
      </c>
      <c r="H13" s="24">
        <f>SUM(H5:H11)</f>
        <v>131881103</v>
      </c>
      <c r="I13" s="10"/>
    </row>
    <row r="14" spans="1:9" ht="24" customHeight="1">
      <c r="A14" s="83" t="s">
        <v>8</v>
      </c>
      <c r="B14" s="83"/>
      <c r="C14" s="9">
        <f t="shared" ref="C14:G14" si="4">C13*0.19</f>
        <v>26509180</v>
      </c>
      <c r="D14" s="9">
        <f t="shared" si="4"/>
        <v>25515590.199999999</v>
      </c>
      <c r="E14" s="9">
        <f t="shared" si="4"/>
        <v>27955626.059999999</v>
      </c>
      <c r="F14" s="9">
        <f t="shared" si="4"/>
        <v>26660132.086666666</v>
      </c>
      <c r="G14" s="9">
        <f t="shared" si="4"/>
        <v>23322838.199999999</v>
      </c>
      <c r="H14" s="9">
        <f>H13*0.19</f>
        <v>25057409.57</v>
      </c>
      <c r="I14" s="10"/>
    </row>
    <row r="15" spans="1:9" ht="30" customHeight="1">
      <c r="A15" s="82" t="s">
        <v>203</v>
      </c>
      <c r="B15" s="82"/>
      <c r="C15" s="24">
        <f t="shared" ref="C15:H15" si="5">C13+C14</f>
        <v>166031180</v>
      </c>
      <c r="D15" s="24">
        <f t="shared" si="5"/>
        <v>159808170.19999999</v>
      </c>
      <c r="E15" s="24">
        <f t="shared" si="5"/>
        <v>175090500.06</v>
      </c>
      <c r="F15" s="24">
        <f t="shared" si="5"/>
        <v>166976616.75333333</v>
      </c>
      <c r="G15" s="24">
        <f t="shared" si="5"/>
        <v>146074618.19999999</v>
      </c>
      <c r="H15" s="24">
        <f t="shared" si="5"/>
        <v>156938512.56999999</v>
      </c>
      <c r="I15" s="10"/>
    </row>
  </sheetData>
  <mergeCells count="6">
    <mergeCell ref="A15:B15"/>
    <mergeCell ref="A1:I1"/>
    <mergeCell ref="A2:I2"/>
    <mergeCell ref="A4:B4"/>
    <mergeCell ref="A13:B13"/>
    <mergeCell ref="A14:B14"/>
  </mergeCells>
  <pageMargins left="0.75" right="0.75" top="1" bottom="1" header="0.511811023622047" footer="0.511811023622047"/>
  <pageSetup fitToHeight="0" orientation="landscape" horizontalDpi="300" verticalDpi="30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D46"/>
  <sheetViews>
    <sheetView topLeftCell="A8" zoomScaleNormal="100" workbookViewId="0">
      <selection activeCell="I35" sqref="I35"/>
    </sheetView>
  </sheetViews>
  <sheetFormatPr defaultColWidth="8.7109375" defaultRowHeight="15"/>
  <cols>
    <col min="1" max="1" width="50" customWidth="1"/>
    <col min="2" max="3" width="22" customWidth="1"/>
    <col min="4" max="4" width="28" customWidth="1"/>
    <col min="9" max="9" width="25.140625" customWidth="1"/>
  </cols>
  <sheetData>
    <row r="1" spans="1:4" ht="30" customHeight="1">
      <c r="A1" s="38" t="s">
        <v>219</v>
      </c>
      <c r="B1" s="38"/>
      <c r="C1" s="38"/>
      <c r="D1" s="38"/>
    </row>
    <row r="2" spans="1:4" ht="24" customHeight="1">
      <c r="A2" s="39" t="s">
        <v>220</v>
      </c>
      <c r="B2" s="39"/>
      <c r="C2" s="39"/>
      <c r="D2" s="39"/>
    </row>
    <row r="4" spans="1:4" ht="21.75" customHeight="1">
      <c r="A4" s="56" t="s">
        <v>221</v>
      </c>
      <c r="B4" s="56"/>
      <c r="C4" s="56"/>
      <c r="D4" s="56"/>
    </row>
    <row r="5" spans="1:4" ht="24" customHeight="1">
      <c r="A5" s="2" t="s">
        <v>6</v>
      </c>
      <c r="B5" s="2" t="s">
        <v>222</v>
      </c>
      <c r="C5" s="2" t="s">
        <v>8</v>
      </c>
      <c r="D5" s="2" t="s">
        <v>223</v>
      </c>
    </row>
    <row r="6" spans="1:4" ht="24" customHeight="1">
      <c r="A6" s="5" t="s">
        <v>11</v>
      </c>
      <c r="B6" s="16">
        <f>'4. Resumen por Categoría'!C13</f>
        <v>139522000</v>
      </c>
      <c r="C6" s="16">
        <f>B6*0.19</f>
        <v>26509180</v>
      </c>
      <c r="D6" s="23">
        <f>B6+C6</f>
        <v>166031180</v>
      </c>
    </row>
    <row r="7" spans="1:4" ht="21.75" customHeight="1">
      <c r="A7" s="5" t="s">
        <v>12</v>
      </c>
      <c r="B7" s="16">
        <f>'4. Resumen por Categoría'!D13</f>
        <v>134292580</v>
      </c>
      <c r="C7" s="16">
        <f>B7*0.19</f>
        <v>25515590.199999999</v>
      </c>
      <c r="D7" s="23">
        <f>B7+C7</f>
        <v>159808170.19999999</v>
      </c>
    </row>
    <row r="8" spans="1:4" ht="21.75" customHeight="1">
      <c r="A8" s="5" t="s">
        <v>13</v>
      </c>
      <c r="B8" s="16">
        <f>'4. Resumen por Categoría'!E13</f>
        <v>147134874</v>
      </c>
      <c r="C8" s="16">
        <f>B8*0.19</f>
        <v>27955626.059999999</v>
      </c>
      <c r="D8" s="23">
        <f>B8+C8</f>
        <v>175090500.06</v>
      </c>
    </row>
    <row r="10" spans="1:4" ht="21.75" customHeight="1">
      <c r="A10" s="56" t="s">
        <v>224</v>
      </c>
      <c r="B10" s="56"/>
      <c r="C10" s="56"/>
      <c r="D10" s="56"/>
    </row>
    <row r="11" spans="1:4" ht="21.75" customHeight="1">
      <c r="A11" s="85" t="s">
        <v>225</v>
      </c>
      <c r="B11" s="85"/>
      <c r="C11" s="85"/>
      <c r="D11" s="18">
        <f>AVERAGE(D6:D8)</f>
        <v>166976616.75333333</v>
      </c>
    </row>
    <row r="12" spans="1:4" ht="21.75" customHeight="1">
      <c r="A12" s="85" t="s">
        <v>62</v>
      </c>
      <c r="B12" s="85"/>
      <c r="C12" s="85"/>
      <c r="D12" s="18">
        <f>MEDIAN(D6:D8)</f>
        <v>166031180</v>
      </c>
    </row>
    <row r="13" spans="1:4" ht="21.75" customHeight="1">
      <c r="A13" s="85" t="s">
        <v>130</v>
      </c>
      <c r="B13" s="85"/>
      <c r="C13" s="85"/>
      <c r="D13" s="18">
        <f>MIN(D6:D8)</f>
        <v>159808170.19999999</v>
      </c>
    </row>
    <row r="14" spans="1:4" ht="21.75" customHeight="1">
      <c r="A14" s="85" t="s">
        <v>131</v>
      </c>
      <c r="B14" s="85"/>
      <c r="C14" s="85"/>
      <c r="D14" s="18">
        <f>MAX(D6:D8)</f>
        <v>175090500.06</v>
      </c>
    </row>
    <row r="15" spans="1:4" ht="21.75" customHeight="1">
      <c r="A15" s="85" t="s">
        <v>226</v>
      </c>
      <c r="B15" s="85"/>
      <c r="C15" s="85"/>
      <c r="D15" s="18">
        <f>MAX(D6:D8)-MIN(D6:D8)</f>
        <v>15282329.860000014</v>
      </c>
    </row>
    <row r="16" spans="1:4" ht="21.75" customHeight="1">
      <c r="A16" s="85" t="s">
        <v>227</v>
      </c>
      <c r="B16" s="85"/>
      <c r="C16" s="85"/>
      <c r="D16" s="18">
        <f>STDEV(D6:D8)</f>
        <v>7684906.6017992124</v>
      </c>
    </row>
    <row r="17" spans="1:4" ht="21.75" customHeight="1">
      <c r="A17" s="85" t="s">
        <v>228</v>
      </c>
      <c r="B17" s="85"/>
      <c r="C17" s="85"/>
      <c r="D17" s="25">
        <f>D16/D11</f>
        <v>4.6023849034812832E-2</v>
      </c>
    </row>
    <row r="19" spans="1:4" ht="21.75" customHeight="1">
      <c r="A19" s="56" t="s">
        <v>229</v>
      </c>
      <c r="B19" s="56"/>
      <c r="C19" s="56"/>
      <c r="D19" s="56"/>
    </row>
    <row r="20" spans="1:4" ht="55.5" customHeight="1">
      <c r="A20" s="86" t="s">
        <v>230</v>
      </c>
      <c r="B20" s="86"/>
      <c r="C20" s="86"/>
      <c r="D20" s="86"/>
    </row>
    <row r="21" spans="1:4" ht="21.75" customHeight="1">
      <c r="A21" s="85" t="s">
        <v>231</v>
      </c>
      <c r="B21" s="85"/>
      <c r="C21" s="85"/>
      <c r="D21" s="18">
        <f>'4. Resumen por Categoría'!H13</f>
        <v>131881103</v>
      </c>
    </row>
    <row r="22" spans="1:4" ht="21.75" customHeight="1">
      <c r="A22" s="85" t="s">
        <v>8</v>
      </c>
      <c r="B22" s="85"/>
      <c r="C22" s="85"/>
      <c r="D22" s="26">
        <f>D21*0.19</f>
        <v>25057409.57</v>
      </c>
    </row>
    <row r="23" spans="1:4" ht="27.75" customHeight="1">
      <c r="A23" s="87" t="s">
        <v>232</v>
      </c>
      <c r="B23" s="87"/>
      <c r="C23" s="87"/>
      <c r="D23" s="24">
        <f>D21+D22</f>
        <v>156938512.56999999</v>
      </c>
    </row>
    <row r="25" spans="1:4" ht="21.75" customHeight="1">
      <c r="A25" s="56" t="s">
        <v>233</v>
      </c>
      <c r="B25" s="56"/>
      <c r="C25" s="56"/>
      <c r="D25" s="56"/>
    </row>
    <row r="26" spans="1:4" ht="49.5" customHeight="1">
      <c r="A26" s="14" t="s">
        <v>234</v>
      </c>
      <c r="B26" s="88">
        <v>175090500</v>
      </c>
      <c r="C26" s="88"/>
      <c r="D26" s="27" t="s">
        <v>235</v>
      </c>
    </row>
    <row r="27" spans="1:4" ht="49.5" customHeight="1">
      <c r="A27" s="14" t="s">
        <v>236</v>
      </c>
      <c r="B27" s="88">
        <v>160000000</v>
      </c>
      <c r="C27" s="88"/>
      <c r="D27" s="27" t="s">
        <v>237</v>
      </c>
    </row>
    <row r="28" spans="1:4" ht="49.5" customHeight="1">
      <c r="A28" s="14" t="s">
        <v>238</v>
      </c>
      <c r="B28" s="88">
        <f>D11</f>
        <v>166976616.75333333</v>
      </c>
      <c r="C28" s="88"/>
      <c r="D28" s="27" t="s">
        <v>239</v>
      </c>
    </row>
    <row r="29" spans="1:4" ht="49.5" customHeight="1">
      <c r="A29" s="14" t="s">
        <v>240</v>
      </c>
      <c r="B29" s="88">
        <f>D12</f>
        <v>166031180</v>
      </c>
      <c r="C29" s="88"/>
      <c r="D29" s="27" t="s">
        <v>241</v>
      </c>
    </row>
    <row r="30" spans="1:4" ht="49.5" customHeight="1">
      <c r="A30" s="14" t="s">
        <v>242</v>
      </c>
      <c r="B30" s="88">
        <f>D23</f>
        <v>156938512.56999999</v>
      </c>
      <c r="C30" s="88"/>
      <c r="D30" s="27" t="s">
        <v>243</v>
      </c>
    </row>
    <row r="32" spans="1:4" ht="21.75" customHeight="1">
      <c r="A32" s="56" t="s">
        <v>244</v>
      </c>
      <c r="B32" s="56"/>
      <c r="C32" s="56"/>
      <c r="D32" s="56"/>
    </row>
    <row r="33" spans="1:4" ht="30" customHeight="1">
      <c r="A33" s="89" t="s">
        <v>245</v>
      </c>
      <c r="B33" s="89"/>
      <c r="C33" s="89"/>
      <c r="D33" s="89"/>
    </row>
    <row r="34" spans="1:4" ht="30" customHeight="1">
      <c r="A34" s="89"/>
      <c r="B34" s="89"/>
      <c r="C34" s="89"/>
      <c r="D34" s="89"/>
    </row>
    <row r="35" spans="1:4" ht="30" customHeight="1">
      <c r="A35" s="89"/>
      <c r="B35" s="89"/>
      <c r="C35" s="89"/>
      <c r="D35" s="89"/>
    </row>
    <row r="36" spans="1:4" ht="42" customHeight="1">
      <c r="A36" s="87" t="s">
        <v>246</v>
      </c>
      <c r="B36" s="87"/>
      <c r="C36" s="87"/>
      <c r="D36" s="24">
        <f>D23</f>
        <v>156938512.56999999</v>
      </c>
    </row>
    <row r="37" spans="1:4" ht="56.25" customHeight="1">
      <c r="A37" s="87" t="s">
        <v>247</v>
      </c>
      <c r="B37" s="87"/>
      <c r="C37" s="87"/>
      <c r="D37" s="24">
        <f>D11</f>
        <v>166976616.75333333</v>
      </c>
    </row>
    <row r="38" spans="1:4" ht="58.5" customHeight="1">
      <c r="A38" s="87" t="s">
        <v>248</v>
      </c>
      <c r="B38" s="87"/>
      <c r="C38" s="87"/>
      <c r="D38" s="24">
        <f>D12</f>
        <v>166031180</v>
      </c>
    </row>
    <row r="40" spans="1:4" ht="21.75" customHeight="1">
      <c r="A40" s="56" t="s">
        <v>249</v>
      </c>
      <c r="B40" s="56"/>
      <c r="C40" s="56"/>
      <c r="D40" s="56"/>
    </row>
    <row r="41" spans="1:4" ht="27.75" customHeight="1">
      <c r="A41" s="28" t="s">
        <v>250</v>
      </c>
      <c r="B41" s="84" t="s">
        <v>251</v>
      </c>
      <c r="C41" s="84"/>
      <c r="D41" s="84"/>
    </row>
    <row r="42" spans="1:4" ht="27.75" customHeight="1">
      <c r="A42" s="28" t="s">
        <v>252</v>
      </c>
      <c r="B42" s="90">
        <v>46563</v>
      </c>
      <c r="C42" s="84"/>
      <c r="D42" s="84"/>
    </row>
    <row r="43" spans="1:4" ht="50.25" customHeight="1">
      <c r="A43" s="28" t="s">
        <v>253</v>
      </c>
      <c r="B43" s="84" t="e" vm="1">
        <v>#VALUE!</v>
      </c>
      <c r="C43" s="84"/>
      <c r="D43" s="84"/>
    </row>
    <row r="44" spans="1:4" ht="27.75" customHeight="1">
      <c r="A44" s="28" t="s">
        <v>254</v>
      </c>
      <c r="B44" s="84" t="s">
        <v>255</v>
      </c>
      <c r="C44" s="84"/>
      <c r="D44" s="84"/>
    </row>
    <row r="45" spans="1:4" ht="27.75" customHeight="1">
      <c r="A45" s="28" t="s">
        <v>256</v>
      </c>
      <c r="B45" s="90">
        <v>46563</v>
      </c>
      <c r="C45" s="84"/>
      <c r="D45" s="84"/>
    </row>
    <row r="46" spans="1:4" ht="48.75" customHeight="1">
      <c r="A46" s="28" t="s">
        <v>253</v>
      </c>
      <c r="B46" s="84" t="e" vm="2">
        <v>#VALUE!</v>
      </c>
      <c r="C46" s="84"/>
      <c r="D46" s="84"/>
    </row>
  </sheetData>
  <mergeCells count="34">
    <mergeCell ref="B43:D43"/>
    <mergeCell ref="B44:D44"/>
    <mergeCell ref="B45:D45"/>
    <mergeCell ref="A37:C37"/>
    <mergeCell ref="A38:C38"/>
    <mergeCell ref="A40:D40"/>
    <mergeCell ref="B41:D41"/>
    <mergeCell ref="B42:D42"/>
    <mergeCell ref="B29:C29"/>
    <mergeCell ref="B30:C30"/>
    <mergeCell ref="A32:D32"/>
    <mergeCell ref="A33:D35"/>
    <mergeCell ref="A36:C36"/>
    <mergeCell ref="A23:C23"/>
    <mergeCell ref="A25:D25"/>
    <mergeCell ref="B26:C26"/>
    <mergeCell ref="B27:C27"/>
    <mergeCell ref="B28:C28"/>
    <mergeCell ref="B46:D46"/>
    <mergeCell ref="A1:D1"/>
    <mergeCell ref="A2:D2"/>
    <mergeCell ref="A4:D4"/>
    <mergeCell ref="A10:D10"/>
    <mergeCell ref="A11:C11"/>
    <mergeCell ref="A12:C12"/>
    <mergeCell ref="A13:C13"/>
    <mergeCell ref="A14:C14"/>
    <mergeCell ref="A15:C15"/>
    <mergeCell ref="A16:C16"/>
    <mergeCell ref="A17:C17"/>
    <mergeCell ref="A19:D19"/>
    <mergeCell ref="A20:D20"/>
    <mergeCell ref="A21:C21"/>
    <mergeCell ref="A22:C22"/>
  </mergeCells>
  <pageMargins left="0.75" right="0.75" top="1" bottom="1" header="0.511811023622047" footer="0.511811023622047"/>
  <pageSetup fitToHeight="0" orientation="portrait" horizontalDpi="300" verticalDpi="300"/>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openpyxl</dc:creator>
  <cp:keywords/>
  <dc:description/>
  <cp:lastModifiedBy>Jenny Teresa Suta Rojas</cp:lastModifiedBy>
  <cp:revision>0</cp:revision>
  <dcterms:created xsi:type="dcterms:W3CDTF">2026-05-11T21:34:29Z</dcterms:created>
  <dcterms:modified xsi:type="dcterms:W3CDTF">2026-07-30T21:56:35Z</dcterms:modified>
  <cp:category/>
  <cp:contentStatus/>
</cp:coreProperties>
</file>